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0" windowWidth="19170" windowHeight="10560" tabRatio="874" activeTab="0"/>
  </bookViews>
  <sheets>
    <sheet name="Прил. 2" sheetId="1" r:id="rId1"/>
  </sheets>
  <externalReferences>
    <externalReference r:id="rId4"/>
  </externalReferences>
  <definedNames>
    <definedName name="_xlnm.Print_Area" localSheetId="0">'Прил. 2'!$A$1:$J$72</definedName>
  </definedNames>
  <calcPr fullCalcOnLoad="1"/>
</workbook>
</file>

<file path=xl/sharedStrings.xml><?xml version="1.0" encoding="utf-8"?>
<sst xmlns="http://schemas.openxmlformats.org/spreadsheetml/2006/main" count="318" uniqueCount="184">
  <si>
    <t>1.1</t>
  </si>
  <si>
    <t>1.2</t>
  </si>
  <si>
    <t>1.3</t>
  </si>
  <si>
    <t>2.1</t>
  </si>
  <si>
    <t>4.1</t>
  </si>
  <si>
    <t>4.2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</si>
  <si>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</si>
  <si>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</si>
  <si>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</si>
  <si>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</si>
  <si>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Уход за зелеными насаждениями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</si>
  <si>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</si>
  <si>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</si>
  <si>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</si>
  <si>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</si>
  <si>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</si>
  <si>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</si>
  <si>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</si>
  <si>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</si>
  <si>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</si>
  <si>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</si>
  <si>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</si>
  <si>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</si>
  <si>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</si>
  <si>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Акарицидная обработка </t>
  </si>
  <si>
    <t>3.7</t>
  </si>
  <si>
    <t>Подготовка мест проведения праздничных мероприятий</t>
  </si>
  <si>
    <t>2.4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</si>
  <si>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</si>
  <si>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</si>
  <si>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</si>
  <si>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</si>
  <si>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</si>
  <si>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</si>
  <si>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м2</t>
  </si>
  <si>
    <t>-</t>
  </si>
  <si>
    <t>м3</t>
  </si>
  <si>
    <t>Площадь обрабатываемых территорий пляжей</t>
  </si>
  <si>
    <t>Площадь обрабатываемых территорий парков</t>
  </si>
  <si>
    <t>Площадь обрабатываемых территорий общего пользования</t>
  </si>
  <si>
    <t>Задача 3: Содержание мест погребения (мест захоронения) городского округа Тольятти</t>
  </si>
  <si>
    <t>Объем удаленных аварийно-опасных, сухостойных и упавших деревьев</t>
  </si>
  <si>
    <t xml:space="preserve">м3              </t>
  </si>
  <si>
    <t>Количество удаленных пней деревьев</t>
  </si>
  <si>
    <t>Объем ликвидированных несанкционированных свалок</t>
  </si>
  <si>
    <t xml:space="preserve">Площадь зеленых насаждений </t>
  </si>
  <si>
    <t xml:space="preserve">м2            </t>
  </si>
  <si>
    <t>Объем подаваемой воды</t>
  </si>
  <si>
    <t xml:space="preserve">Площадь обрабатываемой территории </t>
  </si>
  <si>
    <t>Площадь автодорог</t>
  </si>
  <si>
    <t>Длина ливневой канализации</t>
  </si>
  <si>
    <t>п/м</t>
  </si>
  <si>
    <t xml:space="preserve">Длина живой изгороди </t>
  </si>
  <si>
    <t>Количество деревьев  и кустарников</t>
  </si>
  <si>
    <t xml:space="preserve">Объем удаленных аварийно-опасных, сухостойных и упавших деревьев </t>
  </si>
  <si>
    <t>Площадь территорий пляжей</t>
  </si>
  <si>
    <t>Количество отремонтированных МАФ</t>
  </si>
  <si>
    <t>%</t>
  </si>
  <si>
    <t>Количество объектов</t>
  </si>
  <si>
    <t>Площадь, на которой проводится санитарная очистка.</t>
  </si>
  <si>
    <t>Площадь территории содержания</t>
  </si>
  <si>
    <t>Доля предоставленных ежемесячных доплат и компенсационных выплат, от запланированного объема финансирования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</si>
  <si>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</si>
  <si>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</si>
  <si>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шт.</t>
  </si>
  <si>
    <t xml:space="preserve">Количество установленных барьерных ограждений </t>
  </si>
  <si>
    <t xml:space="preserve">Площадь тротуаров и газонов берегоукрепления </t>
  </si>
  <si>
    <t>2020 г.</t>
  </si>
  <si>
    <t>2021 г.</t>
  </si>
  <si>
    <t>2022 г.</t>
  </si>
  <si>
    <t>2023 г.</t>
  </si>
  <si>
    <t>2024 г.</t>
  </si>
  <si>
    <t>Очистка колодцев</t>
  </si>
  <si>
    <t>Площадь отремонтированного асфальтобетонного покрытия</t>
  </si>
  <si>
    <t xml:space="preserve">Площадь  катков и кортов </t>
  </si>
  <si>
    <t>Количество празднично оформленных объектов</t>
  </si>
  <si>
    <t>6</t>
  </si>
  <si>
    <t>Содержание  территории парков города</t>
  </si>
  <si>
    <t>Количество общественных туалетов</t>
  </si>
  <si>
    <t>Показатели (индикаторы) реализации муниципальной программы "Тольятти - чистый город на 2020-2024 годы"</t>
  </si>
  <si>
    <t>ед.</t>
  </si>
  <si>
    <t>Содержание автодорог</t>
  </si>
  <si>
    <t>Содержание объектов озеленения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</si>
  <si>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</si>
  <si>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</si>
  <si>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</si>
  <si>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</si>
  <si>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</si>
  <si>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</si>
  <si>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</si>
  <si>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</si>
  <si>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</si>
  <si>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</si>
  <si>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</si>
  <si>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</si>
  <si>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</si>
  <si>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</si>
  <si>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</si>
  <si>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</si>
  <si>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</si>
  <si>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 xml:space="preserve">Количество животных,  отловленных и направленных на содержание </t>
  </si>
  <si>
    <t>Объем принятых ТКО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</si>
  <si>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</si>
  <si>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</si>
  <si>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</si>
  <si>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>1.13</t>
  </si>
  <si>
    <t>1.14</t>
  </si>
  <si>
    <t>Содержание газонов</t>
  </si>
  <si>
    <t xml:space="preserve">Площадь тротуаров </t>
  </si>
  <si>
    <t>Площадь газонов</t>
  </si>
  <si>
    <t xml:space="preserve">Площадь цветников </t>
  </si>
  <si>
    <t xml:space="preserve">Содержание катков и кортов 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</si>
  <si>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</si>
  <si>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</si>
  <si>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Площадь содержания скверов и площадок  семейного отдыха</t>
  </si>
  <si>
    <t>3.8</t>
  </si>
  <si>
    <t>Количество флагов</t>
  </si>
  <si>
    <t xml:space="preserve"> Площадь обустроенной территории</t>
  </si>
  <si>
    <t xml:space="preserve">10 мест на 2470 </t>
  </si>
  <si>
    <t>Площадь тротуаров и газонов</t>
  </si>
  <si>
    <t>- так как два раза было посчитано</t>
  </si>
  <si>
    <t>+</t>
  </si>
  <si>
    <t>в 23-24 годах исправляется техническая ошибка</t>
  </si>
  <si>
    <t>откорректирована</t>
  </si>
  <si>
    <t>Захоронение смета</t>
  </si>
  <si>
    <t>Транспортные услуги по вывозу смета</t>
  </si>
  <si>
    <t>Количество отработанных машино-часов</t>
  </si>
  <si>
    <t>маш-час</t>
  </si>
  <si>
    <t>Количество приобретенных мусоросборников, предназначенных для складирования ТКО</t>
  </si>
  <si>
    <t>1.15</t>
  </si>
  <si>
    <t>1.16</t>
  </si>
  <si>
    <t>2 места Зеленстрой в 2020 и 5 в 2021-20222</t>
  </si>
  <si>
    <t>Объем захороненного смета</t>
  </si>
  <si>
    <t>Текущий ремонт памятных мест,  в том числе посадка и содержание зеленых насаждений</t>
  </si>
  <si>
    <t>Площадь насаждений</t>
  </si>
  <si>
    <t xml:space="preserve">по словам Иры количество взято от балды </t>
  </si>
  <si>
    <t>Количество посаженных насаждений</t>
  </si>
  <si>
    <t>2объекта  Зеленстрой в 2020 и 2 в 2021-2022гг.</t>
  </si>
  <si>
    <t>Приложение № 2 к муниципальной программе                                         "Тольятти - чистый город на 2020-2024 годы"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</si>
  <si>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</si>
  <si>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</si>
  <si>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</si>
  <si>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</si>
  <si>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Освобождение земельных участков и благоустройство после сноса (демонтаж сооружений)</t>
  </si>
  <si>
    <t>Количество муниципальных помещений</t>
  </si>
  <si>
    <t>Количество приобретаемой техники</t>
  </si>
  <si>
    <t>Количество сооружений</t>
  </si>
  <si>
    <t>Дератизация территории кладбищ</t>
  </si>
  <si>
    <t>Количество объектов содержания</t>
  </si>
  <si>
    <t>Ремонт территории воинских захоронений, захоронений участников Великой Отечественной войны</t>
  </si>
  <si>
    <t>Площадь покрытий проездов и пешеходных дорожек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</si>
  <si>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</si>
  <si>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</si>
  <si>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</si>
  <si>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</si>
  <si>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</si>
  <si>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</si>
  <si>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</si>
  <si>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 xml:space="preserve">Дератизация набережной Комсомольского района и территорий общего пользования </t>
  </si>
  <si>
    <t>Показатели конечного результата</t>
  </si>
  <si>
    <t>20 мест и 2 у Зеленстроя</t>
  </si>
  <si>
    <t>+5 на 9 мая на 4408, у Зеленстроя трибуну не ставили, парк Комсольского района повторно</t>
  </si>
  <si>
    <t>4 стеллы+ сквер Жилкина</t>
  </si>
  <si>
    <t>3.12</t>
  </si>
  <si>
    <t>Обращение с твердыми коммунальными отходами, содержание контейнерных площадок</t>
  </si>
  <si>
    <t>34 по ДГХ + 1 трибуна у Зеленстроя, так как Парк повторно.</t>
  </si>
  <si>
    <t>Инвентаризация захоронений</t>
  </si>
  <si>
    <t>Площадь инвентаризируемой территории</t>
  </si>
  <si>
    <t>Приложение 2 к постановлению 
администрации городского округа Тольятти  
от ___________№ ___________</t>
  </si>
  <si>
    <t>Ремонт автомобильных дорог (текущий ремонт внутриквартальных проездов, тротуаров)</t>
  </si>
  <si>
    <t>Площадь отремонтированных проездов и тротуаров</t>
  </si>
  <si>
    <t>Ремонт покрытий проездов и пешеходных дорожек, ремонт автомобильных дорог (ремонт проездов, пешеходных дорожек)</t>
  </si>
  <si>
    <t>Организация мероприятий при осуществлении деятельности по обращению с животными без владельцев</t>
  </si>
  <si>
    <t>Предоставление субсидий на иные цели в целях реализации мероприятий,  не включенных в муниципальное задание учреждений</t>
  </si>
  <si>
    <t>Количество реализованных мероприятий</t>
  </si>
  <si>
    <t>Санитарная очистка территорий</t>
  </si>
  <si>
    <t>6.6</t>
  </si>
  <si>
    <t>Объем собранного мусора</t>
  </si>
  <si>
    <t>Площадь, на которой проводится санитарная очистка</t>
  </si>
  <si>
    <t xml:space="preserve">Приобретение мусоросборников, предназначенных для складирования ТКО (Государственная программа Самарской области "Совершенствование системы обращения с отходами, в том числе с твердыми коммунальными отходами, на территории Самарской области" на 2018 - 2024 годы") </t>
  </si>
  <si>
    <t>Содержание МКУ "Ритуал"</t>
  </si>
  <si>
    <t>3.13</t>
  </si>
  <si>
    <t>Уровень исполнения бюджетной сметы расходов учреждения</t>
  </si>
  <si>
    <t>9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</si>
</sst>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78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173" fontId="6" fillId="33" borderId="10" xfId="67" applyFont="1" applyFill="1" applyBorder="1" applyAlignment="1">
      <alignment horizontal="center" vertical="center" wrapText="1"/>
    </xf>
    <xf numFmtId="173" fontId="6" fillId="33" borderId="10" xfId="67" applyFont="1" applyFill="1" applyBorder="1" applyAlignment="1">
      <alignment horizontal="center" vertical="center"/>
    </xf>
    <xf numFmtId="2" fontId="0" fillId="32" borderId="0" xfId="0" applyNumberFormat="1" applyFill="1" applyAlignment="1">
      <alignment/>
    </xf>
    <xf numFmtId="201" fontId="0" fillId="32" borderId="0" xfId="0" applyNumberFormat="1" applyFill="1" applyAlignment="1">
      <alignment/>
    </xf>
    <xf numFmtId="2" fontId="44" fillId="33" borderId="0" xfId="0" applyNumberFormat="1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6" fillId="32" borderId="0" xfId="0" applyNumberFormat="1" applyFont="1" applyFill="1" applyBorder="1" applyAlignment="1">
      <alignment horizontal="center" vertical="center"/>
    </xf>
    <xf numFmtId="178" fontId="45" fillId="32" borderId="0" xfId="0" applyNumberFormat="1" applyFont="1" applyFill="1" applyAlignment="1">
      <alignment/>
    </xf>
    <xf numFmtId="180" fontId="0" fillId="32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49" fontId="46" fillId="32" borderId="0" xfId="0" applyNumberFormat="1" applyFont="1" applyFill="1" applyAlignment="1">
      <alignment wrapText="1"/>
    </xf>
    <xf numFmtId="1" fontId="6" fillId="32" borderId="10" xfId="67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44" fillId="32" borderId="0" xfId="0" applyFont="1" applyFill="1" applyBorder="1" applyAlignment="1">
      <alignment horizontal="right" vertical="center"/>
    </xf>
    <xf numFmtId="173" fontId="0" fillId="0" borderId="0" xfId="64" applyFont="1" applyAlignment="1">
      <alignment/>
    </xf>
    <xf numFmtId="1" fontId="6" fillId="32" borderId="11" xfId="67" applyNumberFormat="1" applyFont="1" applyFill="1" applyBorder="1" applyAlignment="1">
      <alignment horizontal="center" vertical="center"/>
    </xf>
    <xf numFmtId="49" fontId="0" fillId="32" borderId="0" xfId="0" applyNumberFormat="1" applyFill="1" applyAlignment="1">
      <alignment/>
    </xf>
    <xf numFmtId="203" fontId="0" fillId="32" borderId="0" xfId="0" applyNumberFormat="1" applyFill="1" applyAlignment="1">
      <alignment/>
    </xf>
    <xf numFmtId="179" fontId="0" fillId="32" borderId="0" xfId="0" applyNumberFormat="1" applyFill="1" applyAlignment="1">
      <alignment/>
    </xf>
    <xf numFmtId="1" fontId="44" fillId="33" borderId="0" xfId="0" applyNumberFormat="1" applyFon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/>
    </xf>
    <xf numFmtId="178" fontId="0" fillId="32" borderId="10" xfId="0" applyNumberFormat="1" applyFill="1" applyBorder="1" applyAlignment="1">
      <alignment/>
    </xf>
    <xf numFmtId="178" fontId="0" fillId="32" borderId="15" xfId="0" applyNumberFormat="1" applyFill="1" applyBorder="1" applyAlignment="1">
      <alignment/>
    </xf>
    <xf numFmtId="0" fontId="0" fillId="32" borderId="16" xfId="0" applyFill="1" applyBorder="1" applyAlignment="1">
      <alignment/>
    </xf>
    <xf numFmtId="178" fontId="0" fillId="32" borderId="17" xfId="0" applyNumberFormat="1" applyFill="1" applyBorder="1" applyAlignment="1">
      <alignment/>
    </xf>
    <xf numFmtId="1" fontId="0" fillId="32" borderId="17" xfId="0" applyNumberFormat="1" applyFill="1" applyBorder="1" applyAlignment="1">
      <alignment/>
    </xf>
    <xf numFmtId="178" fontId="0" fillId="32" borderId="18" xfId="0" applyNumberFormat="1" applyFill="1" applyBorder="1" applyAlignment="1">
      <alignment/>
    </xf>
    <xf numFmtId="0" fontId="47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79" fontId="44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 wrapText="1"/>
    </xf>
    <xf numFmtId="1" fontId="6" fillId="0" borderId="20" xfId="67" applyNumberFormat="1" applyFont="1" applyFill="1" applyBorder="1" applyAlignment="1">
      <alignment horizontal="center" vertical="center"/>
    </xf>
    <xf numFmtId="1" fontId="6" fillId="0" borderId="20" xfId="67" applyNumberFormat="1" applyFont="1" applyFill="1" applyBorder="1" applyAlignment="1">
      <alignment horizontal="center" vertical="center" wrapText="1" readingOrder="1"/>
    </xf>
    <xf numFmtId="1" fontId="6" fillId="0" borderId="10" xfId="67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86" fontId="47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79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left" vertical="center"/>
    </xf>
    <xf numFmtId="178" fontId="4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86" fontId="47" fillId="0" borderId="10" xfId="0" applyNumberFormat="1" applyFont="1" applyFill="1" applyBorder="1" applyAlignment="1">
      <alignment horizontal="center" vertical="center" wrapText="1"/>
    </xf>
    <xf numFmtId="1" fontId="47" fillId="0" borderId="22" xfId="0" applyNumberFormat="1" applyFont="1" applyFill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left" vertical="center" wrapText="1"/>
    </xf>
    <xf numFmtId="3" fontId="47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9" fontId="44" fillId="0" borderId="23" xfId="0" applyNumberFormat="1" applyFont="1" applyFill="1" applyBorder="1" applyAlignment="1">
      <alignment horizontal="left" vertical="center" wrapText="1"/>
    </xf>
    <xf numFmtId="179" fontId="44" fillId="0" borderId="23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2" fontId="6" fillId="0" borderId="23" xfId="67" applyNumberFormat="1" applyFont="1" applyFill="1" applyBorder="1" applyAlignment="1">
      <alignment horizontal="center" vertical="center"/>
    </xf>
    <xf numFmtId="178" fontId="6" fillId="0" borderId="23" xfId="67" applyNumberFormat="1" applyFont="1" applyFill="1" applyBorder="1" applyAlignment="1">
      <alignment horizontal="center" vertical="center" wrapText="1" readingOrder="1"/>
    </xf>
    <xf numFmtId="1" fontId="6" fillId="0" borderId="10" xfId="67" applyNumberFormat="1" applyFont="1" applyFill="1" applyBorder="1" applyAlignment="1">
      <alignment horizontal="center" vertical="center" readingOrder="1"/>
    </xf>
    <xf numFmtId="1" fontId="6" fillId="0" borderId="10" xfId="67" applyNumberFormat="1" applyFont="1" applyFill="1" applyBorder="1" applyAlignment="1">
      <alignment horizontal="center" vertical="center" wrapText="1"/>
    </xf>
    <xf numFmtId="1" fontId="6" fillId="0" borderId="10" xfId="67" applyNumberFormat="1" applyFont="1" applyFill="1" applyBorder="1" applyAlignment="1">
      <alignment horizontal="center" vertical="center" wrapText="1" readingOrder="1"/>
    </xf>
    <xf numFmtId="179" fontId="44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1" fontId="6" fillId="0" borderId="17" xfId="67" applyNumberFormat="1" applyFont="1" applyFill="1" applyBorder="1" applyAlignment="1">
      <alignment horizontal="center" vertical="center"/>
    </xf>
    <xf numFmtId="1" fontId="6" fillId="0" borderId="17" xfId="67" applyNumberFormat="1" applyFont="1" applyFill="1" applyBorder="1" applyAlignment="1">
      <alignment horizontal="center" vertical="center" wrapText="1" readingOrder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5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left" vertical="center" wrapText="1"/>
    </xf>
    <xf numFmtId="0" fontId="47" fillId="32" borderId="0" xfId="0" applyFont="1" applyFill="1" applyAlignment="1">
      <alignment horizontal="right" wrapText="1"/>
    </xf>
    <xf numFmtId="0" fontId="47" fillId="32" borderId="0" xfId="0" applyFont="1" applyFill="1" applyAlignment="1">
      <alignment horizontal="right"/>
    </xf>
    <xf numFmtId="0" fontId="44" fillId="32" borderId="10" xfId="0" applyFont="1" applyFill="1" applyBorder="1" applyAlignment="1">
      <alignment horizontal="center" vertical="center" wrapText="1"/>
    </xf>
    <xf numFmtId="2" fontId="44" fillId="32" borderId="14" xfId="0" applyNumberFormat="1" applyFont="1" applyFill="1" applyBorder="1" applyAlignment="1">
      <alignment horizontal="left" vertical="center" wrapText="1"/>
    </xf>
    <xf numFmtId="2" fontId="44" fillId="32" borderId="10" xfId="0" applyNumberFormat="1" applyFont="1" applyFill="1" applyBorder="1" applyAlignment="1">
      <alignment horizontal="left" vertical="center" wrapText="1"/>
    </xf>
    <xf numFmtId="2" fontId="44" fillId="32" borderId="15" xfId="0" applyNumberFormat="1" applyFont="1" applyFill="1" applyBorder="1" applyAlignment="1">
      <alignment horizontal="left" vertical="center" wrapText="1"/>
    </xf>
    <xf numFmtId="179" fontId="44" fillId="32" borderId="14" xfId="0" applyNumberFormat="1" applyFont="1" applyFill="1" applyBorder="1" applyAlignment="1">
      <alignment horizontal="left" vertical="center"/>
    </xf>
    <xf numFmtId="179" fontId="44" fillId="32" borderId="10" xfId="0" applyNumberFormat="1" applyFont="1" applyFill="1" applyBorder="1" applyAlignment="1">
      <alignment horizontal="left" vertical="center"/>
    </xf>
    <xf numFmtId="179" fontId="44" fillId="32" borderId="15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4" fillId="32" borderId="15" xfId="0" applyFont="1" applyFill="1" applyBorder="1" applyAlignment="1">
      <alignment horizontal="center" vertical="center" wrapText="1"/>
    </xf>
    <xf numFmtId="179" fontId="44" fillId="0" borderId="14" xfId="0" applyNumberFormat="1" applyFont="1" applyFill="1" applyBorder="1" applyAlignment="1">
      <alignment horizontal="left" vertical="center" wrapText="1"/>
    </xf>
    <xf numFmtId="179" fontId="44" fillId="0" borderId="10" xfId="0" applyNumberFormat="1" applyFont="1" applyFill="1" applyBorder="1" applyAlignment="1">
      <alignment horizontal="left" vertical="center" wrapText="1"/>
    </xf>
    <xf numFmtId="179" fontId="44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6" fillId="32" borderId="0" xfId="0" applyFont="1" applyFill="1" applyAlignment="1">
      <alignment horizontal="center" wrapText="1"/>
    </xf>
    <xf numFmtId="178" fontId="0" fillId="32" borderId="30" xfId="0" applyNumberFormat="1" applyFill="1" applyBorder="1" applyAlignment="1">
      <alignment horizontal="center"/>
    </xf>
    <xf numFmtId="178" fontId="0" fillId="32" borderId="12" xfId="0" applyNumberForma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49" fontId="44" fillId="0" borderId="26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right" vertical="center" wrapText="1"/>
    </xf>
    <xf numFmtId="0" fontId="49" fillId="32" borderId="30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44" fillId="32" borderId="14" xfId="0" applyFont="1" applyFill="1" applyBorder="1" applyAlignment="1">
      <alignment horizontal="center" vertical="center" wrapText="1"/>
    </xf>
    <xf numFmtId="179" fontId="44" fillId="0" borderId="14" xfId="0" applyNumberFormat="1" applyFont="1" applyFill="1" applyBorder="1" applyAlignment="1">
      <alignment vertical="center"/>
    </xf>
    <xf numFmtId="179" fontId="44" fillId="0" borderId="10" xfId="0" applyNumberFormat="1" applyFont="1" applyFill="1" applyBorder="1" applyAlignment="1">
      <alignment vertical="center"/>
    </xf>
    <xf numFmtId="179" fontId="44" fillId="0" borderId="15" xfId="0" applyNumberFormat="1" applyFont="1" applyFill="1" applyBorder="1" applyAlignment="1">
      <alignment vertical="center"/>
    </xf>
    <xf numFmtId="178" fontId="6" fillId="0" borderId="10" xfId="67" applyNumberFormat="1" applyFont="1" applyFill="1" applyBorder="1" applyAlignment="1">
      <alignment horizontal="center" vertical="center" wrapText="1"/>
    </xf>
    <xf numFmtId="178" fontId="6" fillId="0" borderId="15" xfId="67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2" fontId="6" fillId="0" borderId="10" xfId="67" applyNumberFormat="1" applyFont="1" applyFill="1" applyBorder="1" applyAlignment="1">
      <alignment horizontal="center" vertical="center"/>
    </xf>
    <xf numFmtId="178" fontId="6" fillId="0" borderId="10" xfId="67" applyNumberFormat="1" applyFont="1" applyFill="1" applyBorder="1" applyAlignment="1">
      <alignment horizontal="center" vertical="center"/>
    </xf>
    <xf numFmtId="178" fontId="6" fillId="0" borderId="15" xfId="67" applyNumberFormat="1" applyFont="1" applyFill="1" applyBorder="1" applyAlignment="1">
      <alignment horizontal="center" vertical="center"/>
    </xf>
    <xf numFmtId="1" fontId="6" fillId="0" borderId="15" xfId="67" applyNumberFormat="1" applyFont="1" applyFill="1" applyBorder="1" applyAlignment="1">
      <alignment horizontal="center" vertical="center" wrapText="1"/>
    </xf>
    <xf numFmtId="1" fontId="6" fillId="0" borderId="15" xfId="67" applyNumberFormat="1" applyFont="1" applyFill="1" applyBorder="1" applyAlignment="1">
      <alignment horizontal="center" vertical="center"/>
    </xf>
    <xf numFmtId="2" fontId="6" fillId="0" borderId="10" xfId="67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78" fontId="47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" fontId="47" fillId="0" borderId="15" xfId="0" applyNumberFormat="1" applyFont="1" applyFill="1" applyBorder="1" applyAlignment="1">
      <alignment horizontal="center" vertical="center" wrapText="1"/>
    </xf>
    <xf numFmtId="178" fontId="6" fillId="0" borderId="33" xfId="67" applyNumberFormat="1" applyFont="1" applyFill="1" applyBorder="1" applyAlignment="1">
      <alignment horizontal="center" vertical="center" wrapText="1" readingOrder="1"/>
    </xf>
    <xf numFmtId="1" fontId="6" fillId="0" borderId="15" xfId="67" applyNumberFormat="1" applyFont="1" applyFill="1" applyBorder="1" applyAlignment="1">
      <alignment horizontal="center" vertical="center" readingOrder="1"/>
    </xf>
    <xf numFmtId="2" fontId="6" fillId="0" borderId="10" xfId="0" applyNumberFormat="1" applyFont="1" applyFill="1" applyBorder="1" applyAlignment="1">
      <alignment horizontal="center" vertical="center" wrapText="1" readingOrder="1"/>
    </xf>
    <xf numFmtId="2" fontId="6" fillId="0" borderId="15" xfId="0" applyNumberFormat="1" applyFont="1" applyFill="1" applyBorder="1" applyAlignment="1">
      <alignment horizontal="center" vertical="center" wrapText="1" readingOrder="1"/>
    </xf>
    <xf numFmtId="1" fontId="6" fillId="0" borderId="20" xfId="0" applyNumberFormat="1" applyFont="1" applyFill="1" applyBorder="1" applyAlignment="1">
      <alignment horizontal="center" vertical="center" wrapText="1" readingOrder="1"/>
    </xf>
    <xf numFmtId="1" fontId="6" fillId="0" borderId="34" xfId="0" applyNumberFormat="1" applyFont="1" applyFill="1" applyBorder="1" applyAlignment="1">
      <alignment horizontal="center" vertical="center" wrapText="1" readingOrder="1"/>
    </xf>
    <xf numFmtId="1" fontId="6" fillId="0" borderId="17" xfId="0" applyNumberFormat="1" applyFont="1" applyFill="1" applyBorder="1" applyAlignment="1">
      <alignment horizontal="center" vertical="center" wrapText="1" readingOrder="1"/>
    </xf>
    <xf numFmtId="1" fontId="6" fillId="0" borderId="18" xfId="0" applyNumberFormat="1" applyFont="1" applyFill="1" applyBorder="1" applyAlignment="1">
      <alignment horizontal="center" vertical="center" wrapText="1" readingOrder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20\gorhoz\4%20&#1054;&#1058;&#1044;&#1045;&#1051;%20&#1041;&#1051;&#1040;&#1043;&#1054;&#1059;&#1057;&#1058;&#1056;&#1054;&#1049;&#1057;&#1058;&#1042;&#1040;%20&#1048;%20&#1054;&#1047;&#1045;&#1051;&#1045;&#1053;&#1045;&#1053;&#1048;&#1071;\&#1042;&#1086;&#1088;&#1086;&#1073;&#1100;&#1077;&#1074;&#1072;\&#1086;&#1090;%20&#1056;&#1086;&#1075;&#1072;&#1095;&#1077;&#1074;&#1086;&#1081;\&#1058;&#1063;&#1043;%202020-2024\&#1055;&#1088;&#1080;&#1083;&#1086;&#1078;&#1077;&#1085;&#1080;&#1103;%201,2%2003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 2"/>
      <sheetName val="Лист1"/>
    </sheetNames>
    <sheetDataSet>
      <sheetData sheetId="1">
        <row r="19">
          <cell r="F19">
            <v>7729.23</v>
          </cell>
        </row>
        <row r="20">
          <cell r="F20">
            <v>2792.71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"/>
  <sheetViews>
    <sheetView tabSelected="1" view="pageBreakPreview" zoomScaleSheetLayoutView="100" workbookViewId="0" topLeftCell="A61">
      <selection activeCell="AR1" sqref="AR1:AV16384"/>
    </sheetView>
  </sheetViews>
  <sheetFormatPr defaultColWidth="9.140625" defaultRowHeight="15"/>
  <cols>
    <col min="1" max="1" width="7.28125" style="5" customWidth="1"/>
    <col min="2" max="2" width="38.8515625" style="5" customWidth="1"/>
    <col min="3" max="3" width="31.57421875" style="5" customWidth="1"/>
    <col min="4" max="4" width="9.140625" style="5" customWidth="1"/>
    <col min="5" max="5" width="12.421875" style="5" customWidth="1"/>
    <col min="6" max="6" width="12.7109375" style="5" bestFit="1" customWidth="1"/>
    <col min="7" max="7" width="13.00390625" style="5" customWidth="1"/>
    <col min="8" max="8" width="12.57421875" style="5" customWidth="1"/>
    <col min="9" max="10" width="11.421875" style="5" customWidth="1"/>
    <col min="11" max="11" width="0" style="5" hidden="1" customWidth="1"/>
    <col min="12" max="12" width="10.57421875" style="5" hidden="1" customWidth="1"/>
    <col min="13" max="19" width="0" style="5" hidden="1" customWidth="1"/>
    <col min="20" max="20" width="11.57421875" style="5" hidden="1" customWidth="1"/>
    <col min="21" max="22" width="10.57421875" style="5" hidden="1" customWidth="1"/>
    <col min="23" max="23" width="0" style="5" hidden="1" customWidth="1"/>
    <col min="24" max="24" width="16.7109375" style="5" hidden="1" customWidth="1"/>
    <col min="25" max="25" width="10.57421875" style="5" hidden="1" customWidth="1"/>
    <col min="26" max="26" width="13.57421875" style="5" hidden="1" customWidth="1"/>
    <col min="27" max="31" width="0" style="5" hidden="1" customWidth="1"/>
    <col min="32" max="32" width="33.7109375" style="5" hidden="1" customWidth="1"/>
    <col min="33" max="33" width="21.00390625" style="5" hidden="1" customWidth="1"/>
    <col min="34" max="34" width="11.57421875" style="5" hidden="1" customWidth="1"/>
    <col min="35" max="35" width="13.57421875" style="5" hidden="1" customWidth="1"/>
    <col min="36" max="36" width="9.57421875" style="5" hidden="1" customWidth="1"/>
    <col min="37" max="37" width="0" style="5" hidden="1" customWidth="1"/>
    <col min="38" max="39" width="11.57421875" style="5" hidden="1" customWidth="1"/>
    <col min="40" max="43" width="0" style="5" hidden="1" customWidth="1"/>
    <col min="44" max="44" width="10.57421875" style="5" hidden="1" customWidth="1"/>
    <col min="45" max="45" width="11.140625" style="0" hidden="1" customWidth="1"/>
    <col min="46" max="46" width="14.7109375" style="0" hidden="1" customWidth="1"/>
    <col min="47" max="47" width="11.28125" style="0" hidden="1" customWidth="1"/>
    <col min="48" max="48" width="0" style="0" hidden="1" customWidth="1"/>
  </cols>
  <sheetData>
    <row r="1" spans="6:10" ht="46.5" customHeight="1">
      <c r="F1" s="106" t="s">
        <v>168</v>
      </c>
      <c r="G1" s="107"/>
      <c r="H1" s="107"/>
      <c r="I1" s="107"/>
      <c r="J1" s="107"/>
    </row>
    <row r="2" spans="1:10" ht="42" customHeight="1" thickBot="1">
      <c r="A2" s="23"/>
      <c r="B2" s="24"/>
      <c r="C2" s="23"/>
      <c r="D2" s="23"/>
      <c r="E2" s="25"/>
      <c r="F2" s="145" t="s">
        <v>138</v>
      </c>
      <c r="G2" s="145"/>
      <c r="H2" s="145"/>
      <c r="I2" s="145"/>
      <c r="J2" s="145"/>
    </row>
    <row r="3" spans="1:10" ht="18.75">
      <c r="A3" s="146" t="s">
        <v>79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0" ht="15">
      <c r="A4" s="149" t="s">
        <v>28</v>
      </c>
      <c r="B4" s="108" t="s">
        <v>29</v>
      </c>
      <c r="C4" s="108" t="s">
        <v>30</v>
      </c>
      <c r="D4" s="108" t="s">
        <v>31</v>
      </c>
      <c r="E4" s="108" t="s">
        <v>32</v>
      </c>
      <c r="F4" s="108" t="s">
        <v>33</v>
      </c>
      <c r="G4" s="108"/>
      <c r="H4" s="108"/>
      <c r="I4" s="108"/>
      <c r="J4" s="116"/>
    </row>
    <row r="5" spans="1:10" ht="15">
      <c r="A5" s="149"/>
      <c r="B5" s="108"/>
      <c r="C5" s="108"/>
      <c r="D5" s="108"/>
      <c r="E5" s="108"/>
      <c r="F5" s="99" t="s">
        <v>67</v>
      </c>
      <c r="G5" s="99" t="s">
        <v>68</v>
      </c>
      <c r="H5" s="99" t="s">
        <v>69</v>
      </c>
      <c r="I5" s="99" t="s">
        <v>70</v>
      </c>
      <c r="J5" s="100" t="s">
        <v>71</v>
      </c>
    </row>
    <row r="6" spans="1:32" ht="22.5" customHeight="1">
      <c r="A6" s="101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100">
        <v>10</v>
      </c>
      <c r="AF6" s="5">
        <f>AF8-AF7</f>
        <v>2931</v>
      </c>
    </row>
    <row r="7" spans="1:37" ht="29.25" customHeight="1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1"/>
      <c r="AF7" s="5">
        <v>393214</v>
      </c>
      <c r="AK7" s="5">
        <f>AK8+AK9+AK10+AK12</f>
        <v>121906</v>
      </c>
    </row>
    <row r="8" spans="1:37" ht="21.75" customHeight="1">
      <c r="A8" s="112" t="s">
        <v>84</v>
      </c>
      <c r="B8" s="113"/>
      <c r="C8" s="113"/>
      <c r="D8" s="113"/>
      <c r="E8" s="113"/>
      <c r="F8" s="113"/>
      <c r="G8" s="113"/>
      <c r="H8" s="113"/>
      <c r="I8" s="113"/>
      <c r="J8" s="114"/>
      <c r="X8" s="6"/>
      <c r="AF8" s="5">
        <v>396145</v>
      </c>
      <c r="AG8" s="5">
        <f>201947+3318</f>
        <v>205265</v>
      </c>
      <c r="AK8" s="5">
        <v>593</v>
      </c>
    </row>
    <row r="9" spans="1:47" ht="27.75" customHeight="1">
      <c r="A9" s="62" t="s">
        <v>0</v>
      </c>
      <c r="B9" s="58" t="s">
        <v>104</v>
      </c>
      <c r="C9" s="105" t="s">
        <v>108</v>
      </c>
      <c r="D9" s="75" t="s">
        <v>46</v>
      </c>
      <c r="E9" s="74">
        <v>842836</v>
      </c>
      <c r="F9" s="153">
        <f>699348.1+141127.4+8427.8+396145</f>
        <v>1245048.3</v>
      </c>
      <c r="G9" s="153">
        <f>699348.1+141127.4+8427.8+396145</f>
        <v>1245048.3</v>
      </c>
      <c r="H9" s="153">
        <f>755103+141681+15817.3+397436</f>
        <v>1310037.3</v>
      </c>
      <c r="I9" s="153">
        <f>755103+141681+15817.3+397807</f>
        <v>1310408.3</v>
      </c>
      <c r="J9" s="154">
        <f>755103+141681+15817.3+397807</f>
        <v>1310408.3</v>
      </c>
      <c r="K9" s="6"/>
      <c r="T9" s="6" t="s">
        <v>121</v>
      </c>
      <c r="X9" s="7">
        <f>F9+F10+F11+F14+F18+F19+F20+F24+F25+F26+F21</f>
        <v>10640064.739999998</v>
      </c>
      <c r="AF9" s="10">
        <f>F9+F10+F11+F14+F18+F19+F20+F21+F24+F25+F26</f>
        <v>10640064.739999998</v>
      </c>
      <c r="AG9" s="10">
        <f>F9+F10+F11+F18+F19+F20+F21+F24+F25+F26+F14</f>
        <v>10640064.739999998</v>
      </c>
      <c r="AH9" s="10" t="e">
        <f>G9+G10+G11+G18+G19+G20+G21+G24+G25+G26+G14</f>
        <v>#VALUE!</v>
      </c>
      <c r="AK9" s="5">
        <v>47926</v>
      </c>
      <c r="AL9" s="10">
        <f>AG9-AK9</f>
        <v>10592138.739999998</v>
      </c>
      <c r="AR9" s="10">
        <f>H9+H10+H11+H14+H18+H19+H20+H25+H26+H30</f>
        <v>9375010.7</v>
      </c>
      <c r="AS9">
        <f>AR9/1000</f>
        <v>9375.010699999999</v>
      </c>
      <c r="AT9">
        <v>9347.5</v>
      </c>
      <c r="AU9" s="1">
        <f>AS9-AT9</f>
        <v>27.510699999998906</v>
      </c>
    </row>
    <row r="10" spans="1:48" ht="27.75" customHeight="1">
      <c r="A10" s="62" t="s">
        <v>1</v>
      </c>
      <c r="B10" s="58" t="s">
        <v>107</v>
      </c>
      <c r="C10" s="105" t="s">
        <v>109</v>
      </c>
      <c r="D10" s="75" t="s">
        <v>46</v>
      </c>
      <c r="E10" s="74">
        <v>4621312.08</v>
      </c>
      <c r="F10" s="153">
        <f>3147997.4+1006370.7+156186.8+1444289+968047+47926</f>
        <v>6770816.899999999</v>
      </c>
      <c r="G10" s="153">
        <f>3147997.4+979575.3+156186.8+1431960</f>
        <v>5715719.5</v>
      </c>
      <c r="H10" s="153">
        <f>2878113.9+979575+173849.5+1480186</f>
        <v>5511724.4</v>
      </c>
      <c r="I10" s="153">
        <f>2878113.9+979575+173849.5+1417765</f>
        <v>5449303.4</v>
      </c>
      <c r="J10" s="154">
        <f>2878113.9+979575+173849.5+1417765</f>
        <v>5449303.4</v>
      </c>
      <c r="K10" s="6"/>
      <c r="T10" s="28" t="s">
        <v>120</v>
      </c>
      <c r="X10" s="29" t="e">
        <f>G9+G10+G11+G14+G18+G19+G20+G21+G24+G25+G26</f>
        <v>#VALUE!</v>
      </c>
      <c r="AF10" s="10" t="e">
        <f>G9+G10+G11+G14+G18+G19+G20+G21+G24+G25+G26</f>
        <v>#VALUE!</v>
      </c>
      <c r="AG10" s="30">
        <f>F9+F10+F11+F14+F18+F19+F20+F21+F24+F25+F26</f>
        <v>10640064.739999998</v>
      </c>
      <c r="AH10" s="30">
        <v>9553866.45</v>
      </c>
      <c r="AI10" s="10">
        <f>AG10-AH10</f>
        <v>1086198.289999999</v>
      </c>
      <c r="AK10" s="5">
        <v>70069</v>
      </c>
      <c r="AL10" s="5">
        <f>AK9+AK10+AK8+AK12+AK13-AK14</f>
        <v>119905.29</v>
      </c>
      <c r="AM10" s="10">
        <f>AG9-AL10</f>
        <v>10520159.45</v>
      </c>
      <c r="AN10" s="5">
        <f>10522-10519</f>
        <v>3</v>
      </c>
      <c r="AR10" s="6">
        <f>I9+I10+I11+I14+I18+I19+I20+I24+I25+I26+I30</f>
        <v>9614436.799999999</v>
      </c>
      <c r="AS10" s="1">
        <f>AR10/1000</f>
        <v>9614.4368</v>
      </c>
      <c r="AT10" s="1"/>
      <c r="AV10" s="1"/>
    </row>
    <row r="11" spans="1:45" ht="23.25" customHeight="1">
      <c r="A11" s="155" t="s">
        <v>2</v>
      </c>
      <c r="B11" s="138" t="s">
        <v>81</v>
      </c>
      <c r="C11" s="102" t="s">
        <v>49</v>
      </c>
      <c r="D11" s="42" t="s">
        <v>34</v>
      </c>
      <c r="E11" s="50">
        <v>1292090</v>
      </c>
      <c r="F11" s="156">
        <f>858607+2497.31+148367.8+9647+201947+3318</f>
        <v>1224384.11</v>
      </c>
      <c r="G11" s="156">
        <f>858607+2497.31+148367.8+9647+205265</f>
        <v>1224384.11</v>
      </c>
      <c r="H11" s="156">
        <f>941252.4+2497+148368+9647+210188</f>
        <v>1311952.4</v>
      </c>
      <c r="I11" s="157">
        <f>941252.4+2497+148368+9647+218038</f>
        <v>1319802.4</v>
      </c>
      <c r="J11" s="158">
        <f>941252.4+2497+148368+9647+218038</f>
        <v>1319802.4</v>
      </c>
      <c r="K11" s="13">
        <f aca="true" t="shared" si="0" ref="K11:S11">951081+147763.51+197022</f>
        <v>1295866.51</v>
      </c>
      <c r="L11" s="4">
        <f t="shared" si="0"/>
        <v>1295866.51</v>
      </c>
      <c r="M11" s="4">
        <f t="shared" si="0"/>
        <v>1295866.51</v>
      </c>
      <c r="N11" s="4">
        <f t="shared" si="0"/>
        <v>1295866.51</v>
      </c>
      <c r="O11" s="4">
        <f t="shared" si="0"/>
        <v>1295866.51</v>
      </c>
      <c r="P11" s="4">
        <f t="shared" si="0"/>
        <v>1295866.51</v>
      </c>
      <c r="Q11" s="4">
        <f t="shared" si="0"/>
        <v>1295866.51</v>
      </c>
      <c r="R11" s="4">
        <f t="shared" si="0"/>
        <v>1295866.51</v>
      </c>
      <c r="S11" s="4">
        <f t="shared" si="0"/>
        <v>1295866.51</v>
      </c>
      <c r="T11" s="6" t="s">
        <v>121</v>
      </c>
      <c r="X11" s="7" t="e">
        <f>H9+H10+H11+H14+H18+H19+H20+H21+H24+H25+H26</f>
        <v>#VALUE!</v>
      </c>
      <c r="AF11" s="10" t="e">
        <f>H9+H10+H11+H14+H18+H19+H20+H21+H24+H25+H26</f>
        <v>#VALUE!</v>
      </c>
      <c r="AG11" s="5">
        <f>AG10/1000</f>
        <v>10640.064739999998</v>
      </c>
      <c r="AH11" s="5">
        <f>AH10/1000</f>
        <v>9553.86645</v>
      </c>
      <c r="AR11" s="6">
        <f>J9+J10+J11+J14+J18+J19+J20+J24+J25+J26+J30</f>
        <v>9504323</v>
      </c>
      <c r="AS11" s="1">
        <f>AR11/1000</f>
        <v>9504.323</v>
      </c>
    </row>
    <row r="12" spans="1:37" s="5" customFormat="1" ht="21.75" customHeight="1">
      <c r="A12" s="155"/>
      <c r="B12" s="138"/>
      <c r="C12" s="102" t="s">
        <v>50</v>
      </c>
      <c r="D12" s="75" t="s">
        <v>51</v>
      </c>
      <c r="E12" s="74">
        <f>135+2292</f>
        <v>2427</v>
      </c>
      <c r="F12" s="153">
        <f>142+2382.3+1130</f>
        <v>3654.3</v>
      </c>
      <c r="G12" s="153">
        <f>142+943.7+1130</f>
        <v>2215.7</v>
      </c>
      <c r="H12" s="153">
        <f>142+943.7+1130</f>
        <v>2215.7</v>
      </c>
      <c r="I12" s="153">
        <f>142+943.7+1130</f>
        <v>2215.7</v>
      </c>
      <c r="J12" s="154">
        <f>142+943.7+1130</f>
        <v>2215.7</v>
      </c>
      <c r="T12" s="10"/>
      <c r="X12" s="11" t="e">
        <f>I9+I10+I11+I14+I18+I19+I20+I21+I24+I25+I26</f>
        <v>#VALUE!</v>
      </c>
      <c r="AF12" s="10" t="e">
        <f>I9+I10+I11+I18+I19+I20+I21+I24+I25+I26+I14</f>
        <v>#VALUE!</v>
      </c>
      <c r="AK12" s="5">
        <v>3318</v>
      </c>
    </row>
    <row r="13" spans="1:39" s="5" customFormat="1" ht="23.25" customHeight="1">
      <c r="A13" s="155"/>
      <c r="B13" s="138"/>
      <c r="C13" s="102" t="s">
        <v>72</v>
      </c>
      <c r="D13" s="75" t="s">
        <v>64</v>
      </c>
      <c r="E13" s="74">
        <v>687</v>
      </c>
      <c r="F13" s="92">
        <f>678+7+140</f>
        <v>825</v>
      </c>
      <c r="G13" s="92">
        <f>678+6+140</f>
        <v>824</v>
      </c>
      <c r="H13" s="92">
        <f>687+6+140</f>
        <v>833</v>
      </c>
      <c r="I13" s="92">
        <f>687+6+140</f>
        <v>833</v>
      </c>
      <c r="J13" s="159">
        <f>687+6+140</f>
        <v>833</v>
      </c>
      <c r="X13" s="7"/>
      <c r="AF13" s="6" t="e">
        <f>J9+J10+J11+J14+J18+J19+J20+J21+J24+J25+J26</f>
        <v>#VALUE!</v>
      </c>
      <c r="AK13" s="5">
        <v>222</v>
      </c>
      <c r="AM13" s="5">
        <f>10522+120</f>
        <v>10642</v>
      </c>
    </row>
    <row r="14" spans="1:42" ht="18" customHeight="1">
      <c r="A14" s="126" t="s">
        <v>85</v>
      </c>
      <c r="B14" s="138" t="s">
        <v>82</v>
      </c>
      <c r="C14" s="69" t="s">
        <v>110</v>
      </c>
      <c r="D14" s="42" t="s">
        <v>34</v>
      </c>
      <c r="E14" s="42" t="s">
        <v>35</v>
      </c>
      <c r="F14" s="49">
        <f>7307+222+593</f>
        <v>8122</v>
      </c>
      <c r="G14" s="49">
        <f>3141+2651+4573</f>
        <v>10365</v>
      </c>
      <c r="H14" s="49">
        <f>3141+2651+4573</f>
        <v>10365</v>
      </c>
      <c r="I14" s="49">
        <v>9665</v>
      </c>
      <c r="J14" s="160">
        <v>9665</v>
      </c>
      <c r="K14" s="7"/>
      <c r="L14" s="7"/>
      <c r="M14" s="31"/>
      <c r="T14" s="5" t="s">
        <v>121</v>
      </c>
      <c r="X14" s="10"/>
      <c r="AF14" s="7">
        <f>AG14+AH14</f>
        <v>8122</v>
      </c>
      <c r="AG14" s="5">
        <v>7529</v>
      </c>
      <c r="AH14" s="7">
        <f>F14-AG14</f>
        <v>593</v>
      </c>
      <c r="AI14" s="7">
        <f>AH14+AK13</f>
        <v>815</v>
      </c>
      <c r="AK14" s="5">
        <v>2222.71</v>
      </c>
      <c r="AN14" s="5">
        <v>9623.3</v>
      </c>
      <c r="AO14" s="5">
        <v>9631.8</v>
      </c>
      <c r="AP14" s="5">
        <v>9631.8</v>
      </c>
    </row>
    <row r="15" spans="1:40" ht="18" customHeight="1">
      <c r="A15" s="126"/>
      <c r="B15" s="138"/>
      <c r="C15" s="64" t="s">
        <v>52</v>
      </c>
      <c r="D15" s="42" t="s">
        <v>51</v>
      </c>
      <c r="E15" s="42">
        <v>94878</v>
      </c>
      <c r="F15" s="49">
        <f>63015+4439+1766+33155</f>
        <v>102375</v>
      </c>
      <c r="G15" s="49">
        <f>63015+4640+1766+34151</f>
        <v>103572</v>
      </c>
      <c r="H15" s="49">
        <f>63405+4640+1766+32411</f>
        <v>102222</v>
      </c>
      <c r="I15" s="49">
        <f>63405+4640+1766+32411</f>
        <v>102222</v>
      </c>
      <c r="J15" s="160">
        <f>63405+4640+1766+32411</f>
        <v>102222</v>
      </c>
      <c r="K15" s="7"/>
      <c r="L15" s="7">
        <f>I32+I33+I34</f>
        <v>4894444</v>
      </c>
      <c r="M15" s="31">
        <v>56.9</v>
      </c>
      <c r="T15" s="5" t="s">
        <v>121</v>
      </c>
      <c r="U15" s="7"/>
      <c r="X15" s="10" t="s">
        <v>122</v>
      </c>
      <c r="AN15" s="5">
        <f>AM13-AN14</f>
        <v>1018.7000000000007</v>
      </c>
    </row>
    <row r="16" spans="1:34" ht="39.75" customHeight="1">
      <c r="A16" s="126"/>
      <c r="B16" s="138"/>
      <c r="C16" s="64" t="s">
        <v>53</v>
      </c>
      <c r="D16" s="42" t="s">
        <v>64</v>
      </c>
      <c r="E16" s="42">
        <v>1724</v>
      </c>
      <c r="F16" s="49">
        <f>4878</f>
        <v>4878</v>
      </c>
      <c r="G16" s="49">
        <v>6006</v>
      </c>
      <c r="H16" s="49">
        <v>6241</v>
      </c>
      <c r="I16" s="49">
        <v>6139</v>
      </c>
      <c r="J16" s="160">
        <v>6139</v>
      </c>
      <c r="K16" s="7"/>
      <c r="L16" s="7">
        <f>J32+J33+J34</f>
        <v>4894444</v>
      </c>
      <c r="M16" s="5">
        <f>L16*M15/L15</f>
        <v>56.89999999999999</v>
      </c>
      <c r="T16" s="5" t="s">
        <v>121</v>
      </c>
      <c r="U16" s="7"/>
      <c r="V16" s="7"/>
      <c r="X16" s="10"/>
      <c r="AF16" s="5">
        <f>3069</f>
        <v>3069</v>
      </c>
      <c r="AG16" s="5">
        <v>5642</v>
      </c>
      <c r="AH16" s="7">
        <f>AG16-F16</f>
        <v>764</v>
      </c>
    </row>
    <row r="17" spans="1:46" ht="28.5" customHeight="1">
      <c r="A17" s="126"/>
      <c r="B17" s="138"/>
      <c r="C17" s="64" t="s">
        <v>54</v>
      </c>
      <c r="D17" s="42" t="s">
        <v>36</v>
      </c>
      <c r="E17" s="42">
        <v>2173</v>
      </c>
      <c r="F17" s="49">
        <f>1580+1655</f>
        <v>3235</v>
      </c>
      <c r="G17" s="49">
        <f>3063+1283</f>
        <v>4346</v>
      </c>
      <c r="H17" s="49">
        <f>3061+1365+500</f>
        <v>4926</v>
      </c>
      <c r="I17" s="49">
        <v>2814</v>
      </c>
      <c r="J17" s="160">
        <v>2814</v>
      </c>
      <c r="L17" s="7">
        <f>H32+H33+H34</f>
        <v>3524000</v>
      </c>
      <c r="M17" s="5">
        <f>L17*M15/L15</f>
        <v>40.968003720136544</v>
      </c>
      <c r="T17" s="28" t="s">
        <v>35</v>
      </c>
      <c r="U17" s="7"/>
      <c r="X17" s="10"/>
      <c r="AF17" s="7">
        <f>G16-AF16</f>
        <v>2937</v>
      </c>
      <c r="AI17" s="5">
        <f>16554+2034+71.6</f>
        <v>18659.6</v>
      </c>
      <c r="AR17" s="7"/>
      <c r="AT17" s="2"/>
    </row>
    <row r="18" spans="1:33" ht="27" customHeight="1">
      <c r="A18" s="85" t="s">
        <v>86</v>
      </c>
      <c r="B18" s="51" t="s">
        <v>111</v>
      </c>
      <c r="C18" s="105" t="s">
        <v>74</v>
      </c>
      <c r="D18" s="59" t="s">
        <v>34</v>
      </c>
      <c r="E18" s="67">
        <v>193501.5</v>
      </c>
      <c r="F18" s="157">
        <f>137615.2+21809+2025+16316</f>
        <v>177765.2</v>
      </c>
      <c r="G18" s="157">
        <f>137615.2+21809+2025+16316+887.95</f>
        <v>178653.15000000002</v>
      </c>
      <c r="H18" s="157">
        <f>123149+20510+2025+17566</f>
        <v>163250</v>
      </c>
      <c r="I18" s="157">
        <f>123149+20510+2025+17566</f>
        <v>163250</v>
      </c>
      <c r="J18" s="158">
        <f>123149+20510+2025+17566</f>
        <v>163250</v>
      </c>
      <c r="L18" s="7">
        <f>G32+G33+G34</f>
        <v>3072222</v>
      </c>
      <c r="M18" s="5">
        <f>L18*M15/L15</f>
        <v>35.71589169270299</v>
      </c>
      <c r="T18" s="6" t="s">
        <v>123</v>
      </c>
      <c r="U18" s="7"/>
      <c r="X18" s="7"/>
      <c r="AF18" s="5">
        <f>76396+68315</f>
        <v>144711</v>
      </c>
      <c r="AG18" s="5">
        <v>146350</v>
      </c>
    </row>
    <row r="19" spans="1:43" ht="37.5" customHeight="1">
      <c r="A19" s="85" t="s">
        <v>87</v>
      </c>
      <c r="B19" s="51" t="s">
        <v>113</v>
      </c>
      <c r="C19" s="105" t="s">
        <v>114</v>
      </c>
      <c r="D19" s="59" t="s">
        <v>34</v>
      </c>
      <c r="E19" s="67" t="s">
        <v>35</v>
      </c>
      <c r="F19" s="49">
        <f>82486.3+232613.6+6401+33615.6+10437.5+24031+76396+68315</f>
        <v>534296</v>
      </c>
      <c r="G19" s="49">
        <f>82486.3+232613.6+7389+33615.6+10437.5+24031+146465</f>
        <v>537038</v>
      </c>
      <c r="H19" s="49">
        <f>79724+228930.6+7389+33616+10437.5+24031+173598+25434</f>
        <v>583160.1</v>
      </c>
      <c r="I19" s="49">
        <f>79724+228930.6+7389+33616+10437.5+24031+180688</f>
        <v>564816.1</v>
      </c>
      <c r="J19" s="160">
        <f>79724+228930.6+7389+33616+10437.5+24031+180688</f>
        <v>564816.1</v>
      </c>
      <c r="K19" s="27">
        <f aca="true" t="shared" si="1" ref="K19:AQ19">82486.3+232613.6+6401+33615.6+10437.5+24031+173598</f>
        <v>563183</v>
      </c>
      <c r="L19" s="22">
        <f t="shared" si="1"/>
        <v>563183</v>
      </c>
      <c r="M19" s="22">
        <f t="shared" si="1"/>
        <v>563183</v>
      </c>
      <c r="N19" s="22">
        <f t="shared" si="1"/>
        <v>563183</v>
      </c>
      <c r="O19" s="22">
        <f t="shared" si="1"/>
        <v>563183</v>
      </c>
      <c r="P19" s="22">
        <f t="shared" si="1"/>
        <v>563183</v>
      </c>
      <c r="Q19" s="22">
        <f t="shared" si="1"/>
        <v>563183</v>
      </c>
      <c r="R19" s="22">
        <f t="shared" si="1"/>
        <v>563183</v>
      </c>
      <c r="S19" s="22">
        <f t="shared" si="1"/>
        <v>563183</v>
      </c>
      <c r="T19" s="22">
        <f t="shared" si="1"/>
        <v>563183</v>
      </c>
      <c r="U19" s="22">
        <f t="shared" si="1"/>
        <v>563183</v>
      </c>
      <c r="V19" s="22">
        <f t="shared" si="1"/>
        <v>563183</v>
      </c>
      <c r="W19" s="22">
        <f t="shared" si="1"/>
        <v>563183</v>
      </c>
      <c r="X19" s="22">
        <f t="shared" si="1"/>
        <v>563183</v>
      </c>
      <c r="Y19" s="22">
        <f t="shared" si="1"/>
        <v>563183</v>
      </c>
      <c r="Z19" s="22">
        <f t="shared" si="1"/>
        <v>563183</v>
      </c>
      <c r="AA19" s="22">
        <f t="shared" si="1"/>
        <v>563183</v>
      </c>
      <c r="AB19" s="22">
        <f t="shared" si="1"/>
        <v>563183</v>
      </c>
      <c r="AC19" s="22">
        <f t="shared" si="1"/>
        <v>563183</v>
      </c>
      <c r="AD19" s="22">
        <f t="shared" si="1"/>
        <v>563183</v>
      </c>
      <c r="AE19" s="22">
        <f t="shared" si="1"/>
        <v>563183</v>
      </c>
      <c r="AF19" s="22">
        <f t="shared" si="1"/>
        <v>563183</v>
      </c>
      <c r="AG19" s="22">
        <f t="shared" si="1"/>
        <v>563183</v>
      </c>
      <c r="AH19" s="22">
        <f t="shared" si="1"/>
        <v>563183</v>
      </c>
      <c r="AI19" s="22">
        <f t="shared" si="1"/>
        <v>563183</v>
      </c>
      <c r="AJ19" s="22">
        <f t="shared" si="1"/>
        <v>563183</v>
      </c>
      <c r="AK19" s="22">
        <f t="shared" si="1"/>
        <v>563183</v>
      </c>
      <c r="AL19" s="22">
        <f t="shared" si="1"/>
        <v>563183</v>
      </c>
      <c r="AM19" s="22">
        <f t="shared" si="1"/>
        <v>563183</v>
      </c>
      <c r="AN19" s="22">
        <f t="shared" si="1"/>
        <v>563183</v>
      </c>
      <c r="AO19" s="22">
        <f t="shared" si="1"/>
        <v>563183</v>
      </c>
      <c r="AP19" s="22">
        <f t="shared" si="1"/>
        <v>563183</v>
      </c>
      <c r="AQ19" s="22">
        <f t="shared" si="1"/>
        <v>563183</v>
      </c>
    </row>
    <row r="20" spans="1:26" s="5" customFormat="1" ht="56.25" customHeight="1">
      <c r="A20" s="104" t="s">
        <v>88</v>
      </c>
      <c r="B20" s="69" t="s">
        <v>103</v>
      </c>
      <c r="C20" s="105" t="s">
        <v>73</v>
      </c>
      <c r="D20" s="75" t="s">
        <v>34</v>
      </c>
      <c r="E20" s="74">
        <v>2358</v>
      </c>
      <c r="F20" s="161">
        <f>'[1]Прил. 2'!F19</f>
        <v>7729.23</v>
      </c>
      <c r="G20" s="92">
        <f>4000+300+50</f>
        <v>4350</v>
      </c>
      <c r="H20" s="92">
        <f>4000+300+50</f>
        <v>4350</v>
      </c>
      <c r="I20" s="92">
        <f>4000+300+50</f>
        <v>4350</v>
      </c>
      <c r="J20" s="159">
        <f>4000+300+50</f>
        <v>4350</v>
      </c>
      <c r="K20" s="12"/>
      <c r="L20" s="10"/>
      <c r="U20" s="7" t="e">
        <f>F37+F42+F44</f>
        <v>#VALUE!</v>
      </c>
      <c r="V20" s="5" t="e">
        <f>U20*#REF!/#REF!</f>
        <v>#VALUE!</v>
      </c>
      <c r="X20" s="8"/>
      <c r="Y20" s="8"/>
      <c r="Z20" s="8"/>
    </row>
    <row r="21" spans="1:26" s="5" customFormat="1" ht="50.25" customHeight="1">
      <c r="A21" s="104" t="s">
        <v>89</v>
      </c>
      <c r="B21" s="58" t="s">
        <v>112</v>
      </c>
      <c r="C21" s="105" t="s">
        <v>73</v>
      </c>
      <c r="D21" s="59" t="s">
        <v>34</v>
      </c>
      <c r="E21" s="50">
        <v>4557</v>
      </c>
      <c r="F21" s="49">
        <f>'[1]Прил. 2'!F20-2222.71</f>
        <v>570</v>
      </c>
      <c r="G21" s="156" t="s">
        <v>35</v>
      </c>
      <c r="H21" s="49" t="s">
        <v>35</v>
      </c>
      <c r="I21" s="49" t="s">
        <v>35</v>
      </c>
      <c r="J21" s="160" t="s">
        <v>35</v>
      </c>
      <c r="K21" s="12"/>
      <c r="L21" s="10"/>
      <c r="U21" s="7"/>
      <c r="X21" s="9"/>
      <c r="Y21" s="9"/>
      <c r="Z21" s="9"/>
    </row>
    <row r="22" spans="1:20" s="5" customFormat="1" ht="31.5" customHeight="1">
      <c r="A22" s="126" t="s">
        <v>90</v>
      </c>
      <c r="B22" s="115" t="s">
        <v>94</v>
      </c>
      <c r="C22" s="51" t="s">
        <v>56</v>
      </c>
      <c r="D22" s="42" t="s">
        <v>64</v>
      </c>
      <c r="E22" s="42">
        <v>115</v>
      </c>
      <c r="F22" s="50">
        <v>115</v>
      </c>
      <c r="G22" s="52">
        <v>115</v>
      </c>
      <c r="H22" s="52">
        <f>115+91</f>
        <v>206</v>
      </c>
      <c r="I22" s="52">
        <v>115</v>
      </c>
      <c r="J22" s="162">
        <v>115</v>
      </c>
      <c r="T22" s="5" t="s">
        <v>121</v>
      </c>
    </row>
    <row r="23" spans="1:10" s="5" customFormat="1" ht="27" customHeight="1">
      <c r="A23" s="126"/>
      <c r="B23" s="115"/>
      <c r="C23" s="51" t="s">
        <v>78</v>
      </c>
      <c r="D23" s="42" t="s">
        <v>80</v>
      </c>
      <c r="E23" s="163" t="s">
        <v>35</v>
      </c>
      <c r="F23" s="163" t="s">
        <v>76</v>
      </c>
      <c r="G23" s="52">
        <f>7+1-1</f>
        <v>7</v>
      </c>
      <c r="H23" s="52">
        <f>8+1</f>
        <v>9</v>
      </c>
      <c r="I23" s="164" t="s">
        <v>183</v>
      </c>
      <c r="J23" s="165" t="s">
        <v>183</v>
      </c>
    </row>
    <row r="24" spans="1:10" s="5" customFormat="1" ht="34.5" customHeight="1">
      <c r="A24" s="104" t="s">
        <v>91</v>
      </c>
      <c r="B24" s="69" t="s">
        <v>102</v>
      </c>
      <c r="C24" s="51" t="s">
        <v>66</v>
      </c>
      <c r="D24" s="42" t="s">
        <v>34</v>
      </c>
      <c r="E24" s="42" t="s">
        <v>35</v>
      </c>
      <c r="F24" s="42">
        <f>278696-68729</f>
        <v>209967</v>
      </c>
      <c r="G24" s="166">
        <f>278696-68729</f>
        <v>209967</v>
      </c>
      <c r="H24" s="166" t="s">
        <v>35</v>
      </c>
      <c r="I24" s="166">
        <v>209967</v>
      </c>
      <c r="J24" s="167">
        <v>209967</v>
      </c>
    </row>
    <row r="25" spans="1:10" s="5" customFormat="1" ht="27" customHeight="1">
      <c r="A25" s="104" t="s">
        <v>92</v>
      </c>
      <c r="B25" s="69" t="s">
        <v>77</v>
      </c>
      <c r="C25" s="51" t="s">
        <v>119</v>
      </c>
      <c r="D25" s="42" t="s">
        <v>34</v>
      </c>
      <c r="E25" s="42" t="s">
        <v>35</v>
      </c>
      <c r="F25" s="42">
        <v>393856</v>
      </c>
      <c r="G25" s="166">
        <v>393856</v>
      </c>
      <c r="H25" s="166">
        <v>393856</v>
      </c>
      <c r="I25" s="166">
        <v>393856</v>
      </c>
      <c r="J25" s="167">
        <v>393856</v>
      </c>
    </row>
    <row r="26" spans="1:10" s="5" customFormat="1" ht="27" customHeight="1">
      <c r="A26" s="104" t="s">
        <v>93</v>
      </c>
      <c r="B26" s="69" t="s">
        <v>62</v>
      </c>
      <c r="C26" s="51" t="s">
        <v>55</v>
      </c>
      <c r="D26" s="42" t="s">
        <v>34</v>
      </c>
      <c r="E26" s="42">
        <v>67510</v>
      </c>
      <c r="F26" s="42">
        <v>67510</v>
      </c>
      <c r="G26" s="42">
        <f>67510+8091</f>
        <v>75601</v>
      </c>
      <c r="H26" s="42">
        <f>67510+8091</f>
        <v>75601</v>
      </c>
      <c r="I26" s="42">
        <v>178312</v>
      </c>
      <c r="J26" s="168">
        <f>67510+8091</f>
        <v>75601</v>
      </c>
    </row>
    <row r="27" spans="1:10" s="5" customFormat="1" ht="73.5" customHeight="1">
      <c r="A27" s="104" t="s">
        <v>105</v>
      </c>
      <c r="B27" s="69" t="s">
        <v>63</v>
      </c>
      <c r="C27" s="51" t="s">
        <v>61</v>
      </c>
      <c r="D27" s="42" t="s">
        <v>57</v>
      </c>
      <c r="E27" s="42">
        <v>100</v>
      </c>
      <c r="F27" s="42">
        <v>100</v>
      </c>
      <c r="G27" s="42">
        <v>100</v>
      </c>
      <c r="H27" s="42">
        <v>100</v>
      </c>
      <c r="I27" s="42">
        <v>100</v>
      </c>
      <c r="J27" s="168">
        <v>100</v>
      </c>
    </row>
    <row r="28" spans="1:37" s="5" customFormat="1" ht="81.75" customHeight="1">
      <c r="A28" s="53" t="s">
        <v>106</v>
      </c>
      <c r="B28" s="54" t="s">
        <v>151</v>
      </c>
      <c r="C28" s="55" t="s">
        <v>145</v>
      </c>
      <c r="D28" s="79" t="s">
        <v>80</v>
      </c>
      <c r="E28" s="42" t="s">
        <v>35</v>
      </c>
      <c r="F28" s="42">
        <v>1</v>
      </c>
      <c r="G28" s="42" t="s">
        <v>35</v>
      </c>
      <c r="H28" s="42" t="s">
        <v>35</v>
      </c>
      <c r="I28" s="42">
        <v>4</v>
      </c>
      <c r="J28" s="168" t="s">
        <v>35</v>
      </c>
      <c r="AH28" s="5">
        <f>2932+229+2</f>
        <v>3163</v>
      </c>
      <c r="AI28" s="5">
        <f>2134+AH28</f>
        <v>5297</v>
      </c>
      <c r="AJ28" s="5">
        <v>1337</v>
      </c>
      <c r="AK28" s="5">
        <f>AI28+AJ28</f>
        <v>6634</v>
      </c>
    </row>
    <row r="29" spans="1:10" s="5" customFormat="1" ht="41.25" customHeight="1">
      <c r="A29" s="53" t="s">
        <v>129</v>
      </c>
      <c r="B29" s="54" t="s">
        <v>173</v>
      </c>
      <c r="C29" s="55" t="s">
        <v>174</v>
      </c>
      <c r="D29" s="79" t="s">
        <v>80</v>
      </c>
      <c r="E29" s="42" t="s">
        <v>35</v>
      </c>
      <c r="F29" s="42" t="s">
        <v>35</v>
      </c>
      <c r="G29" s="42">
        <v>1</v>
      </c>
      <c r="H29" s="42" t="s">
        <v>35</v>
      </c>
      <c r="I29" s="42" t="s">
        <v>35</v>
      </c>
      <c r="J29" s="168" t="s">
        <v>35</v>
      </c>
    </row>
    <row r="30" spans="1:44" s="17" customFormat="1" ht="47.25" customHeight="1">
      <c r="A30" s="53" t="s">
        <v>130</v>
      </c>
      <c r="B30" s="54" t="s">
        <v>169</v>
      </c>
      <c r="C30" s="55" t="s">
        <v>170</v>
      </c>
      <c r="D30" s="42" t="s">
        <v>34</v>
      </c>
      <c r="E30" s="42" t="s">
        <v>35</v>
      </c>
      <c r="F30" s="42" t="s">
        <v>35</v>
      </c>
      <c r="G30" s="56">
        <v>2150.72</v>
      </c>
      <c r="H30" s="42">
        <v>10714.5</v>
      </c>
      <c r="I30" s="42">
        <v>10706.6</v>
      </c>
      <c r="J30" s="168">
        <v>3303.8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0"/>
    </row>
    <row r="31" spans="1:34" ht="25.5" customHeight="1">
      <c r="A31" s="117" t="s">
        <v>83</v>
      </c>
      <c r="B31" s="118"/>
      <c r="C31" s="118"/>
      <c r="D31" s="118"/>
      <c r="E31" s="118"/>
      <c r="F31" s="118"/>
      <c r="G31" s="118"/>
      <c r="H31" s="118"/>
      <c r="I31" s="118"/>
      <c r="J31" s="119"/>
      <c r="X31" s="6"/>
      <c r="Z31" s="5">
        <f>4.85</f>
        <v>4.85</v>
      </c>
      <c r="AA31" s="5">
        <v>200000</v>
      </c>
      <c r="AB31" s="5">
        <f>AA31*Z31%</f>
        <v>9699.999999999998</v>
      </c>
      <c r="AH31" s="5">
        <f>8743.3+4706+1256.7</f>
        <v>14706</v>
      </c>
    </row>
    <row r="32" spans="1:32" ht="29.25" customHeight="1">
      <c r="A32" s="57" t="s">
        <v>3</v>
      </c>
      <c r="B32" s="58" t="s">
        <v>19</v>
      </c>
      <c r="C32" s="105" t="s">
        <v>37</v>
      </c>
      <c r="D32" s="59" t="s">
        <v>34</v>
      </c>
      <c r="E32" s="60">
        <v>242110</v>
      </c>
      <c r="F32" s="60">
        <v>242110</v>
      </c>
      <c r="G32" s="60">
        <v>242110</v>
      </c>
      <c r="H32" s="60">
        <v>242110</v>
      </c>
      <c r="I32" s="60">
        <v>242110</v>
      </c>
      <c r="J32" s="169">
        <v>242110</v>
      </c>
      <c r="X32" s="10"/>
      <c r="AB32" s="5">
        <f>AB31/12</f>
        <v>808.3333333333331</v>
      </c>
      <c r="AC32" s="5">
        <f>AB32*4</f>
        <v>3233.3333333333326</v>
      </c>
      <c r="AF32" s="16">
        <f>F32+F33+F34</f>
        <v>3072222</v>
      </c>
    </row>
    <row r="33" spans="1:34" ht="29.25" customHeight="1">
      <c r="A33" s="57" t="s">
        <v>21</v>
      </c>
      <c r="B33" s="58" t="s">
        <v>20</v>
      </c>
      <c r="C33" s="105" t="s">
        <v>38</v>
      </c>
      <c r="D33" s="59" t="s">
        <v>34</v>
      </c>
      <c r="E33" s="60">
        <v>377395</v>
      </c>
      <c r="F33" s="60">
        <v>377395</v>
      </c>
      <c r="G33" s="60">
        <v>377395</v>
      </c>
      <c r="H33" s="60">
        <v>377395</v>
      </c>
      <c r="I33" s="60">
        <v>377395</v>
      </c>
      <c r="J33" s="169">
        <v>377395</v>
      </c>
      <c r="AH33" s="5">
        <f>1256.7+8743.3</f>
        <v>10000</v>
      </c>
    </row>
    <row r="34" spans="1:47" ht="38.25">
      <c r="A34" s="57" t="s">
        <v>22</v>
      </c>
      <c r="B34" s="58" t="s">
        <v>23</v>
      </c>
      <c r="C34" s="105" t="s">
        <v>39</v>
      </c>
      <c r="D34" s="59" t="s">
        <v>34</v>
      </c>
      <c r="E34" s="61">
        <v>3076722</v>
      </c>
      <c r="F34" s="61">
        <v>2452717</v>
      </c>
      <c r="G34" s="61">
        <v>2452717</v>
      </c>
      <c r="H34" s="43">
        <v>2904495</v>
      </c>
      <c r="I34" s="61">
        <v>4274939</v>
      </c>
      <c r="J34" s="170">
        <v>4274939</v>
      </c>
      <c r="X34" s="7">
        <f>I34-H34</f>
        <v>1370444</v>
      </c>
      <c r="AR34" s="7"/>
      <c r="AU34" s="2"/>
    </row>
    <row r="35" spans="1:44" ht="31.5" customHeight="1">
      <c r="A35" s="62" t="s">
        <v>27</v>
      </c>
      <c r="B35" s="58" t="s">
        <v>158</v>
      </c>
      <c r="C35" s="105" t="s">
        <v>39</v>
      </c>
      <c r="D35" s="59" t="s">
        <v>34</v>
      </c>
      <c r="E35" s="60">
        <v>169475</v>
      </c>
      <c r="F35" s="60">
        <f>169475+2808000</f>
        <v>2977475</v>
      </c>
      <c r="G35" s="60">
        <v>169475</v>
      </c>
      <c r="H35" s="60">
        <v>150000</v>
      </c>
      <c r="I35" s="60">
        <v>169475</v>
      </c>
      <c r="J35" s="169">
        <v>169475</v>
      </c>
      <c r="AF35" s="5">
        <v>2024</v>
      </c>
      <c r="AG35" s="10">
        <v>2021</v>
      </c>
      <c r="AH35" s="5">
        <v>2020</v>
      </c>
      <c r="AI35" s="5">
        <v>2022</v>
      </c>
      <c r="AJ35" s="5">
        <v>2023</v>
      </c>
      <c r="AR35" s="30">
        <f>60000/169475</f>
        <v>0.3540345183655406</v>
      </c>
    </row>
    <row r="36" spans="1:10" ht="29.25" customHeight="1" thickBot="1">
      <c r="A36" s="150" t="s">
        <v>40</v>
      </c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46" s="5" customFormat="1" ht="31.5" customHeight="1">
      <c r="A37" s="63" t="s">
        <v>12</v>
      </c>
      <c r="B37" s="64" t="s">
        <v>8</v>
      </c>
      <c r="C37" s="65" t="s">
        <v>60</v>
      </c>
      <c r="D37" s="59" t="s">
        <v>34</v>
      </c>
      <c r="E37" s="66">
        <v>112989.8</v>
      </c>
      <c r="F37" s="67">
        <f>27777+200+84114.3+250+48.5+50+250+380</f>
        <v>113069.8</v>
      </c>
      <c r="G37" s="68">
        <f>27777+200+84114.3+250+48.5+50+300+250+38603+2190</f>
        <v>153782.8</v>
      </c>
      <c r="H37" s="68">
        <f>27777+200+84114.3+250+48.5+50+300+250+38603+2190</f>
        <v>153782.8</v>
      </c>
      <c r="I37" s="68">
        <v>160872.8</v>
      </c>
      <c r="J37" s="171">
        <v>160872.8</v>
      </c>
      <c r="T37" s="6" t="e">
        <f>H37+H42+#REF!</f>
        <v>#REF!</v>
      </c>
      <c r="X37" s="15" t="e">
        <f>F37+F42+F44+F45</f>
        <v>#VALUE!</v>
      </c>
      <c r="Y37" s="16" t="e">
        <f>X37*Y38/X38</f>
        <v>#VALUE!</v>
      </c>
      <c r="AF37" s="140" t="s">
        <v>159</v>
      </c>
      <c r="AG37" s="141"/>
      <c r="AH37" s="141"/>
      <c r="AI37" s="19"/>
      <c r="AJ37" s="20"/>
      <c r="AR37" s="6">
        <f>I37+I42+I44+I46</f>
        <v>2216462.3</v>
      </c>
      <c r="AS37" s="5">
        <f>AR37*AS39/AR39</f>
        <v>89.21795100536936</v>
      </c>
      <c r="AT37" s="6"/>
    </row>
    <row r="38" spans="1:47" ht="33" customHeight="1">
      <c r="A38" s="63" t="s">
        <v>13</v>
      </c>
      <c r="B38" s="69" t="s">
        <v>99</v>
      </c>
      <c r="C38" s="105" t="s">
        <v>101</v>
      </c>
      <c r="D38" s="59" t="s">
        <v>36</v>
      </c>
      <c r="E38" s="50" t="s">
        <v>35</v>
      </c>
      <c r="F38" s="56">
        <v>14058.35</v>
      </c>
      <c r="G38" s="50">
        <f>12064.6+9320.36+3843.04</f>
        <v>25228</v>
      </c>
      <c r="H38" s="70">
        <f>18379.57</f>
        <v>18379.57</v>
      </c>
      <c r="I38" s="61">
        <v>18020</v>
      </c>
      <c r="J38" s="170">
        <v>18020</v>
      </c>
      <c r="T38" s="5" t="e">
        <f>T37*Y38/X38</f>
        <v>#REF!</v>
      </c>
      <c r="X38" s="6">
        <f>I37+I42+H44</f>
        <v>2341589.8</v>
      </c>
      <c r="Y38" s="5">
        <v>100</v>
      </c>
      <c r="AF38" s="32">
        <f>J37+J42+J44</f>
        <v>2212472.8</v>
      </c>
      <c r="AG38" s="33" t="e">
        <f>#REF!+G42+G44+G46</f>
        <v>#REF!</v>
      </c>
      <c r="AH38" s="33">
        <f>F37+F44+F45</f>
        <v>2188798.8</v>
      </c>
      <c r="AI38" s="33" t="e">
        <f>H37+H42+#REF!+H46</f>
        <v>#REF!</v>
      </c>
      <c r="AJ38" s="34">
        <f>I37+I42+H44</f>
        <v>2341589.8</v>
      </c>
      <c r="AR38" s="6">
        <f>H37+H42+H44</f>
        <v>2326781.8</v>
      </c>
      <c r="AS38">
        <f>AR38*AS39/AR39</f>
        <v>93.65857683777664</v>
      </c>
      <c r="AT38" s="18"/>
      <c r="AU38" s="3"/>
    </row>
    <row r="39" spans="1:45" ht="34.5" customHeight="1" thickBot="1">
      <c r="A39" s="123" t="s">
        <v>14</v>
      </c>
      <c r="B39" s="138" t="s">
        <v>18</v>
      </c>
      <c r="C39" s="105" t="s">
        <v>41</v>
      </c>
      <c r="D39" s="71" t="s">
        <v>42</v>
      </c>
      <c r="E39" s="72">
        <v>603.62</v>
      </c>
      <c r="F39" s="72">
        <f>825.53+368.78+1667.35+48.65+814.64+398.39+1062.73+99.59+1035.16+104.56+1681.78+140.17+873.88+20.743</f>
        <v>9141.953</v>
      </c>
      <c r="G39" s="72">
        <v>7375.03</v>
      </c>
      <c r="H39" s="73">
        <f>64.5+177.75+160.81+384+98.47+487.61+47.88+63.29+57.44+56.9+14.12+119.91+3.04+20.78</f>
        <v>1756.5</v>
      </c>
      <c r="I39" s="73">
        <v>865.5</v>
      </c>
      <c r="J39" s="172">
        <v>865.5</v>
      </c>
      <c r="AF39" s="35">
        <v>100</v>
      </c>
      <c r="AG39" s="36" t="e">
        <f>AF39*AG38/AF38</f>
        <v>#REF!</v>
      </c>
      <c r="AH39" s="37">
        <f>AF39*AH38/AF38</f>
        <v>98.92997554591405</v>
      </c>
      <c r="AI39" s="36" t="e">
        <f>AI38*AF39/AF38</f>
        <v>#REF!</v>
      </c>
      <c r="AJ39" s="38">
        <f>AJ38*AF39/AF38</f>
        <v>105.83586835508214</v>
      </c>
      <c r="AR39" s="10">
        <f>G37+G42+G44+G46</f>
        <v>2484323.25</v>
      </c>
      <c r="AS39">
        <v>100</v>
      </c>
    </row>
    <row r="40" spans="1:45" ht="30.75" customHeight="1">
      <c r="A40" s="123"/>
      <c r="B40" s="138"/>
      <c r="C40" s="105" t="s">
        <v>43</v>
      </c>
      <c r="D40" s="71" t="s">
        <v>64</v>
      </c>
      <c r="E40" s="74">
        <v>90</v>
      </c>
      <c r="F40" s="74">
        <f>11+11+6+3+8</f>
        <v>39</v>
      </c>
      <c r="G40" s="74">
        <v>162</v>
      </c>
      <c r="H40" s="43">
        <v>3</v>
      </c>
      <c r="I40" s="43">
        <v>6</v>
      </c>
      <c r="J40" s="173">
        <v>6</v>
      </c>
      <c r="AR40" s="6">
        <f>F37+F44+F45+E42</f>
        <v>2210583.8</v>
      </c>
      <c r="AS40">
        <f>AR40*AS39/AR39</f>
        <v>88.9813272085265</v>
      </c>
    </row>
    <row r="41" spans="1:36" ht="28.5" customHeight="1">
      <c r="A41" s="63" t="s">
        <v>15</v>
      </c>
      <c r="B41" s="64" t="s">
        <v>9</v>
      </c>
      <c r="C41" s="105" t="s">
        <v>44</v>
      </c>
      <c r="D41" s="59" t="s">
        <v>36</v>
      </c>
      <c r="E41" s="66">
        <v>1421.4</v>
      </c>
      <c r="F41" s="50">
        <v>5365</v>
      </c>
      <c r="G41" s="50">
        <v>17802</v>
      </c>
      <c r="H41" s="70">
        <f>600+1000+1110+1000+421.88+3156.5</f>
        <v>7288.38</v>
      </c>
      <c r="I41" s="70">
        <v>5436.9</v>
      </c>
      <c r="J41" s="174">
        <v>5436.9</v>
      </c>
      <c r="AF41" s="7">
        <f>F41-4656</f>
        <v>709</v>
      </c>
      <c r="AH41" s="6" t="e">
        <f>F37+F42+F44</f>
        <v>#VALUE!</v>
      </c>
      <c r="AI41" s="6" t="e">
        <f>#REF!+G42+G44+F45+F46</f>
        <v>#REF!</v>
      </c>
      <c r="AJ41" s="6">
        <f>J37+J42+J44</f>
        <v>2212472.8</v>
      </c>
    </row>
    <row r="42" spans="1:36" s="5" customFormat="1" ht="27.75" customHeight="1">
      <c r="A42" s="63" t="s">
        <v>16</v>
      </c>
      <c r="B42" s="64" t="s">
        <v>10</v>
      </c>
      <c r="C42" s="105" t="s">
        <v>45</v>
      </c>
      <c r="D42" s="75" t="s">
        <v>46</v>
      </c>
      <c r="E42" s="74">
        <v>21785</v>
      </c>
      <c r="F42" s="76" t="s">
        <v>35</v>
      </c>
      <c r="G42" s="76">
        <v>251698.5</v>
      </c>
      <c r="H42" s="74">
        <f>11640+20000+1800+2000+5500+171942</f>
        <v>212882</v>
      </c>
      <c r="I42" s="74">
        <v>220600</v>
      </c>
      <c r="J42" s="175">
        <v>220600</v>
      </c>
      <c r="AF42" s="6" t="e">
        <f>G42-F42</f>
        <v>#VALUE!</v>
      </c>
      <c r="AH42" s="5" t="e">
        <f>AH41*AJ42/AJ41</f>
        <v>#VALUE!</v>
      </c>
      <c r="AI42" s="5" t="e">
        <f>AI41*AJ42/AJ41</f>
        <v>#REF!</v>
      </c>
      <c r="AJ42" s="5">
        <v>100</v>
      </c>
    </row>
    <row r="43" spans="1:10" ht="30" customHeight="1">
      <c r="A43" s="63" t="s">
        <v>17</v>
      </c>
      <c r="B43" s="64" t="s">
        <v>11</v>
      </c>
      <c r="C43" s="105" t="s">
        <v>47</v>
      </c>
      <c r="D43" s="59" t="s">
        <v>36</v>
      </c>
      <c r="E43" s="60">
        <v>1900</v>
      </c>
      <c r="F43" s="50">
        <f>2400-82</f>
        <v>2318</v>
      </c>
      <c r="G43" s="50">
        <v>2850</v>
      </c>
      <c r="H43" s="50">
        <f>256+532.25+647.25+625.25+585.25+205</f>
        <v>2851</v>
      </c>
      <c r="I43" s="50">
        <v>2682</v>
      </c>
      <c r="J43" s="176">
        <v>2682</v>
      </c>
    </row>
    <row r="44" spans="1:22" s="5" customFormat="1" ht="27" customHeight="1">
      <c r="A44" s="63" t="s">
        <v>25</v>
      </c>
      <c r="B44" s="64" t="s">
        <v>24</v>
      </c>
      <c r="C44" s="105" t="s">
        <v>48</v>
      </c>
      <c r="D44" s="59" t="s">
        <v>34</v>
      </c>
      <c r="E44" s="66">
        <v>1460111.1</v>
      </c>
      <c r="F44" s="50">
        <v>2070972</v>
      </c>
      <c r="G44" s="50">
        <v>2070972</v>
      </c>
      <c r="H44" s="50">
        <f>2070044-109927</f>
        <v>1960117</v>
      </c>
      <c r="I44" s="50">
        <v>1831000</v>
      </c>
      <c r="J44" s="176">
        <v>1831000</v>
      </c>
      <c r="V44" s="6"/>
    </row>
    <row r="45" spans="1:36" ht="41.25" customHeight="1">
      <c r="A45" s="63" t="s">
        <v>115</v>
      </c>
      <c r="B45" s="77" t="s">
        <v>149</v>
      </c>
      <c r="C45" s="64" t="s">
        <v>117</v>
      </c>
      <c r="D45" s="59" t="s">
        <v>34</v>
      </c>
      <c r="E45" s="66" t="s">
        <v>35</v>
      </c>
      <c r="F45" s="50">
        <v>4757</v>
      </c>
      <c r="G45" s="50" t="s">
        <v>35</v>
      </c>
      <c r="H45" s="50" t="s">
        <v>35</v>
      </c>
      <c r="I45" s="50" t="s">
        <v>35</v>
      </c>
      <c r="J45" s="176" t="s">
        <v>35</v>
      </c>
      <c r="V45" s="6"/>
      <c r="AG45" s="5">
        <f>161079.5-66241.5</f>
        <v>94838</v>
      </c>
      <c r="AH45" s="5">
        <f>3638+950+14706+4500</f>
        <v>23794</v>
      </c>
      <c r="AI45" s="5">
        <f>43+443+18+132+3+692+353+1086</f>
        <v>2770</v>
      </c>
      <c r="AJ45" s="5">
        <f>2134+132+18+443+43</f>
        <v>2770</v>
      </c>
    </row>
    <row r="46" spans="1:33" s="5" customFormat="1" ht="37.5" customHeight="1">
      <c r="A46" s="53" t="s">
        <v>139</v>
      </c>
      <c r="B46" s="78" t="s">
        <v>171</v>
      </c>
      <c r="C46" s="55" t="s">
        <v>150</v>
      </c>
      <c r="D46" s="79" t="s">
        <v>34</v>
      </c>
      <c r="E46" s="66" t="s">
        <v>35</v>
      </c>
      <c r="F46" s="80" t="s">
        <v>35</v>
      </c>
      <c r="G46" s="56">
        <v>7869.95</v>
      </c>
      <c r="H46" s="50" t="s">
        <v>35</v>
      </c>
      <c r="I46" s="67">
        <v>3989.5</v>
      </c>
      <c r="J46" s="177">
        <v>3989.5</v>
      </c>
      <c r="V46" s="6"/>
      <c r="AG46" s="5">
        <f>1890+1057</f>
        <v>2947</v>
      </c>
    </row>
    <row r="47" spans="1:22" s="5" customFormat="1" ht="33" customHeight="1">
      <c r="A47" s="53" t="s">
        <v>140</v>
      </c>
      <c r="B47" s="81" t="s">
        <v>147</v>
      </c>
      <c r="C47" s="55" t="s">
        <v>48</v>
      </c>
      <c r="D47" s="79" t="s">
        <v>34</v>
      </c>
      <c r="E47" s="66" t="s">
        <v>35</v>
      </c>
      <c r="F47" s="80">
        <v>2070972</v>
      </c>
      <c r="G47" s="80">
        <v>2070972</v>
      </c>
      <c r="H47" s="50">
        <f>2070044-109927</f>
        <v>1960117</v>
      </c>
      <c r="I47" s="80">
        <v>1840000</v>
      </c>
      <c r="J47" s="178">
        <v>1840000</v>
      </c>
      <c r="V47" s="6"/>
    </row>
    <row r="48" spans="1:22" s="5" customFormat="1" ht="48.75" customHeight="1">
      <c r="A48" s="53" t="s">
        <v>141</v>
      </c>
      <c r="B48" s="78" t="s">
        <v>142</v>
      </c>
      <c r="C48" s="55" t="s">
        <v>148</v>
      </c>
      <c r="D48" s="79" t="s">
        <v>80</v>
      </c>
      <c r="E48" s="60">
        <v>1</v>
      </c>
      <c r="F48" s="82">
        <v>1</v>
      </c>
      <c r="G48" s="50" t="s">
        <v>35</v>
      </c>
      <c r="H48" s="50" t="s">
        <v>35</v>
      </c>
      <c r="I48" s="50" t="s">
        <v>35</v>
      </c>
      <c r="J48" s="176" t="s">
        <v>35</v>
      </c>
      <c r="V48" s="6"/>
    </row>
    <row r="49" spans="1:44" s="17" customFormat="1" ht="41.25" customHeight="1">
      <c r="A49" s="53" t="s">
        <v>163</v>
      </c>
      <c r="B49" s="78" t="s">
        <v>166</v>
      </c>
      <c r="C49" s="55" t="s">
        <v>167</v>
      </c>
      <c r="D49" s="79" t="s">
        <v>34</v>
      </c>
      <c r="E49" s="60" t="s">
        <v>35</v>
      </c>
      <c r="F49" s="82" t="s">
        <v>35</v>
      </c>
      <c r="G49" s="80">
        <v>47299</v>
      </c>
      <c r="H49" s="80">
        <v>356115</v>
      </c>
      <c r="I49" s="80" t="s">
        <v>35</v>
      </c>
      <c r="J49" s="178" t="s">
        <v>35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s="17" customFormat="1" ht="41.25" customHeight="1">
      <c r="A50" s="53" t="s">
        <v>181</v>
      </c>
      <c r="B50" s="78" t="s">
        <v>180</v>
      </c>
      <c r="C50" s="55" t="s">
        <v>182</v>
      </c>
      <c r="D50" s="79" t="s">
        <v>57</v>
      </c>
      <c r="E50" s="60" t="s">
        <v>35</v>
      </c>
      <c r="F50" s="82" t="s">
        <v>35</v>
      </c>
      <c r="G50" s="80" t="s">
        <v>35</v>
      </c>
      <c r="H50" s="80" t="s">
        <v>35</v>
      </c>
      <c r="I50" s="80">
        <v>100</v>
      </c>
      <c r="J50" s="178">
        <v>100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22" ht="26.25" customHeight="1">
      <c r="A51" s="135" t="s">
        <v>95</v>
      </c>
      <c r="B51" s="136"/>
      <c r="C51" s="136"/>
      <c r="D51" s="136"/>
      <c r="E51" s="136"/>
      <c r="F51" s="136"/>
      <c r="G51" s="136"/>
      <c r="H51" s="136"/>
      <c r="I51" s="136"/>
      <c r="J51" s="137"/>
      <c r="K51" s="5">
        <v>185184</v>
      </c>
      <c r="L51" s="7" t="e">
        <f>I55-K51</f>
        <v>#VALUE!</v>
      </c>
      <c r="V51" s="7"/>
    </row>
    <row r="52" spans="1:33" s="5" customFormat="1" ht="21" customHeight="1">
      <c r="A52" s="129" t="s">
        <v>4</v>
      </c>
      <c r="B52" s="127" t="s">
        <v>133</v>
      </c>
      <c r="C52" s="83" t="s">
        <v>58</v>
      </c>
      <c r="D52" s="42" t="s">
        <v>64</v>
      </c>
      <c r="E52" s="42">
        <v>5</v>
      </c>
      <c r="F52" s="42">
        <f>20+2+4+1</f>
        <v>27</v>
      </c>
      <c r="G52" s="42">
        <f>13+2-10</f>
        <v>5</v>
      </c>
      <c r="H52" s="42">
        <f>2</f>
        <v>2</v>
      </c>
      <c r="I52" s="42">
        <v>15</v>
      </c>
      <c r="J52" s="168">
        <v>15</v>
      </c>
      <c r="K52" s="13">
        <f aca="true" t="shared" si="2" ref="K52:S52">15+2</f>
        <v>17</v>
      </c>
      <c r="L52" s="4">
        <f t="shared" si="2"/>
        <v>17</v>
      </c>
      <c r="M52" s="4">
        <f t="shared" si="2"/>
        <v>17</v>
      </c>
      <c r="N52" s="4">
        <f t="shared" si="2"/>
        <v>17</v>
      </c>
      <c r="O52" s="4">
        <f t="shared" si="2"/>
        <v>17</v>
      </c>
      <c r="P52" s="4">
        <f t="shared" si="2"/>
        <v>17</v>
      </c>
      <c r="Q52" s="4">
        <f t="shared" si="2"/>
        <v>17</v>
      </c>
      <c r="R52" s="4">
        <f t="shared" si="2"/>
        <v>17</v>
      </c>
      <c r="S52" s="4">
        <f t="shared" si="2"/>
        <v>17</v>
      </c>
      <c r="T52" s="5" t="s">
        <v>137</v>
      </c>
      <c r="V52" s="7"/>
      <c r="AF52" s="5" t="s">
        <v>162</v>
      </c>
      <c r="AG52" s="5" t="s">
        <v>160</v>
      </c>
    </row>
    <row r="53" spans="1:36" s="5" customFormat="1" ht="21" customHeight="1">
      <c r="A53" s="130"/>
      <c r="B53" s="128"/>
      <c r="C53" s="83" t="s">
        <v>134</v>
      </c>
      <c r="D53" s="42" t="s">
        <v>34</v>
      </c>
      <c r="E53" s="42" t="s">
        <v>35</v>
      </c>
      <c r="F53" s="42">
        <v>474.7</v>
      </c>
      <c r="G53" s="42" t="s">
        <v>35</v>
      </c>
      <c r="H53" s="42" t="s">
        <v>35</v>
      </c>
      <c r="I53" s="42">
        <v>226.1</v>
      </c>
      <c r="J53" s="168">
        <v>226.1</v>
      </c>
      <c r="K53" s="14"/>
      <c r="L53" s="14"/>
      <c r="M53" s="14"/>
      <c r="N53" s="14"/>
      <c r="O53" s="14"/>
      <c r="P53" s="14"/>
      <c r="Q53" s="14"/>
      <c r="R53" s="14"/>
      <c r="S53" s="14"/>
      <c r="T53" s="5" t="s">
        <v>135</v>
      </c>
      <c r="V53" s="7"/>
      <c r="AF53" s="5">
        <f>474.7-223</f>
        <v>251.7</v>
      </c>
      <c r="AG53" s="5">
        <f>0.04*100</f>
        <v>4</v>
      </c>
      <c r="AH53" s="5">
        <f>0.006*10000</f>
        <v>60</v>
      </c>
      <c r="AI53" s="5">
        <f>2.07*100</f>
        <v>206.99999999999997</v>
      </c>
      <c r="AJ53" s="5">
        <f>AI53+AH53+AG53+AF53-60</f>
        <v>462.70000000000005</v>
      </c>
    </row>
    <row r="54" spans="1:33" s="5" customFormat="1" ht="21" customHeight="1">
      <c r="A54" s="131"/>
      <c r="B54" s="124"/>
      <c r="C54" s="83" t="s">
        <v>136</v>
      </c>
      <c r="D54" s="42" t="s">
        <v>64</v>
      </c>
      <c r="E54" s="42" t="s">
        <v>35</v>
      </c>
      <c r="F54" s="42">
        <v>12</v>
      </c>
      <c r="G54" s="42" t="s">
        <v>35</v>
      </c>
      <c r="H54" s="42" t="s">
        <v>35</v>
      </c>
      <c r="I54" s="42" t="s">
        <v>35</v>
      </c>
      <c r="J54" s="168" t="s">
        <v>35</v>
      </c>
      <c r="K54" s="14"/>
      <c r="L54" s="14"/>
      <c r="M54" s="14"/>
      <c r="N54" s="14"/>
      <c r="O54" s="14"/>
      <c r="P54" s="14"/>
      <c r="Q54" s="14"/>
      <c r="R54" s="14"/>
      <c r="S54" s="14"/>
      <c r="T54" s="5" t="s">
        <v>135</v>
      </c>
      <c r="V54" s="7"/>
      <c r="AG54" s="5">
        <f>0.228*1000</f>
        <v>228</v>
      </c>
    </row>
    <row r="55" spans="1:22" s="5" customFormat="1" ht="31.5" customHeight="1">
      <c r="A55" s="63" t="s">
        <v>5</v>
      </c>
      <c r="B55" s="69" t="s">
        <v>98</v>
      </c>
      <c r="C55" s="77" t="s">
        <v>59</v>
      </c>
      <c r="D55" s="42" t="s">
        <v>34</v>
      </c>
      <c r="E55" s="42">
        <v>185184</v>
      </c>
      <c r="F55" s="42" t="s">
        <v>35</v>
      </c>
      <c r="G55" s="42">
        <v>8308</v>
      </c>
      <c r="H55" s="42" t="s">
        <v>35</v>
      </c>
      <c r="I55" s="42" t="s">
        <v>35</v>
      </c>
      <c r="J55" s="168" t="s">
        <v>35</v>
      </c>
      <c r="L55" s="7"/>
      <c r="V55" s="7"/>
    </row>
    <row r="56" spans="1:34" s="5" customFormat="1" ht="31.5" customHeight="1">
      <c r="A56" s="123" t="s">
        <v>7</v>
      </c>
      <c r="B56" s="115" t="s">
        <v>26</v>
      </c>
      <c r="C56" s="51" t="s">
        <v>75</v>
      </c>
      <c r="D56" s="42" t="s">
        <v>64</v>
      </c>
      <c r="E56" s="50">
        <v>30</v>
      </c>
      <c r="F56" s="50">
        <f>30+5</f>
        <v>35</v>
      </c>
      <c r="G56" s="50">
        <f>28+3+1</f>
        <v>32</v>
      </c>
      <c r="H56" s="50">
        <v>41</v>
      </c>
      <c r="I56" s="50">
        <v>41</v>
      </c>
      <c r="J56" s="176">
        <v>41</v>
      </c>
      <c r="T56" s="5" t="s">
        <v>131</v>
      </c>
      <c r="V56" s="6"/>
      <c r="Y56" s="5" t="s">
        <v>118</v>
      </c>
      <c r="AF56" s="21" t="s">
        <v>161</v>
      </c>
      <c r="AG56" s="139" t="s">
        <v>165</v>
      </c>
      <c r="AH56" s="139"/>
    </row>
    <row r="57" spans="1:22" s="5" customFormat="1" ht="36" customHeight="1">
      <c r="A57" s="123"/>
      <c r="B57" s="115"/>
      <c r="C57" s="51" t="s">
        <v>116</v>
      </c>
      <c r="D57" s="42" t="s">
        <v>64</v>
      </c>
      <c r="E57" s="50" t="s">
        <v>35</v>
      </c>
      <c r="F57" s="50">
        <v>348</v>
      </c>
      <c r="G57" s="50">
        <v>282</v>
      </c>
      <c r="H57" s="50">
        <f>282-30</f>
        <v>252</v>
      </c>
      <c r="I57" s="50">
        <v>252</v>
      </c>
      <c r="J57" s="176">
        <v>252</v>
      </c>
      <c r="V57" s="6"/>
    </row>
    <row r="58" spans="1:47" s="5" customFormat="1" ht="36.75" customHeight="1">
      <c r="A58" s="123"/>
      <c r="B58" s="115"/>
      <c r="C58" s="51" t="s">
        <v>65</v>
      </c>
      <c r="D58" s="42" t="s">
        <v>64</v>
      </c>
      <c r="E58" s="42" t="s">
        <v>35</v>
      </c>
      <c r="F58" s="42">
        <v>562</v>
      </c>
      <c r="G58" s="42">
        <v>530</v>
      </c>
      <c r="H58" s="42">
        <f>562-54</f>
        <v>508</v>
      </c>
      <c r="I58" s="42">
        <v>400</v>
      </c>
      <c r="J58" s="168">
        <v>400</v>
      </c>
      <c r="AR58" s="5">
        <v>508</v>
      </c>
      <c r="AS58" s="5">
        <f>H58-AR58</f>
        <v>0</v>
      </c>
      <c r="AU58" s="5">
        <v>562</v>
      </c>
    </row>
    <row r="59" spans="1:10" ht="29.25" customHeight="1">
      <c r="A59" s="120" t="s">
        <v>96</v>
      </c>
      <c r="B59" s="121"/>
      <c r="C59" s="121"/>
      <c r="D59" s="121"/>
      <c r="E59" s="121"/>
      <c r="F59" s="121"/>
      <c r="G59" s="121"/>
      <c r="H59" s="121"/>
      <c r="I59" s="121"/>
      <c r="J59" s="122"/>
    </row>
    <row r="60" spans="1:10" ht="37.5" customHeight="1">
      <c r="A60" s="85" t="s">
        <v>6</v>
      </c>
      <c r="B60" s="69" t="s">
        <v>172</v>
      </c>
      <c r="C60" s="51" t="s">
        <v>100</v>
      </c>
      <c r="D60" s="42" t="s">
        <v>64</v>
      </c>
      <c r="E60" s="42">
        <v>544</v>
      </c>
      <c r="F60" s="42">
        <f>619-39</f>
        <v>580</v>
      </c>
      <c r="G60" s="42">
        <f>341+219+224-45+45</f>
        <v>784</v>
      </c>
      <c r="H60" s="42">
        <f>444+327+25+489</f>
        <v>1285</v>
      </c>
      <c r="I60" s="42">
        <v>436</v>
      </c>
      <c r="J60" s="168">
        <v>164</v>
      </c>
    </row>
    <row r="61" spans="1:10" ht="30" customHeight="1">
      <c r="A61" s="132" t="s">
        <v>157</v>
      </c>
      <c r="B61" s="133"/>
      <c r="C61" s="133"/>
      <c r="D61" s="133"/>
      <c r="E61" s="133"/>
      <c r="F61" s="133"/>
      <c r="G61" s="133"/>
      <c r="H61" s="133"/>
      <c r="I61" s="133"/>
      <c r="J61" s="134"/>
    </row>
    <row r="62" spans="1:45" s="5" customFormat="1" ht="35.25" customHeight="1">
      <c r="A62" s="125" t="s">
        <v>152</v>
      </c>
      <c r="B62" s="124" t="s">
        <v>164</v>
      </c>
      <c r="C62" s="86" t="s">
        <v>101</v>
      </c>
      <c r="D62" s="87" t="s">
        <v>36</v>
      </c>
      <c r="E62" s="88" t="s">
        <v>35</v>
      </c>
      <c r="F62" s="89">
        <f>2905.5+6318.35</f>
        <v>9223.85</v>
      </c>
      <c r="G62" s="90">
        <f>4813+50-2178.2</f>
        <v>2684.8</v>
      </c>
      <c r="H62" s="90">
        <f>291.2+335.6+335.6+335.6+335.6+335.6+335.6+348.1+350.6+35.2</f>
        <v>3038.6999999999994</v>
      </c>
      <c r="I62" s="90">
        <v>8138</v>
      </c>
      <c r="J62" s="179">
        <v>8138</v>
      </c>
      <c r="AR62" s="6"/>
      <c r="AS62" s="7"/>
    </row>
    <row r="63" spans="1:10" s="5" customFormat="1" ht="40.5" customHeight="1">
      <c r="A63" s="126"/>
      <c r="B63" s="115"/>
      <c r="C63" s="105" t="s">
        <v>144</v>
      </c>
      <c r="D63" s="75" t="s">
        <v>64</v>
      </c>
      <c r="E63" s="76" t="s">
        <v>35</v>
      </c>
      <c r="F63" s="49">
        <v>6</v>
      </c>
      <c r="G63" s="91">
        <v>20</v>
      </c>
      <c r="H63" s="91">
        <f>20+13</f>
        <v>33</v>
      </c>
      <c r="I63" s="91">
        <v>10</v>
      </c>
      <c r="J63" s="180">
        <v>10</v>
      </c>
    </row>
    <row r="64" spans="1:10" ht="30" customHeight="1">
      <c r="A64" s="103" t="s">
        <v>153</v>
      </c>
      <c r="B64" s="84" t="s">
        <v>124</v>
      </c>
      <c r="C64" s="105" t="s">
        <v>132</v>
      </c>
      <c r="D64" s="75" t="s">
        <v>36</v>
      </c>
      <c r="E64" s="76" t="s">
        <v>35</v>
      </c>
      <c r="F64" s="92">
        <f>1685-935</f>
        <v>750</v>
      </c>
      <c r="G64" s="92" t="s">
        <v>35</v>
      </c>
      <c r="H64" s="92" t="s">
        <v>35</v>
      </c>
      <c r="I64" s="181" t="s">
        <v>35</v>
      </c>
      <c r="J64" s="182" t="s">
        <v>35</v>
      </c>
    </row>
    <row r="65" spans="1:10" ht="32.25" customHeight="1">
      <c r="A65" s="103" t="s">
        <v>154</v>
      </c>
      <c r="B65" s="84" t="s">
        <v>125</v>
      </c>
      <c r="C65" s="105" t="s">
        <v>126</v>
      </c>
      <c r="D65" s="75" t="s">
        <v>127</v>
      </c>
      <c r="E65" s="76" t="s">
        <v>35</v>
      </c>
      <c r="F65" s="92">
        <v>563</v>
      </c>
      <c r="G65" s="92">
        <v>332</v>
      </c>
      <c r="H65" s="92">
        <v>328</v>
      </c>
      <c r="I65" s="92">
        <v>650</v>
      </c>
      <c r="J65" s="162">
        <v>650</v>
      </c>
    </row>
    <row r="66" spans="1:10" s="5" customFormat="1" ht="45" customHeight="1">
      <c r="A66" s="103" t="s">
        <v>156</v>
      </c>
      <c r="B66" s="54" t="s">
        <v>143</v>
      </c>
      <c r="C66" s="55" t="s">
        <v>146</v>
      </c>
      <c r="D66" s="79" t="s">
        <v>80</v>
      </c>
      <c r="E66" s="42" t="s">
        <v>35</v>
      </c>
      <c r="F66" s="42">
        <v>57</v>
      </c>
      <c r="G66" s="42">
        <f>80+2+1-43</f>
        <v>40</v>
      </c>
      <c r="H66" s="42">
        <f>75-14</f>
        <v>61</v>
      </c>
      <c r="I66" s="42">
        <v>65</v>
      </c>
      <c r="J66" s="168">
        <v>65</v>
      </c>
    </row>
    <row r="67" spans="1:10" ht="96.75" customHeight="1">
      <c r="A67" s="104" t="s">
        <v>155</v>
      </c>
      <c r="B67" s="51" t="s">
        <v>179</v>
      </c>
      <c r="C67" s="105" t="s">
        <v>128</v>
      </c>
      <c r="D67" s="42" t="s">
        <v>64</v>
      </c>
      <c r="E67" s="76" t="s">
        <v>35</v>
      </c>
      <c r="F67" s="49">
        <v>5</v>
      </c>
      <c r="G67" s="93">
        <f>25+24+43-43-5+2</f>
        <v>46</v>
      </c>
      <c r="H67" s="93">
        <v>84</v>
      </c>
      <c r="I67" s="181" t="s">
        <v>35</v>
      </c>
      <c r="J67" s="182" t="s">
        <v>35</v>
      </c>
    </row>
    <row r="68" spans="1:10" s="17" customFormat="1" ht="26.25" customHeight="1">
      <c r="A68" s="143" t="s">
        <v>176</v>
      </c>
      <c r="B68" s="127" t="s">
        <v>175</v>
      </c>
      <c r="C68" s="44" t="s">
        <v>177</v>
      </c>
      <c r="D68" s="45" t="s">
        <v>36</v>
      </c>
      <c r="E68" s="46" t="s">
        <v>35</v>
      </c>
      <c r="F68" s="47" t="s">
        <v>35</v>
      </c>
      <c r="G68" s="48" t="s">
        <v>35</v>
      </c>
      <c r="H68" s="48">
        <v>1255</v>
      </c>
      <c r="I68" s="183">
        <v>869</v>
      </c>
      <c r="J68" s="184">
        <v>869</v>
      </c>
    </row>
    <row r="69" spans="1:46" ht="32.25" customHeight="1" thickBot="1">
      <c r="A69" s="144"/>
      <c r="B69" s="142"/>
      <c r="C69" s="94" t="s">
        <v>178</v>
      </c>
      <c r="D69" s="95" t="s">
        <v>34</v>
      </c>
      <c r="E69" s="96" t="s">
        <v>35</v>
      </c>
      <c r="F69" s="97" t="s">
        <v>35</v>
      </c>
      <c r="G69" s="98" t="s">
        <v>35</v>
      </c>
      <c r="H69" s="98">
        <v>321610</v>
      </c>
      <c r="I69" s="185">
        <v>321610</v>
      </c>
      <c r="J69" s="186">
        <v>321610</v>
      </c>
      <c r="AR69" s="7"/>
      <c r="AT69" s="26"/>
    </row>
    <row r="70" spans="1:46" ht="20.25" customHeight="1">
      <c r="A70" s="23"/>
      <c r="B70" s="39"/>
      <c r="C70" s="39"/>
      <c r="D70" s="40"/>
      <c r="E70" s="40"/>
      <c r="F70" s="40"/>
      <c r="G70" s="23"/>
      <c r="H70" s="23"/>
      <c r="I70" s="23"/>
      <c r="J70" s="23"/>
      <c r="AT70" s="26"/>
    </row>
    <row r="71" spans="1:46" ht="15">
      <c r="A71" s="23"/>
      <c r="B71" s="24"/>
      <c r="C71" s="41"/>
      <c r="D71" s="23"/>
      <c r="E71" s="23"/>
      <c r="F71" s="23"/>
      <c r="G71" s="23"/>
      <c r="H71" s="23"/>
      <c r="I71" s="23"/>
      <c r="J71" s="23"/>
      <c r="AT71" s="26"/>
    </row>
  </sheetData>
  <sheetProtection/>
  <mergeCells count="34">
    <mergeCell ref="B68:B69"/>
    <mergeCell ref="A68:A69"/>
    <mergeCell ref="F2:J2"/>
    <mergeCell ref="A3:J3"/>
    <mergeCell ref="A4:A5"/>
    <mergeCell ref="B4:B5"/>
    <mergeCell ref="C4:C5"/>
    <mergeCell ref="A22:A23"/>
    <mergeCell ref="A36:J36"/>
    <mergeCell ref="D4:D5"/>
    <mergeCell ref="A11:A13"/>
    <mergeCell ref="B14:B17"/>
    <mergeCell ref="A51:J51"/>
    <mergeCell ref="B39:B40"/>
    <mergeCell ref="AG56:AH56"/>
    <mergeCell ref="AF37:AH37"/>
    <mergeCell ref="A59:J59"/>
    <mergeCell ref="A39:A40"/>
    <mergeCell ref="A56:A58"/>
    <mergeCell ref="B62:B63"/>
    <mergeCell ref="A62:A63"/>
    <mergeCell ref="B52:B54"/>
    <mergeCell ref="A52:A54"/>
    <mergeCell ref="A61:J61"/>
    <mergeCell ref="F1:J1"/>
    <mergeCell ref="E4:E5"/>
    <mergeCell ref="A14:A17"/>
    <mergeCell ref="A7:J7"/>
    <mergeCell ref="A8:J8"/>
    <mergeCell ref="B56:B58"/>
    <mergeCell ref="F4:J4"/>
    <mergeCell ref="B11:B13"/>
    <mergeCell ref="B22:B23"/>
    <mergeCell ref="A31:J31"/>
  </mergeCells>
  <printOptions/>
  <pageMargins left="0.7086614173228347" right="0.3937007874015748" top="0.7480314960629921" bottom="0.7480314960629921" header="0.31496062992125984" footer="0.31496062992125984"/>
  <pageSetup firstPageNumber="9" useFirstPageNumber="1" horizontalDpi="600" verticalDpi="600" orientation="landscape" paperSize="9" scale="82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2023-02-07T08:58:53Z</cp:lastPrinted>
  <dcterms:created xsi:type="dcterms:W3CDTF">2009-09-03T06:56:12Z</dcterms:created>
  <dcterms:modified xsi:type="dcterms:W3CDTF">2023-02-07T09:05:34Z</dcterms:modified>
  <cp:category/>
  <cp:version/>
  <cp:contentType/>
  <cp:contentStatus/>
</cp:coreProperties>
</file>