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565" windowHeight="12315" activeTab="0"/>
  </bookViews>
  <sheets>
    <sheet name="финансы" sheetId="1" r:id="rId1"/>
  </sheets>
  <definedNames>
    <definedName name="_xlnm._FilterDatabase" localSheetId="0" hidden="1">'финансы'!$A$16:$AL$110</definedName>
    <definedName name="_xlnm.Print_Titles" localSheetId="0">'финансы'!$11:$13</definedName>
    <definedName name="_xlnm.Print_Area" localSheetId="0">'финансы'!$A$1:$AD$110</definedName>
  </definedNames>
  <calcPr fullCalcOnLoad="1" fullPrecision="0"/>
</workbook>
</file>

<file path=xl/comments1.xml><?xml version="1.0" encoding="utf-8"?>
<comments xmlns="http://schemas.openxmlformats.org/spreadsheetml/2006/main">
  <authors>
    <author>Юдина Юлия Валентиновна</author>
    <author>Макеева Юлия Викторовна</author>
  </authors>
  <commentList>
    <comment ref="V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V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AG64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принтер, сканер, мфу</t>
        </r>
      </text>
    </comment>
    <comment ref="AG65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оперативная память, мониторы</t>
        </r>
      </text>
    </comment>
    <comment ref="V73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доп294-1
доп293-0,5
</t>
        </r>
      </text>
    </comment>
    <comment ref="G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201-15,043
280-7,53
294 149</t>
        </r>
      </text>
    </comment>
    <comment ref="G6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</t>
        </r>
      </text>
    </comment>
    <comment ref="G7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G5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201 55</t>
        </r>
      </text>
    </comment>
    <comment ref="G4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65 принтр,</t>
        </r>
      </text>
    </comment>
    <comment ref="G49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201-81,2 расходники</t>
        </r>
      </text>
    </comment>
    <comment ref="G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201-2
294- 112
</t>
        </r>
      </text>
    </comment>
    <comment ref="G35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201-80
</t>
        </r>
      </text>
    </comment>
    <comment ref="G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G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G4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201 105 ноут</t>
        </r>
      </text>
    </comment>
    <comment ref="L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L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L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L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L7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  <comment ref="Q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</t>
        </r>
      </text>
    </comment>
    <comment ref="Q34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294 5,1</t>
        </r>
      </text>
    </comment>
    <comment ref="Q42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294- 112
</t>
        </r>
      </text>
    </comment>
    <comment ref="Q7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280-15,043
294 149</t>
        </r>
      </text>
    </comment>
    <comment ref="Q73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дом294 1</t>
        </r>
      </text>
    </comment>
  </commentList>
</comments>
</file>

<file path=xl/sharedStrings.xml><?xml version="1.0" encoding="utf-8"?>
<sst xmlns="http://schemas.openxmlformats.org/spreadsheetml/2006/main" count="280" uniqueCount="228">
  <si>
    <t>№ п/п</t>
  </si>
  <si>
    <t>Всего</t>
  </si>
  <si>
    <t>Итого по задаче 1</t>
  </si>
  <si>
    <t>Формирование электронного муниципалитета</t>
  </si>
  <si>
    <t>Итого по задаче 3</t>
  </si>
  <si>
    <t>Сопровождение и совершенствование информационных систем АИС ОГД и ИНГЕО</t>
  </si>
  <si>
    <t>Итого по задаче 5</t>
  </si>
  <si>
    <t>6.1</t>
  </si>
  <si>
    <t>3.1.1</t>
  </si>
  <si>
    <t>ДИТиС</t>
  </si>
  <si>
    <t>1</t>
  </si>
  <si>
    <t>1.1</t>
  </si>
  <si>
    <t>2</t>
  </si>
  <si>
    <t>Задача 2</t>
  </si>
  <si>
    <t>3.1</t>
  </si>
  <si>
    <t>3.1.5</t>
  </si>
  <si>
    <t>3.2</t>
  </si>
  <si>
    <t>4.1</t>
  </si>
  <si>
    <t>5.1</t>
  </si>
  <si>
    <t xml:space="preserve">Задача 1      </t>
  </si>
  <si>
    <t>ИТОГО</t>
  </si>
  <si>
    <t>Сроки реали зации</t>
  </si>
  <si>
    <t>Задача 6</t>
  </si>
  <si>
    <t>Итого по задаче 6</t>
  </si>
  <si>
    <t>Задача 7</t>
  </si>
  <si>
    <t>7.1</t>
  </si>
  <si>
    <t>Итого по задаче 7</t>
  </si>
  <si>
    <t>Оплата выделенных линии связи для IP телефонии</t>
  </si>
  <si>
    <t>Ремонт волоконно-оптического кабеля</t>
  </si>
  <si>
    <t>Тех.поддержка IP АТС</t>
  </si>
  <si>
    <t>ДИТиС
(МАУ "МФЦ")</t>
  </si>
  <si>
    <t>Продление лицензий на антивирусную защиту</t>
  </si>
  <si>
    <t>мз МАУ "МФЦ"</t>
  </si>
  <si>
    <t>Применение муниципальной информационной системы в сфере закупок товаров, работ, услуг</t>
  </si>
  <si>
    <t>Развитие, эксплуатация и сопровождение информационной системы размещения муниципальных закупок «АЦК – Муниципальный заказ»</t>
  </si>
  <si>
    <t>ДЭР</t>
  </si>
  <si>
    <t>мамы</t>
  </si>
  <si>
    <t>1.2</t>
  </si>
  <si>
    <t xml:space="preserve">Наименование целей, задач и мероприятий муниципальной программы  </t>
  </si>
  <si>
    <t xml:space="preserve">Ответственный 
исполнитель
</t>
  </si>
  <si>
    <t>Финансовое обеспечение реализации муниципальной программы, тыс. руб.</t>
  </si>
  <si>
    <t>местный бюджет</t>
  </si>
  <si>
    <t>областной бюджет</t>
  </si>
  <si>
    <t>федеральный бюджет</t>
  </si>
  <si>
    <t>внебюджетные средства</t>
  </si>
  <si>
    <t>Разработка, приобретение и эксплуатация  информационных систем</t>
  </si>
  <si>
    <t>1.1.1</t>
  </si>
  <si>
    <t>1.1.2</t>
  </si>
  <si>
    <t>1.2.2</t>
  </si>
  <si>
    <t>1.2.1</t>
  </si>
  <si>
    <t>Сопровождение и публикация интерактивных электронных форм заявлений</t>
  </si>
  <si>
    <t>Разработка и публикация интерактивных электронных форм заявлений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</si>
  <si>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</si>
  <si>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</si>
  <si>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</si>
  <si>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</si>
  <si>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</si>
  <si>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</si>
  <si>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</si>
  <si>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</si>
  <si>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</si>
  <si>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</si>
  <si>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</si>
  <si>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</si>
  <si>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>2.2.1</t>
  </si>
  <si>
    <t>Итого по задаче 2</t>
  </si>
  <si>
    <t>3</t>
  </si>
  <si>
    <t>Итого по задаче 4</t>
  </si>
  <si>
    <t>Задача 5</t>
  </si>
  <si>
    <t xml:space="preserve">Содержание и техническое обслуживание компьютерной техники </t>
  </si>
  <si>
    <t>2.3</t>
  </si>
  <si>
    <t>2.3.1</t>
  </si>
  <si>
    <t>2.3.2</t>
  </si>
  <si>
    <t>2.3.5</t>
  </si>
  <si>
    <t>Содержание, обслуживание, модернизация и  развитие муниципальной системы передачи данных</t>
  </si>
  <si>
    <t xml:space="preserve">Задача 3            </t>
  </si>
  <si>
    <t>3.1.2</t>
  </si>
  <si>
    <t>3.1.3</t>
  </si>
  <si>
    <t>3.3</t>
  </si>
  <si>
    <t>Задача 4</t>
  </si>
  <si>
    <t>Формирование современной базовой информационно-технологической инфраструктуры обработки и передачи информации</t>
  </si>
  <si>
    <t>ИТОГО по муниципальной программе</t>
  </si>
  <si>
    <t>дитис+мфц+гимц+мамы</t>
  </si>
  <si>
    <t xml:space="preserve">Организация и проведение мероприятий по защите информации в органах местного самоуправления городского округа Тольятти </t>
  </si>
  <si>
    <t xml:space="preserve">Настройка информационной системы размещения муниципальных закупок «АЦК – Муниципальный заказ»(восстановление системы после непредвиденных сбоев по вине пользователей системы)     </t>
  </si>
  <si>
    <t xml:space="preserve"> Финансовое обеспечение выполнения муниципального задания на оказание муниципальных услуг (выполнение работ) муниципальными учреждениями городского округа Тольятти, находящимися в  ведомственном подчинении ДИТиС</t>
  </si>
  <si>
    <t>2.1.11</t>
  </si>
  <si>
    <t>2.1.12</t>
  </si>
  <si>
    <t>Утилизация оборудования</t>
  </si>
  <si>
    <t>2.2.2</t>
  </si>
  <si>
    <t>2.2.3</t>
  </si>
  <si>
    <t>2.2.4</t>
  </si>
  <si>
    <t>2.2.5</t>
  </si>
  <si>
    <t>2.2.6</t>
  </si>
  <si>
    <t>Реформирование системы муниципального управления</t>
  </si>
  <si>
    <t>Создание, организация деятельности и развитие сети муниципального автономного  учреждения городского округа Тольятти  "Многофункциональный центр предоставления государственных и муниципальных услуг" в городском округе Тольятти</t>
  </si>
  <si>
    <t>ДИТиС 
(МАУ "МФЦ")</t>
  </si>
  <si>
    <t>2.1.13</t>
  </si>
  <si>
    <t>Приобретение ПО</t>
  </si>
  <si>
    <t>Организация предоставления государственных, муниципальных и иных услуг администрацией городского округа Тольятти и муниципальными учреждениями городского округа Тольятти в электронной форме</t>
  </si>
  <si>
    <t>Организация доступа граждан  к  информации о деятельности органов местного самоуправления через информационно-телекоммуникационную сеть "Интернет", использование интернет-технологий для функционального взаимодействия органов администрации городского округа Тольятти</t>
  </si>
  <si>
    <t>Обеспечение администрации услугами сотовой связи</t>
  </si>
  <si>
    <t>Обеспечение администрации услугами международной связи</t>
  </si>
  <si>
    <t>Цель: Обеспечение устойчивого уровня социально-экономического развития городского округа Тольятти и повышение качества жизни населения за счет внедрения информационно-коммуникационных технологий в деятельность органов местного самоуправления городского округа Тольятти, муниципальных предприятий и учреждений городского округа Тольятти</t>
  </si>
  <si>
    <t>3.1.6</t>
  </si>
  <si>
    <t>2.2.7</t>
  </si>
  <si>
    <t>2.2.8</t>
  </si>
  <si>
    <t>2.2.9</t>
  </si>
  <si>
    <t>2.1.14</t>
  </si>
  <si>
    <t>2.1.15</t>
  </si>
  <si>
    <t>2.2.10</t>
  </si>
  <si>
    <t>Приобретение серверного оборудования</t>
  </si>
  <si>
    <t>Онлайн-доступ к информационному сервису "МКД-расчёт"</t>
  </si>
  <si>
    <t>МФЦ на развитие, ГИМЦ рерг</t>
  </si>
  <si>
    <t>2.2.11</t>
  </si>
  <si>
    <t>2.3.7</t>
  </si>
  <si>
    <t>2.3.8</t>
  </si>
  <si>
    <t>2.3.9</t>
  </si>
  <si>
    <t>2.3.10</t>
  </si>
  <si>
    <t>2.3.11</t>
  </si>
  <si>
    <t>3.1.7</t>
  </si>
  <si>
    <t xml:space="preserve">Модификация прикладного ПО мобильного приложения (платформа Apple IOS, платформа Android) информационной системы «Открытый город» </t>
  </si>
  <si>
    <t>Развитие  сайта  «Открытый город» (сопровождение)</t>
  </si>
  <si>
    <t xml:space="preserve">Оказание услуг по передаче дистрибутивов сертифицированных версий программного обеспечения защиты информации </t>
  </si>
  <si>
    <t>Предоставление телекоммуникационных услуг для организации видеоконференций</t>
  </si>
  <si>
    <t>2.2.12</t>
  </si>
  <si>
    <t>Приобретение системы храниения даннанных</t>
  </si>
  <si>
    <t>Осуществление отдельных ежемесячных выплат   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или автономными учреждениями
городского округа Тольятти, находящимися в ведомственном подчинении  департамента информационных технологий и связи городского округа Тольятти</t>
  </si>
  <si>
    <t>Услуги спец. связи ( Хайком)</t>
  </si>
  <si>
    <t>Предоставление в аренду места в кабельной канализации связи</t>
  </si>
  <si>
    <t>Перечень мероприятий муниципальной программы "Развитие информационно - телекоммуникационной инфраструктуры городского округа Тольятти на 2022-2026 годы"</t>
  </si>
  <si>
    <t xml:space="preserve"> к муниципальной программе  "Развитие информационно-телекоммуникационной инфраструктуры городского округа Тольятти на 2022-2026 годы"</t>
  </si>
  <si>
    <t xml:space="preserve"> План на 2022 год</t>
  </si>
  <si>
    <t xml:space="preserve"> План на 2023 год</t>
  </si>
  <si>
    <t xml:space="preserve">  План на 2024 год</t>
  </si>
  <si>
    <t xml:space="preserve">  План на 2025 год</t>
  </si>
  <si>
    <t xml:space="preserve">  План на 2026 год</t>
  </si>
  <si>
    <t>2022-2026</t>
  </si>
  <si>
    <t>Совершенствование системы предоставления государственных и муниципальных услуг субъектам предпринимательской и инвестиционной деятельности</t>
  </si>
  <si>
    <t>Обновление и сопровождение системы электронного документооборота в администрации городского округа Тольятти</t>
  </si>
  <si>
    <t>Приобретение лицензий системы виртуализации Vmware</t>
  </si>
  <si>
    <t>Приобретение телекоммуникационного оборудования</t>
  </si>
  <si>
    <t>Приобретение ИБП для серверов</t>
  </si>
  <si>
    <t>Приобретение оборудования для  ликвидации ЧС</t>
  </si>
  <si>
    <t>Услуги городской связи (внутризоновая, междугородняя, телеграммы) (доступ к телефонной сети общего пользования (2 номера) (секретка)</t>
  </si>
  <si>
    <t>Защита персональных данных, конфиденциальной информации и иных сведений, не составляющих государственную тайну</t>
  </si>
  <si>
    <t>Передача неисключительных (пользовательских) прав использования программного обеспечения защиты информации от несанкционированного доступа Dallas Lock 8.0</t>
  </si>
  <si>
    <t>Оказание услуг по аттестации государственных и муниципальных информационных систем</t>
  </si>
  <si>
    <t>Защита информации, содержащей сведения, составляющие государственную тайну</t>
  </si>
  <si>
    <t xml:space="preserve">Приобретение лицензий  геоинформационного сервиса «ТехноКад-Муниципалитет»" </t>
  </si>
  <si>
    <t>Сопровождение ИС "ESTIMATE"</t>
  </si>
  <si>
    <t>Сопровождение ИС "Адепт-Проект"</t>
  </si>
  <si>
    <t>Сопровождение ИС "Парус Бюджет 8"</t>
  </si>
  <si>
    <t>Сопровождение ИС "1С-Предприятие"</t>
  </si>
  <si>
    <t>Сопровождение ИС "Консультант+"</t>
  </si>
  <si>
    <t>Сопровождение и техобслуживание ИС "Гранд-Смета"</t>
  </si>
  <si>
    <t>Сопровождение ИС "NORMA CS"</t>
  </si>
  <si>
    <t>Сопровождение ИС "Астрал-Отчет"</t>
  </si>
  <si>
    <t xml:space="preserve">Приобретение ПО для видеоконференцсвязи </t>
  </si>
  <si>
    <t>2.2.14</t>
  </si>
  <si>
    <t>Приобретение батарей для ИБП- серверов</t>
  </si>
  <si>
    <t>Приобретение переферийного оборудования</t>
  </si>
  <si>
    <t>Услуги Интернет</t>
  </si>
  <si>
    <t>Услуги по аренде места в проходном коллекторе</t>
  </si>
  <si>
    <t>4.2</t>
  </si>
  <si>
    <t>7</t>
  </si>
  <si>
    <t>7.2</t>
  </si>
  <si>
    <t>3.1.4</t>
  </si>
  <si>
    <t>3.1.8</t>
  </si>
  <si>
    <t>3.1.9</t>
  </si>
  <si>
    <t>Техническая поддержка защищенной сети VipNet</t>
  </si>
  <si>
    <t>Передача простых (неисключительных) лицензий (прав) на обновление программного обеспечения – средств криптографической защиты информации</t>
  </si>
  <si>
    <t>Техническая поддержка программного продукта DallasLock 8.0</t>
  </si>
  <si>
    <t>Приобретение аппаратно-программного комплекса межсетевого экранирования</t>
  </si>
  <si>
    <t>Передача неисключительных (пользовательских) прав использования программного обеспечения защиты информации (сетевой сканер безопасности)</t>
  </si>
  <si>
    <t>Передача неисключительных (пользовательских) прав использования программного обеспечения анализа и контроля защищенности компьютерных систем</t>
  </si>
  <si>
    <t>3.1.10</t>
  </si>
  <si>
    <t>Предоставление субсидий муниципальному автономному учреждению городского округа Тольятти "Многофункциональный центр предоставления государственных и муниципальных услуг"  на финансовое обеспечение выполнения  им муниципального задания на  оказание муниципальных услуг (выполнение работ)</t>
  </si>
  <si>
    <t xml:space="preserve">  Обеспечение социальных гарантий работникам муниципальных учреждений городского округа Тольятти, находящихся в  ведомственном подчинении ДИТиС</t>
  </si>
  <si>
    <t>к постановлению администрации  городского округа Тольятти</t>
  </si>
  <si>
    <t>от_________________________№________________</t>
  </si>
  <si>
    <t>04220</t>
  </si>
  <si>
    <t>04221</t>
  </si>
  <si>
    <t>04222</t>
  </si>
  <si>
    <t>04229</t>
  </si>
  <si>
    <t>04223</t>
  </si>
  <si>
    <t>04226</t>
  </si>
  <si>
    <t>04230</t>
  </si>
  <si>
    <t>04224</t>
  </si>
  <si>
    <t>04225</t>
  </si>
  <si>
    <t>мфц</t>
  </si>
  <si>
    <t xml:space="preserve">иные </t>
  </si>
  <si>
    <t>дитис</t>
  </si>
  <si>
    <t>2.2.15</t>
  </si>
  <si>
    <t xml:space="preserve">                        Приложение № 1 </t>
  </si>
  <si>
    <t>Приобретение МФУ, поточных сканеров</t>
  </si>
  <si>
    <t>Приобретение ноутбуков</t>
  </si>
  <si>
    <t>Приобретение компьютерной техники (системный блок, монитор,мышь,клавиатура)</t>
  </si>
  <si>
    <t>Приобретение ПК в сборе</t>
  </si>
  <si>
    <t>Ремонт IP-телефонов</t>
  </si>
  <si>
    <t>Приобретение комплектующих, запчастей (камера, колонки, флеш, картриджи, блок питания, розетки, вилки, инжектор, кабель, жесткий диск, сетевые карты, коммутатор, память и пр.)</t>
  </si>
  <si>
    <t>Приобретение телефонных аппаратов</t>
  </si>
  <si>
    <t>Приобретение дополнительного ОЗУ (оперативная память для ПК) и SSD-дисков</t>
  </si>
  <si>
    <t xml:space="preserve">Приобретение блоков питания к IP- телефон.аппаратам </t>
  </si>
  <si>
    <t>Комплект обновления ПАК VipNet Coordinator</t>
  </si>
  <si>
    <t>Cертификат активации сервиса совместной техподдержки ПАК VipNet Coordinator (сюда же вошла установка и настройка)</t>
  </si>
  <si>
    <t>2.1.16</t>
  </si>
  <si>
    <t>2.2.16</t>
  </si>
  <si>
    <t>2.2.17</t>
  </si>
  <si>
    <t>2.2.18</t>
  </si>
  <si>
    <t>2.3.3</t>
  </si>
  <si>
    <t>2.3.4</t>
  </si>
  <si>
    <t>2.3.6</t>
  </si>
  <si>
    <t>3.1.11</t>
  </si>
  <si>
    <t>Приобретение лицензий ЕРИАС</t>
  </si>
  <si>
    <t>3.3.1</t>
  </si>
  <si>
    <t>3.3.2</t>
  </si>
  <si>
    <t>Проведение комплекса мероприятий на объектах информатизации – автоматизированных системах (АС) для защиты сведений, составляющих государственную тайну</t>
  </si>
  <si>
    <t>Проведению комплекса мероприятий на объектах информатизации – выделенных помещений (ВП) для защиты сведений, составляющих государственную тайну.</t>
  </si>
  <si>
    <t>2.2.19</t>
  </si>
  <si>
    <t>2.2.20</t>
  </si>
  <si>
    <t>Приобретение сетевого хранилища</t>
  </si>
  <si>
    <t>2.2.13</t>
  </si>
  <si>
    <t>Приобретение сервера 2шт</t>
  </si>
  <si>
    <t>Приложение № 1</t>
  </si>
  <si>
    <t>2.2.21</t>
  </si>
  <si>
    <t>Приобретение коммутаторов</t>
  </si>
  <si>
    <t>Приобретение, ремонт, обслуживание и содержание компьютерного оборудования, оргтехники и средств связи, а также прочие работы, услуги, связанные с эксплуатацией данного оборудования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</si>
</sst>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#,##0.000"/>
    <numFmt numFmtId="192" formatCode="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4" fontId="53" fillId="4" borderId="10" xfId="0" applyNumberFormat="1" applyFont="1" applyFill="1" applyBorder="1" applyAlignment="1">
      <alignment vertical="center"/>
    </xf>
    <xf numFmtId="0" fontId="54" fillId="4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5" fillId="33" borderId="0" xfId="0" applyFont="1" applyFill="1" applyAlignment="1">
      <alignment/>
    </xf>
    <xf numFmtId="4" fontId="54" fillId="4" borderId="10" xfId="0" applyNumberFormat="1" applyFont="1" applyFill="1" applyBorder="1" applyAlignment="1">
      <alignment vertical="center"/>
    </xf>
    <xf numFmtId="4" fontId="54" fillId="4" borderId="10" xfId="0" applyNumberFormat="1" applyFont="1" applyFill="1" applyBorder="1" applyAlignment="1">
      <alignment vertical="center" wrapText="1"/>
    </xf>
    <xf numFmtId="4" fontId="53" fillId="4" borderId="10" xfId="0" applyNumberFormat="1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 wrapText="1"/>
    </xf>
    <xf numFmtId="49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Alignment="1">
      <alignment/>
    </xf>
    <xf numFmtId="0" fontId="54" fillId="0" borderId="1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49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4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10" xfId="0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55" fillId="0" borderId="12" xfId="0" applyFont="1" applyFill="1" applyBorder="1" applyAlignment="1">
      <alignment/>
    </xf>
    <xf numFmtId="4" fontId="57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4" fillId="0" borderId="13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4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left"/>
    </xf>
    <xf numFmtId="49" fontId="54" fillId="4" borderId="10" xfId="0" applyNumberFormat="1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/>
    </xf>
    <xf numFmtId="0" fontId="54" fillId="4" borderId="10" xfId="0" applyNumberFormat="1" applyFont="1" applyFill="1" applyBorder="1" applyAlignment="1">
      <alignment/>
    </xf>
    <xf numFmtId="0" fontId="54" fillId="4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left" vertical="center"/>
    </xf>
    <xf numFmtId="4" fontId="53" fillId="4" borderId="10" xfId="0" applyNumberFormat="1" applyFont="1" applyFill="1" applyBorder="1" applyAlignment="1">
      <alignment horizontal="right" vertical="center"/>
    </xf>
    <xf numFmtId="0" fontId="56" fillId="4" borderId="10" xfId="0" applyNumberFormat="1" applyFont="1" applyFill="1" applyBorder="1" applyAlignment="1">
      <alignment/>
    </xf>
    <xf numFmtId="0" fontId="54" fillId="4" borderId="10" xfId="0" applyFont="1" applyFill="1" applyBorder="1" applyAlignment="1">
      <alignment horizontal="left" vertical="center" wrapText="1"/>
    </xf>
    <xf numFmtId="0" fontId="54" fillId="4" borderId="10" xfId="0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 wrapText="1"/>
    </xf>
    <xf numFmtId="0" fontId="54" fillId="4" borderId="0" xfId="0" applyFont="1" applyFill="1" applyBorder="1" applyAlignment="1">
      <alignment/>
    </xf>
    <xf numFmtId="4" fontId="54" fillId="4" borderId="10" xfId="0" applyNumberFormat="1" applyFont="1" applyFill="1" applyBorder="1" applyAlignment="1">
      <alignment horizontal="right" vertical="center"/>
    </xf>
    <xf numFmtId="49" fontId="56" fillId="4" borderId="10" xfId="0" applyNumberFormat="1" applyFont="1" applyFill="1" applyBorder="1" applyAlignment="1">
      <alignment wrapText="1"/>
    </xf>
    <xf numFmtId="49" fontId="56" fillId="0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Alignment="1">
      <alignment horizontal="center"/>
    </xf>
    <xf numFmtId="182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 quotePrefix="1">
      <alignment/>
    </xf>
    <xf numFmtId="182" fontId="54" fillId="0" borderId="10" xfId="0" applyNumberFormat="1" applyFont="1" applyFill="1" applyBorder="1" applyAlignment="1" quotePrefix="1">
      <alignment/>
    </xf>
    <xf numFmtId="0" fontId="54" fillId="0" borderId="10" xfId="0" applyFont="1" applyFill="1" applyBorder="1" applyAlignment="1" quotePrefix="1">
      <alignment horizontal="center" wrapText="1"/>
    </xf>
    <xf numFmtId="4" fontId="56" fillId="0" borderId="10" xfId="0" applyNumberFormat="1" applyFont="1" applyFill="1" applyBorder="1" applyAlignment="1">
      <alignment horizontal="right" vertical="center"/>
    </xf>
    <xf numFmtId="182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 wrapText="1"/>
    </xf>
    <xf numFmtId="191" fontId="54" fillId="0" borderId="10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191" fontId="56" fillId="0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4" fontId="58" fillId="0" borderId="10" xfId="0" applyNumberFormat="1" applyFont="1" applyFill="1" applyBorder="1" applyAlignment="1">
      <alignment wrapText="1"/>
    </xf>
    <xf numFmtId="191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 horizontal="right" vertical="center"/>
    </xf>
    <xf numFmtId="0" fontId="58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center"/>
    </xf>
    <xf numFmtId="4" fontId="56" fillId="0" borderId="10" xfId="0" applyNumberFormat="1" applyFont="1" applyFill="1" applyBorder="1" applyAlignment="1">
      <alignment wrapText="1"/>
    </xf>
    <xf numFmtId="191" fontId="56" fillId="0" borderId="10" xfId="0" applyNumberFormat="1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0" xfId="0" applyNumberFormat="1" applyFont="1" applyFill="1" applyAlignment="1">
      <alignment/>
    </xf>
    <xf numFmtId="4" fontId="55" fillId="0" borderId="0" xfId="0" applyNumberFormat="1" applyFont="1" applyFill="1" applyBorder="1" applyAlignment="1">
      <alignment horizontal="right" vertical="top" wrapText="1"/>
    </xf>
    <xf numFmtId="4" fontId="55" fillId="0" borderId="0" xfId="0" applyNumberFormat="1" applyFont="1" applyFill="1" applyBorder="1" applyAlignment="1">
      <alignment horizontal="left" vertical="top" wrapText="1"/>
    </xf>
    <xf numFmtId="4" fontId="59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vertical="center"/>
    </xf>
    <xf numFmtId="191" fontId="53" fillId="4" borderId="10" xfId="0" applyNumberFormat="1" applyFont="1" applyFill="1" applyBorder="1" applyAlignment="1">
      <alignment vertical="center"/>
    </xf>
    <xf numFmtId="191" fontId="53" fillId="4" borderId="10" xfId="0" applyNumberFormat="1" applyFont="1" applyFill="1" applyBorder="1" applyAlignment="1">
      <alignment vertical="center" wrapText="1"/>
    </xf>
    <xf numFmtId="4" fontId="60" fillId="4" borderId="1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91" fontId="54" fillId="4" borderId="10" xfId="0" applyNumberFormat="1" applyFont="1" applyFill="1" applyBorder="1" applyAlignment="1">
      <alignment vertical="center" wrapText="1"/>
    </xf>
    <xf numFmtId="3" fontId="60" fillId="4" borderId="10" xfId="0" applyNumberFormat="1" applyFont="1" applyFill="1" applyBorder="1" applyAlignment="1">
      <alignment vertical="center"/>
    </xf>
    <xf numFmtId="3" fontId="53" fillId="4" borderId="10" xfId="0" applyNumberFormat="1" applyFont="1" applyFill="1" applyBorder="1" applyAlignment="1">
      <alignment vertical="center" wrapText="1"/>
    </xf>
    <xf numFmtId="183" fontId="60" fillId="4" borderId="10" xfId="0" applyNumberFormat="1" applyFont="1" applyFill="1" applyBorder="1" applyAlignment="1">
      <alignment vertical="center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49" fontId="54" fillId="4" borderId="13" xfId="0" applyNumberFormat="1" applyFont="1" applyFill="1" applyBorder="1" applyAlignment="1">
      <alignment horizontal="center" vertical="center" wrapText="1"/>
    </xf>
    <xf numFmtId="49" fontId="54" fillId="4" borderId="14" xfId="0" applyNumberFormat="1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left" vertical="center" wrapText="1"/>
    </xf>
    <xf numFmtId="0" fontId="54" fillId="4" borderId="14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/>
    </xf>
    <xf numFmtId="4" fontId="55" fillId="0" borderId="0" xfId="0" applyNumberFormat="1" applyFont="1" applyFill="1" applyBorder="1" applyAlignment="1">
      <alignment horizontal="right" vertical="top" wrapText="1"/>
    </xf>
    <xf numFmtId="4" fontId="55" fillId="0" borderId="0" xfId="0" applyNumberFormat="1" applyFont="1" applyFill="1" applyBorder="1" applyAlignment="1">
      <alignment horizontal="left" vertical="top" wrapText="1"/>
    </xf>
    <xf numFmtId="4" fontId="55" fillId="0" borderId="0" xfId="0" applyNumberFormat="1" applyFont="1" applyFill="1" applyBorder="1" applyAlignment="1">
      <alignment horizontal="center" vertical="top" wrapText="1"/>
    </xf>
    <xf numFmtId="4" fontId="59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4" fillId="4" borderId="10" xfId="0" applyNumberFormat="1" applyFont="1" applyFill="1" applyBorder="1" applyAlignment="1">
      <alignment vertical="center" wrapText="1"/>
    </xf>
    <xf numFmtId="4" fontId="34" fillId="4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8"/>
  <sheetViews>
    <sheetView tabSelected="1" view="pageBreakPreview" zoomScale="66" zoomScaleNormal="66" zoomScaleSheetLayoutView="66" zoomScalePageLayoutView="0" workbookViewId="0" topLeftCell="A19">
      <selection activeCell="G107" sqref="G107"/>
    </sheetView>
  </sheetViews>
  <sheetFormatPr defaultColWidth="9.140625" defaultRowHeight="15" outlineLevelRow="1" outlineLevelCol="1"/>
  <cols>
    <col min="1" max="1" width="8.28125" style="14" customWidth="1"/>
    <col min="2" max="2" width="32.8515625" style="15" customWidth="1"/>
    <col min="3" max="3" width="16.28125" style="15" customWidth="1"/>
    <col min="4" max="4" width="10.421875" style="16" customWidth="1"/>
    <col min="5" max="5" width="15.421875" style="17" customWidth="1"/>
    <col min="6" max="6" width="16.140625" style="17" customWidth="1"/>
    <col min="7" max="7" width="12.8515625" style="17" customWidth="1"/>
    <col min="8" max="8" width="8.28125" style="17" customWidth="1"/>
    <col min="9" max="9" width="8.421875" style="17" customWidth="1"/>
    <col min="10" max="10" width="14.57421875" style="17" customWidth="1" outlineLevel="1"/>
    <col min="11" max="11" width="15.28125" style="17" customWidth="1" outlineLevel="1"/>
    <col min="12" max="12" width="11.7109375" style="17" customWidth="1" outlineLevel="1"/>
    <col min="13" max="13" width="9.140625" style="17" customWidth="1" outlineLevel="1"/>
    <col min="14" max="14" width="9.28125" style="17" customWidth="1" outlineLevel="1"/>
    <col min="15" max="15" width="15.140625" style="15" customWidth="1" outlineLevel="1"/>
    <col min="16" max="16" width="14.140625" style="15" customWidth="1" outlineLevel="1"/>
    <col min="17" max="17" width="10.57421875" style="15" customWidth="1" outlineLevel="1"/>
    <col min="18" max="18" width="7.7109375" style="15" customWidth="1" outlineLevel="1"/>
    <col min="19" max="19" width="10.8515625" style="15" customWidth="1" outlineLevel="1"/>
    <col min="20" max="20" width="14.00390625" style="15" customWidth="1" outlineLevel="1"/>
    <col min="21" max="21" width="15.8515625" style="15" customWidth="1" outlineLevel="1"/>
    <col min="22" max="22" width="11.57421875" style="15" customWidth="1" outlineLevel="1"/>
    <col min="23" max="23" width="9.28125" style="15" customWidth="1" outlineLevel="1"/>
    <col min="24" max="24" width="8.8515625" style="15" customWidth="1" outlineLevel="1"/>
    <col min="25" max="25" width="15.28125" style="15" customWidth="1" outlineLevel="1"/>
    <col min="26" max="26" width="15.57421875" style="15" customWidth="1" outlineLevel="1"/>
    <col min="27" max="27" width="10.140625" style="15" customWidth="1" outlineLevel="1"/>
    <col min="28" max="28" width="9.28125" style="15" customWidth="1" outlineLevel="1"/>
    <col min="29" max="29" width="9.7109375" style="15" customWidth="1" outlineLevel="1"/>
    <col min="30" max="30" width="16.140625" style="15" customWidth="1"/>
    <col min="31" max="31" width="18.28125" style="21" customWidth="1"/>
    <col min="32" max="32" width="17.28125" style="18" customWidth="1"/>
    <col min="33" max="16384" width="9.140625" style="15" customWidth="1"/>
  </cols>
  <sheetData>
    <row r="1" spans="25:31" ht="18.75" outlineLevel="1">
      <c r="Y1" s="3"/>
      <c r="Z1" s="3"/>
      <c r="AA1" s="119" t="s">
        <v>224</v>
      </c>
      <c r="AB1" s="119"/>
      <c r="AC1" s="119"/>
      <c r="AD1" s="119"/>
      <c r="AE1" s="119"/>
    </row>
    <row r="2" spans="25:31" ht="18.75" outlineLevel="1">
      <c r="Y2" s="5" t="s">
        <v>179</v>
      </c>
      <c r="Z2" s="4"/>
      <c r="AA2" s="4"/>
      <c r="AB2" s="4"/>
      <c r="AC2" s="19"/>
      <c r="AD2" s="19"/>
      <c r="AE2" s="20"/>
    </row>
    <row r="3" spans="25:31" ht="28.5" customHeight="1" outlineLevel="1">
      <c r="Y3" s="3"/>
      <c r="Z3" s="3" t="s">
        <v>180</v>
      </c>
      <c r="AA3" s="3"/>
      <c r="AB3" s="3"/>
      <c r="AE3" s="15"/>
    </row>
    <row r="4" ht="4.5" customHeight="1" outlineLevel="1"/>
    <row r="5" ht="9" customHeight="1" outlineLevel="1"/>
    <row r="6" spans="1:32" s="23" customFormat="1" ht="18.75" outlineLevel="1">
      <c r="A6" s="22"/>
      <c r="D6" s="24"/>
      <c r="E6" s="25"/>
      <c r="F6" s="25"/>
      <c r="G6" s="25"/>
      <c r="H6" s="25"/>
      <c r="I6" s="25"/>
      <c r="J6" s="25"/>
      <c r="K6" s="120"/>
      <c r="L6" s="120"/>
      <c r="M6" s="120"/>
      <c r="N6" s="120"/>
      <c r="P6" s="121"/>
      <c r="Q6" s="121"/>
      <c r="R6" s="121"/>
      <c r="S6" s="121"/>
      <c r="U6" s="89"/>
      <c r="V6" s="26"/>
      <c r="W6" s="26"/>
      <c r="X6" s="26"/>
      <c r="Y6" s="26"/>
      <c r="Z6" s="119" t="s">
        <v>194</v>
      </c>
      <c r="AA6" s="119"/>
      <c r="AB6" s="119"/>
      <c r="AC6" s="119"/>
      <c r="AD6" s="119"/>
      <c r="AE6" s="27"/>
      <c r="AF6" s="28"/>
    </row>
    <row r="7" spans="1:32" s="23" customFormat="1" ht="18.75" customHeight="1" outlineLevel="1">
      <c r="A7" s="22"/>
      <c r="D7" s="24"/>
      <c r="E7" s="25"/>
      <c r="F7" s="25"/>
      <c r="G7" s="25"/>
      <c r="H7" s="25"/>
      <c r="I7" s="25"/>
      <c r="J7" s="25"/>
      <c r="K7" s="120"/>
      <c r="L7" s="120"/>
      <c r="M7" s="120"/>
      <c r="N7" s="120"/>
      <c r="P7" s="121"/>
      <c r="Q7" s="121"/>
      <c r="R7" s="121"/>
      <c r="S7" s="121"/>
      <c r="U7" s="89"/>
      <c r="V7" s="26"/>
      <c r="W7" s="26"/>
      <c r="X7" s="122" t="s">
        <v>131</v>
      </c>
      <c r="Y7" s="122"/>
      <c r="Z7" s="122"/>
      <c r="AA7" s="122"/>
      <c r="AB7" s="122"/>
      <c r="AC7" s="122"/>
      <c r="AD7" s="122"/>
      <c r="AE7" s="29"/>
      <c r="AF7" s="28"/>
    </row>
    <row r="8" spans="1:32" s="23" customFormat="1" ht="41.25" customHeight="1" outlineLevel="1">
      <c r="A8" s="22"/>
      <c r="D8" s="24"/>
      <c r="E8" s="25"/>
      <c r="F8" s="25"/>
      <c r="G8" s="25"/>
      <c r="H8" s="25"/>
      <c r="I8" s="25"/>
      <c r="J8" s="25"/>
      <c r="K8" s="89"/>
      <c r="L8" s="89"/>
      <c r="M8" s="89"/>
      <c r="N8" s="89"/>
      <c r="P8" s="90"/>
      <c r="Q8" s="90"/>
      <c r="R8" s="90"/>
      <c r="S8" s="90"/>
      <c r="U8" s="89"/>
      <c r="V8" s="26"/>
      <c r="X8" s="122"/>
      <c r="Y8" s="122"/>
      <c r="Z8" s="122"/>
      <c r="AA8" s="122"/>
      <c r="AB8" s="122"/>
      <c r="AC8" s="122"/>
      <c r="AD8" s="122"/>
      <c r="AE8" s="29"/>
      <c r="AF8" s="28"/>
    </row>
    <row r="9" spans="1:32" s="23" customFormat="1" ht="27" customHeight="1">
      <c r="A9" s="123" t="s">
        <v>130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29"/>
      <c r="AF9" s="28"/>
    </row>
    <row r="10" spans="1:32" s="23" customFormat="1" ht="19.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29"/>
      <c r="AF10" s="28"/>
    </row>
    <row r="11" spans="1:30" ht="15.75" customHeight="1">
      <c r="A11" s="125" t="s">
        <v>0</v>
      </c>
      <c r="B11" s="126" t="s">
        <v>38</v>
      </c>
      <c r="C11" s="126" t="s">
        <v>39</v>
      </c>
      <c r="D11" s="126" t="s">
        <v>21</v>
      </c>
      <c r="E11" s="127" t="s">
        <v>40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</row>
    <row r="12" spans="1:30" ht="26.25" customHeight="1">
      <c r="A12" s="125"/>
      <c r="B12" s="126"/>
      <c r="C12" s="126"/>
      <c r="D12" s="126"/>
      <c r="E12" s="127" t="s">
        <v>132</v>
      </c>
      <c r="F12" s="127"/>
      <c r="G12" s="127"/>
      <c r="H12" s="127"/>
      <c r="I12" s="127"/>
      <c r="J12" s="127" t="s">
        <v>133</v>
      </c>
      <c r="K12" s="127"/>
      <c r="L12" s="127"/>
      <c r="M12" s="127"/>
      <c r="N12" s="127"/>
      <c r="O12" s="127" t="s">
        <v>134</v>
      </c>
      <c r="P12" s="127"/>
      <c r="Q12" s="127"/>
      <c r="R12" s="127"/>
      <c r="S12" s="127"/>
      <c r="T12" s="127" t="s">
        <v>135</v>
      </c>
      <c r="U12" s="127"/>
      <c r="V12" s="127"/>
      <c r="W12" s="127"/>
      <c r="X12" s="127"/>
      <c r="Y12" s="127" t="s">
        <v>136</v>
      </c>
      <c r="Z12" s="127"/>
      <c r="AA12" s="127"/>
      <c r="AB12" s="127"/>
      <c r="AC12" s="127"/>
      <c r="AD12" s="134" t="s">
        <v>20</v>
      </c>
    </row>
    <row r="13" spans="1:32" ht="61.5" customHeight="1">
      <c r="A13" s="125"/>
      <c r="B13" s="126"/>
      <c r="C13" s="126"/>
      <c r="D13" s="126"/>
      <c r="E13" s="13" t="s">
        <v>1</v>
      </c>
      <c r="F13" s="95" t="s">
        <v>41</v>
      </c>
      <c r="G13" s="95" t="s">
        <v>42</v>
      </c>
      <c r="H13" s="30" t="s">
        <v>43</v>
      </c>
      <c r="I13" s="31" t="s">
        <v>44</v>
      </c>
      <c r="J13" s="13" t="s">
        <v>1</v>
      </c>
      <c r="K13" s="95" t="s">
        <v>41</v>
      </c>
      <c r="L13" s="95" t="s">
        <v>42</v>
      </c>
      <c r="M13" s="30" t="s">
        <v>43</v>
      </c>
      <c r="N13" s="31" t="s">
        <v>44</v>
      </c>
      <c r="O13" s="13" t="s">
        <v>1</v>
      </c>
      <c r="P13" s="95" t="s">
        <v>41</v>
      </c>
      <c r="Q13" s="30" t="s">
        <v>42</v>
      </c>
      <c r="R13" s="30" t="s">
        <v>43</v>
      </c>
      <c r="S13" s="31" t="s">
        <v>44</v>
      </c>
      <c r="T13" s="13" t="s">
        <v>1</v>
      </c>
      <c r="U13" s="95" t="s">
        <v>41</v>
      </c>
      <c r="V13" s="30" t="s">
        <v>42</v>
      </c>
      <c r="W13" s="30" t="s">
        <v>43</v>
      </c>
      <c r="X13" s="31" t="s">
        <v>44</v>
      </c>
      <c r="Y13" s="13" t="s">
        <v>1</v>
      </c>
      <c r="Z13" s="95" t="s">
        <v>41</v>
      </c>
      <c r="AA13" s="30" t="s">
        <v>42</v>
      </c>
      <c r="AB13" s="30" t="s">
        <v>43</v>
      </c>
      <c r="AC13" s="31" t="s">
        <v>44</v>
      </c>
      <c r="AD13" s="134"/>
      <c r="AE13" s="32"/>
      <c r="AF13" s="33"/>
    </row>
    <row r="14" spans="1:32" s="35" customFormat="1" ht="51" customHeight="1">
      <c r="A14" s="34"/>
      <c r="B14" s="128" t="s">
        <v>103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F14" s="36"/>
    </row>
    <row r="15" spans="1:32" s="39" customFormat="1" ht="21.75" customHeight="1">
      <c r="A15" s="34" t="s">
        <v>10</v>
      </c>
      <c r="B15" s="96" t="s">
        <v>19</v>
      </c>
      <c r="C15" s="135" t="s">
        <v>3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37"/>
      <c r="AF15" s="38"/>
    </row>
    <row r="16" spans="1:31" ht="154.5" customHeight="1">
      <c r="A16" s="93" t="s">
        <v>11</v>
      </c>
      <c r="B16" s="97" t="s">
        <v>99</v>
      </c>
      <c r="C16" s="97" t="s">
        <v>9</v>
      </c>
      <c r="D16" s="94" t="s">
        <v>137</v>
      </c>
      <c r="E16" s="11">
        <f aca="true" t="shared" si="0" ref="E16:P16">SUM(E17:E18)</f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>SUM(Q17:Q18)</f>
        <v>0</v>
      </c>
      <c r="R16" s="11">
        <f>SUM(R17:R18)</f>
        <v>0</v>
      </c>
      <c r="S16" s="11">
        <f>SUM(S17:S18)</f>
        <v>0</v>
      </c>
      <c r="T16" s="11">
        <v>0</v>
      </c>
      <c r="U16" s="11">
        <f>SUM(U17:U18)</f>
        <v>0</v>
      </c>
      <c r="V16" s="11">
        <f>SUM(V17:V18)</f>
        <v>0</v>
      </c>
      <c r="W16" s="11">
        <f>SUM(W17:W18)</f>
        <v>0</v>
      </c>
      <c r="X16" s="11">
        <f>SUM(X17:X18)</f>
        <v>0</v>
      </c>
      <c r="Y16" s="11">
        <v>250</v>
      </c>
      <c r="Z16" s="11">
        <v>250</v>
      </c>
      <c r="AA16" s="11">
        <f>SUM(AA17:AA18)</f>
        <v>0</v>
      </c>
      <c r="AB16" s="11">
        <f>SUM(AB17:AB18)</f>
        <v>0</v>
      </c>
      <c r="AC16" s="11">
        <f>SUM(AC17:AC18)</f>
        <v>0</v>
      </c>
      <c r="AD16" s="11">
        <f>Y16+T16+O16+J16+E16</f>
        <v>250</v>
      </c>
      <c r="AE16" s="40" t="s">
        <v>181</v>
      </c>
    </row>
    <row r="17" spans="1:32" s="45" customFormat="1" ht="58.5" customHeight="1" hidden="1" outlineLevel="1">
      <c r="A17" s="41" t="s">
        <v>46</v>
      </c>
      <c r="B17" s="2" t="s">
        <v>50</v>
      </c>
      <c r="C17" s="2"/>
      <c r="D17" s="42"/>
      <c r="E17" s="8">
        <f>SUM(F17:I17)</f>
        <v>0</v>
      </c>
      <c r="F17" s="1">
        <v>0</v>
      </c>
      <c r="G17" s="8">
        <v>0</v>
      </c>
      <c r="H17" s="8">
        <v>0</v>
      </c>
      <c r="I17" s="8">
        <v>0</v>
      </c>
      <c r="J17" s="8">
        <f>SUM(K17:N17)</f>
        <v>0</v>
      </c>
      <c r="K17" s="1">
        <v>0</v>
      </c>
      <c r="L17" s="8">
        <v>0</v>
      </c>
      <c r="M17" s="1">
        <v>0</v>
      </c>
      <c r="N17" s="1">
        <v>0</v>
      </c>
      <c r="O17" s="8">
        <f>SUM(P17:S17)</f>
        <v>0</v>
      </c>
      <c r="P17" s="1">
        <v>0</v>
      </c>
      <c r="Q17" s="1">
        <v>0</v>
      </c>
      <c r="R17" s="1">
        <v>0</v>
      </c>
      <c r="S17" s="1">
        <v>0</v>
      </c>
      <c r="T17" s="8">
        <f>SUM(U17:X17)</f>
        <v>0</v>
      </c>
      <c r="U17" s="1">
        <v>0</v>
      </c>
      <c r="V17" s="1">
        <v>0</v>
      </c>
      <c r="W17" s="1">
        <v>0</v>
      </c>
      <c r="X17" s="1">
        <v>0</v>
      </c>
      <c r="Y17" s="8">
        <f>SUM(Z17:AC17)</f>
        <v>50</v>
      </c>
      <c r="Z17" s="1">
        <v>50</v>
      </c>
      <c r="AA17" s="1">
        <v>0</v>
      </c>
      <c r="AB17" s="1">
        <v>0</v>
      </c>
      <c r="AC17" s="1">
        <v>0</v>
      </c>
      <c r="AD17" s="1">
        <f>Y17+T17+O17+J17+E17</f>
        <v>50</v>
      </c>
      <c r="AE17" s="43"/>
      <c r="AF17" s="44"/>
    </row>
    <row r="18" spans="1:32" s="45" customFormat="1" ht="57.75" customHeight="1" hidden="1" outlineLevel="1">
      <c r="A18" s="41" t="s">
        <v>47</v>
      </c>
      <c r="B18" s="2" t="s">
        <v>51</v>
      </c>
      <c r="C18" s="2"/>
      <c r="D18" s="42"/>
      <c r="E18" s="8">
        <f>SUM(F18:I18)</f>
        <v>0</v>
      </c>
      <c r="F18" s="1">
        <v>0</v>
      </c>
      <c r="G18" s="8">
        <v>0</v>
      </c>
      <c r="H18" s="8">
        <v>0</v>
      </c>
      <c r="I18" s="8">
        <v>0</v>
      </c>
      <c r="J18" s="8">
        <f>SUM(K18:N18)</f>
        <v>0</v>
      </c>
      <c r="K18" s="1">
        <v>0</v>
      </c>
      <c r="L18" s="8">
        <v>0</v>
      </c>
      <c r="M18" s="1">
        <v>0</v>
      </c>
      <c r="N18" s="1">
        <v>0</v>
      </c>
      <c r="O18" s="8">
        <f>SUM(P18:S18)</f>
        <v>0</v>
      </c>
      <c r="P18" s="1">
        <v>0</v>
      </c>
      <c r="Q18" s="1">
        <v>0</v>
      </c>
      <c r="R18" s="1">
        <v>0</v>
      </c>
      <c r="S18" s="1">
        <v>0</v>
      </c>
      <c r="T18" s="8">
        <f>SUM(U18:X18)</f>
        <v>0</v>
      </c>
      <c r="U18" s="1">
        <v>0</v>
      </c>
      <c r="V18" s="1">
        <v>0</v>
      </c>
      <c r="W18" s="1">
        <v>0</v>
      </c>
      <c r="X18" s="1">
        <v>0</v>
      </c>
      <c r="Y18" s="8">
        <f>SUM(Z18:AC18)</f>
        <v>200</v>
      </c>
      <c r="Z18" s="1">
        <v>200</v>
      </c>
      <c r="AA18" s="1">
        <v>0</v>
      </c>
      <c r="AB18" s="1">
        <v>0</v>
      </c>
      <c r="AC18" s="1">
        <v>0</v>
      </c>
      <c r="AD18" s="1">
        <f>Y18+T18+O18+J18+E18</f>
        <v>200</v>
      </c>
      <c r="AE18" s="43"/>
      <c r="AF18" s="44"/>
    </row>
    <row r="19" spans="1:31" ht="195" customHeight="1" collapsed="1">
      <c r="A19" s="93" t="s">
        <v>37</v>
      </c>
      <c r="B19" s="97" t="s">
        <v>100</v>
      </c>
      <c r="C19" s="97" t="s">
        <v>9</v>
      </c>
      <c r="D19" s="94" t="s">
        <v>137</v>
      </c>
      <c r="E19" s="11">
        <f aca="true" t="shared" si="1" ref="E19:N19">SUM(E20:E21)</f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>SUM(K20:K21)</f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aca="true" t="shared" si="2" ref="O19:X19">SUM(O20:O21)</f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  <c r="U19" s="11">
        <f t="shared" si="2"/>
        <v>0</v>
      </c>
      <c r="V19" s="11">
        <f t="shared" si="2"/>
        <v>0</v>
      </c>
      <c r="W19" s="11">
        <f t="shared" si="2"/>
        <v>0</v>
      </c>
      <c r="X19" s="11">
        <f t="shared" si="2"/>
        <v>0</v>
      </c>
      <c r="Y19" s="11">
        <v>338</v>
      </c>
      <c r="Z19" s="11">
        <v>338</v>
      </c>
      <c r="AA19" s="11">
        <f>SUM(AA20:AA21)</f>
        <v>0</v>
      </c>
      <c r="AB19" s="11">
        <f>SUM(AB20:AB21)</f>
        <v>0</v>
      </c>
      <c r="AC19" s="11">
        <f>SUM(AC20:AC21)</f>
        <v>0</v>
      </c>
      <c r="AD19" s="11">
        <f>Y19+T19+O19+J19+E19</f>
        <v>338</v>
      </c>
      <c r="AE19" s="46" t="s">
        <v>182</v>
      </c>
    </row>
    <row r="20" spans="1:32" s="45" customFormat="1" ht="39" customHeight="1" hidden="1" outlineLevel="1">
      <c r="A20" s="41" t="s">
        <v>49</v>
      </c>
      <c r="B20" s="2" t="s">
        <v>122</v>
      </c>
      <c r="C20" s="2"/>
      <c r="D20" s="42"/>
      <c r="E20" s="8">
        <f>SUM(F20:I20)</f>
        <v>0</v>
      </c>
      <c r="F20" s="1">
        <v>0</v>
      </c>
      <c r="G20" s="8">
        <v>0</v>
      </c>
      <c r="H20" s="8">
        <v>0</v>
      </c>
      <c r="I20" s="8">
        <v>0</v>
      </c>
      <c r="J20" s="8">
        <f>SUM(K20:N20)</f>
        <v>0</v>
      </c>
      <c r="K20" s="1">
        <v>0</v>
      </c>
      <c r="L20" s="8">
        <v>0</v>
      </c>
      <c r="M20" s="1">
        <v>0</v>
      </c>
      <c r="N20" s="1">
        <v>0</v>
      </c>
      <c r="O20" s="8">
        <f>SUM(P20:S20)</f>
        <v>0</v>
      </c>
      <c r="P20" s="1">
        <v>0</v>
      </c>
      <c r="Q20" s="1">
        <v>0</v>
      </c>
      <c r="R20" s="1">
        <v>0</v>
      </c>
      <c r="S20" s="1">
        <v>0</v>
      </c>
      <c r="T20" s="8">
        <f>SUM(U20:X20)</f>
        <v>0</v>
      </c>
      <c r="U20" s="1">
        <v>0</v>
      </c>
      <c r="V20" s="1">
        <v>0</v>
      </c>
      <c r="W20" s="1">
        <v>0</v>
      </c>
      <c r="X20" s="1">
        <v>0</v>
      </c>
      <c r="Y20" s="8">
        <f>SUM(Z20:AC20)</f>
        <v>238</v>
      </c>
      <c r="Z20" s="1">
        <v>238</v>
      </c>
      <c r="AA20" s="1">
        <v>0</v>
      </c>
      <c r="AB20" s="1">
        <v>0</v>
      </c>
      <c r="AC20" s="1">
        <v>0</v>
      </c>
      <c r="AD20" s="1">
        <f>Y20+T20+O20+J20+E20</f>
        <v>238</v>
      </c>
      <c r="AE20" s="40" t="s">
        <v>182</v>
      </c>
      <c r="AF20" s="44"/>
    </row>
    <row r="21" spans="1:32" s="45" customFormat="1" ht="94.5" customHeight="1" hidden="1" outlineLevel="1">
      <c r="A21" s="41" t="s">
        <v>48</v>
      </c>
      <c r="B21" s="2" t="s">
        <v>121</v>
      </c>
      <c r="C21" s="2"/>
      <c r="D21" s="42"/>
      <c r="E21" s="8">
        <f>SUM(F21:I21)</f>
        <v>0</v>
      </c>
      <c r="F21" s="1">
        <v>0</v>
      </c>
      <c r="G21" s="8">
        <v>0</v>
      </c>
      <c r="H21" s="8">
        <v>0</v>
      </c>
      <c r="I21" s="8">
        <v>0</v>
      </c>
      <c r="J21" s="8">
        <f>SUM(K21:N21)</f>
        <v>0</v>
      </c>
      <c r="K21" s="1">
        <v>0</v>
      </c>
      <c r="L21" s="8">
        <v>0</v>
      </c>
      <c r="M21" s="1">
        <v>0</v>
      </c>
      <c r="N21" s="1">
        <v>0</v>
      </c>
      <c r="O21" s="8">
        <f>SUM(P21:S21)</f>
        <v>0</v>
      </c>
      <c r="P21" s="1">
        <v>0</v>
      </c>
      <c r="Q21" s="1">
        <v>0</v>
      </c>
      <c r="R21" s="1">
        <v>0</v>
      </c>
      <c r="S21" s="1">
        <v>0</v>
      </c>
      <c r="T21" s="8">
        <f>SUM(U21:X21)</f>
        <v>0</v>
      </c>
      <c r="U21" s="1">
        <v>0</v>
      </c>
      <c r="V21" s="1">
        <v>0</v>
      </c>
      <c r="W21" s="1">
        <v>0</v>
      </c>
      <c r="X21" s="1">
        <v>0</v>
      </c>
      <c r="Y21" s="8">
        <f>SUM(Z21:AC21)</f>
        <v>100</v>
      </c>
      <c r="Z21" s="1">
        <v>100</v>
      </c>
      <c r="AA21" s="1">
        <v>0</v>
      </c>
      <c r="AB21" s="1">
        <v>0</v>
      </c>
      <c r="AC21" s="1">
        <v>0</v>
      </c>
      <c r="AD21" s="1">
        <f>Y21+T21+O21+J21+E21</f>
        <v>100</v>
      </c>
      <c r="AE21" s="40" t="s">
        <v>183</v>
      </c>
      <c r="AF21" s="44"/>
    </row>
    <row r="22" spans="1:32" s="39" customFormat="1" ht="22.5" customHeight="1" collapsed="1">
      <c r="A22" s="128" t="s">
        <v>2</v>
      </c>
      <c r="B22" s="128"/>
      <c r="C22" s="128"/>
      <c r="D22" s="128"/>
      <c r="E22" s="47">
        <f>E16+E19</f>
        <v>0</v>
      </c>
      <c r="F22" s="47">
        <f aca="true" t="shared" si="3" ref="F22:AC22">F16+F19</f>
        <v>0</v>
      </c>
      <c r="G22" s="47">
        <f t="shared" si="3"/>
        <v>0</v>
      </c>
      <c r="H22" s="47">
        <f t="shared" si="3"/>
        <v>0</v>
      </c>
      <c r="I22" s="47">
        <f t="shared" si="3"/>
        <v>0</v>
      </c>
      <c r="J22" s="47">
        <f t="shared" si="3"/>
        <v>0</v>
      </c>
      <c r="K22" s="47">
        <f t="shared" si="3"/>
        <v>0</v>
      </c>
      <c r="L22" s="47">
        <f t="shared" si="3"/>
        <v>0</v>
      </c>
      <c r="M22" s="47">
        <f t="shared" si="3"/>
        <v>0</v>
      </c>
      <c r="N22" s="47">
        <f t="shared" si="3"/>
        <v>0</v>
      </c>
      <c r="O22" s="47">
        <f t="shared" si="3"/>
        <v>0</v>
      </c>
      <c r="P22" s="47">
        <f t="shared" si="3"/>
        <v>0</v>
      </c>
      <c r="Q22" s="47">
        <f t="shared" si="3"/>
        <v>0</v>
      </c>
      <c r="R22" s="47">
        <f t="shared" si="3"/>
        <v>0</v>
      </c>
      <c r="S22" s="47">
        <f t="shared" si="3"/>
        <v>0</v>
      </c>
      <c r="T22" s="47">
        <f t="shared" si="3"/>
        <v>0</v>
      </c>
      <c r="U22" s="47">
        <f t="shared" si="3"/>
        <v>0</v>
      </c>
      <c r="V22" s="47">
        <f t="shared" si="3"/>
        <v>0</v>
      </c>
      <c r="W22" s="47">
        <f t="shared" si="3"/>
        <v>0</v>
      </c>
      <c r="X22" s="47">
        <f t="shared" si="3"/>
        <v>0</v>
      </c>
      <c r="Y22" s="47">
        <f t="shared" si="3"/>
        <v>588</v>
      </c>
      <c r="Z22" s="47">
        <f t="shared" si="3"/>
        <v>588</v>
      </c>
      <c r="AA22" s="47">
        <f t="shared" si="3"/>
        <v>0</v>
      </c>
      <c r="AB22" s="47">
        <f t="shared" si="3"/>
        <v>0</v>
      </c>
      <c r="AC22" s="47">
        <f t="shared" si="3"/>
        <v>0</v>
      </c>
      <c r="AD22" s="47">
        <f>AD16+AD19</f>
        <v>588</v>
      </c>
      <c r="AE22" s="11">
        <f>E22+J22+O22+T22+Y22</f>
        <v>588</v>
      </c>
      <c r="AF22" s="18"/>
    </row>
    <row r="23" spans="1:32" s="39" customFormat="1" ht="20.25" customHeight="1">
      <c r="A23" s="34" t="s">
        <v>12</v>
      </c>
      <c r="B23" s="96" t="s">
        <v>13</v>
      </c>
      <c r="C23" s="135" t="s">
        <v>80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8"/>
      <c r="AE23" s="48"/>
      <c r="AF23" s="18"/>
    </row>
    <row r="24" spans="1:31" ht="55.5" customHeight="1">
      <c r="A24" s="93" t="s">
        <v>52</v>
      </c>
      <c r="B24" s="97" t="s">
        <v>45</v>
      </c>
      <c r="C24" s="97" t="s">
        <v>9</v>
      </c>
      <c r="D24" s="94" t="s">
        <v>137</v>
      </c>
      <c r="E24" s="11">
        <f>SUM(E25:E40)</f>
        <v>13595.3</v>
      </c>
      <c r="F24" s="11">
        <f>SUM(F25:F40)</f>
        <v>13345.2</v>
      </c>
      <c r="G24" s="11">
        <f>SUM(G25:G40)</f>
        <v>250.1</v>
      </c>
      <c r="H24" s="11">
        <f>SUM(H25:H39)</f>
        <v>0</v>
      </c>
      <c r="I24" s="11">
        <f>SUM(I25:I39)</f>
        <v>0</v>
      </c>
      <c r="J24" s="11">
        <f aca="true" t="shared" si="4" ref="J24:AC24">SUM(J25:J40)</f>
        <v>17016.1</v>
      </c>
      <c r="K24" s="144">
        <f t="shared" si="4"/>
        <v>16976</v>
      </c>
      <c r="L24" s="144">
        <f t="shared" si="4"/>
        <v>40.1</v>
      </c>
      <c r="M24" s="144">
        <f t="shared" si="4"/>
        <v>0</v>
      </c>
      <c r="N24" s="144">
        <f t="shared" si="4"/>
        <v>0</v>
      </c>
      <c r="O24" s="144">
        <f t="shared" si="4"/>
        <v>13043.1</v>
      </c>
      <c r="P24" s="144">
        <f t="shared" si="4"/>
        <v>13003</v>
      </c>
      <c r="Q24" s="144">
        <f t="shared" si="4"/>
        <v>40.1</v>
      </c>
      <c r="R24" s="144">
        <f t="shared" si="4"/>
        <v>0</v>
      </c>
      <c r="S24" s="144">
        <f t="shared" si="4"/>
        <v>0</v>
      </c>
      <c r="T24" s="144">
        <f t="shared" si="4"/>
        <v>13043.1</v>
      </c>
      <c r="U24" s="144">
        <f t="shared" si="4"/>
        <v>13003</v>
      </c>
      <c r="V24" s="144">
        <f t="shared" si="4"/>
        <v>40.1</v>
      </c>
      <c r="W24" s="11">
        <f t="shared" si="4"/>
        <v>0</v>
      </c>
      <c r="X24" s="11">
        <f t="shared" si="4"/>
        <v>0</v>
      </c>
      <c r="Y24" s="11">
        <f t="shared" si="4"/>
        <v>15013.5</v>
      </c>
      <c r="Z24" s="11">
        <f t="shared" si="4"/>
        <v>15013.5</v>
      </c>
      <c r="AA24" s="11">
        <f t="shared" si="4"/>
        <v>0</v>
      </c>
      <c r="AB24" s="11">
        <f t="shared" si="4"/>
        <v>0</v>
      </c>
      <c r="AC24" s="11">
        <f t="shared" si="4"/>
        <v>0</v>
      </c>
      <c r="AD24" s="11">
        <f>SUM(AD25:AD40)</f>
        <v>71711.1</v>
      </c>
      <c r="AE24" s="49" t="s">
        <v>184</v>
      </c>
    </row>
    <row r="25" spans="1:32" s="45" customFormat="1" ht="83.25" customHeight="1" hidden="1" outlineLevel="1">
      <c r="A25" s="41" t="s">
        <v>53</v>
      </c>
      <c r="B25" s="2" t="s">
        <v>139</v>
      </c>
      <c r="C25" s="2"/>
      <c r="D25" s="42"/>
      <c r="E25" s="8">
        <f aca="true" t="shared" si="5" ref="E25:E74">SUM(F25:I25)</f>
        <v>3017.2</v>
      </c>
      <c r="F25" s="8">
        <f>3067.2-15.4-17.1-17.5</f>
        <v>3017.2</v>
      </c>
      <c r="G25" s="8">
        <v>0</v>
      </c>
      <c r="H25" s="8">
        <v>0</v>
      </c>
      <c r="I25" s="8">
        <v>0</v>
      </c>
      <c r="J25" s="8">
        <f aca="true" t="shared" si="6" ref="J25:J74">SUM(K25:N25)</f>
        <v>3375</v>
      </c>
      <c r="K25" s="145">
        <v>3375</v>
      </c>
      <c r="L25" s="145">
        <v>0</v>
      </c>
      <c r="M25" s="145">
        <v>0</v>
      </c>
      <c r="N25" s="145">
        <v>0</v>
      </c>
      <c r="O25" s="145">
        <f aca="true" t="shared" si="7" ref="O25:O74">SUM(P25:S25)</f>
        <v>3375</v>
      </c>
      <c r="P25" s="145">
        <v>3375</v>
      </c>
      <c r="Q25" s="145">
        <v>0</v>
      </c>
      <c r="R25" s="145">
        <v>0</v>
      </c>
      <c r="S25" s="145">
        <v>0</v>
      </c>
      <c r="T25" s="145">
        <f>SUM(U25:X25)</f>
        <v>3375</v>
      </c>
      <c r="U25" s="145">
        <v>3375</v>
      </c>
      <c r="V25" s="145">
        <v>0</v>
      </c>
      <c r="W25" s="8">
        <v>0</v>
      </c>
      <c r="X25" s="8">
        <v>0</v>
      </c>
      <c r="Y25" s="8">
        <f>SUM(Z25:AC25)</f>
        <v>4000</v>
      </c>
      <c r="Z25" s="8">
        <v>4000</v>
      </c>
      <c r="AA25" s="8">
        <v>0</v>
      </c>
      <c r="AB25" s="8">
        <v>0</v>
      </c>
      <c r="AC25" s="8">
        <v>0</v>
      </c>
      <c r="AD25" s="50">
        <f aca="true" t="shared" si="8" ref="AD25:AD39">Y25+T25+O25+J25+E25</f>
        <v>17142.2</v>
      </c>
      <c r="AE25" s="43"/>
      <c r="AF25" s="44"/>
    </row>
    <row r="26" spans="1:32" s="45" customFormat="1" ht="63.75" customHeight="1" hidden="1" outlineLevel="1">
      <c r="A26" s="41" t="s">
        <v>54</v>
      </c>
      <c r="B26" s="2" t="s">
        <v>5</v>
      </c>
      <c r="C26" s="2"/>
      <c r="D26" s="42"/>
      <c r="E26" s="8">
        <f t="shared" si="5"/>
        <v>525</v>
      </c>
      <c r="F26" s="8">
        <f>509.6+15.4</f>
        <v>525</v>
      </c>
      <c r="G26" s="8">
        <v>0</v>
      </c>
      <c r="H26" s="8">
        <v>0</v>
      </c>
      <c r="I26" s="8">
        <v>0</v>
      </c>
      <c r="J26" s="8">
        <f t="shared" si="6"/>
        <v>861</v>
      </c>
      <c r="K26" s="145">
        <f>561+300</f>
        <v>861</v>
      </c>
      <c r="L26" s="145">
        <v>0</v>
      </c>
      <c r="M26" s="145">
        <v>0</v>
      </c>
      <c r="N26" s="145">
        <v>0</v>
      </c>
      <c r="O26" s="145">
        <f t="shared" si="7"/>
        <v>561</v>
      </c>
      <c r="P26" s="145">
        <v>561</v>
      </c>
      <c r="Q26" s="145">
        <v>0</v>
      </c>
      <c r="R26" s="145">
        <v>0</v>
      </c>
      <c r="S26" s="145">
        <v>0</v>
      </c>
      <c r="T26" s="145">
        <f aca="true" t="shared" si="9" ref="T26:T74">SUM(U26:X26)</f>
        <v>561</v>
      </c>
      <c r="U26" s="145">
        <v>561</v>
      </c>
      <c r="V26" s="145">
        <v>0</v>
      </c>
      <c r="W26" s="8">
        <v>0</v>
      </c>
      <c r="X26" s="8">
        <v>0</v>
      </c>
      <c r="Y26" s="8">
        <f aca="true" t="shared" si="10" ref="Y26:Y74">SUM(Z26:AC26)</f>
        <v>700</v>
      </c>
      <c r="Z26" s="8">
        <v>700</v>
      </c>
      <c r="AA26" s="8">
        <v>0</v>
      </c>
      <c r="AB26" s="8">
        <v>0</v>
      </c>
      <c r="AC26" s="8">
        <v>0</v>
      </c>
      <c r="AD26" s="50">
        <f t="shared" si="8"/>
        <v>3208</v>
      </c>
      <c r="AE26" s="43"/>
      <c r="AF26" s="51"/>
    </row>
    <row r="27" spans="1:32" s="45" customFormat="1" ht="30.75" customHeight="1" hidden="1" outlineLevel="1">
      <c r="A27" s="41" t="s">
        <v>55</v>
      </c>
      <c r="B27" s="2" t="s">
        <v>150</v>
      </c>
      <c r="C27" s="2"/>
      <c r="D27" s="42"/>
      <c r="E27" s="8">
        <f t="shared" si="5"/>
        <v>58.5</v>
      </c>
      <c r="F27" s="8">
        <f>74-15.5</f>
        <v>58.5</v>
      </c>
      <c r="G27" s="1">
        <v>0</v>
      </c>
      <c r="H27" s="8">
        <v>0</v>
      </c>
      <c r="I27" s="8">
        <v>0</v>
      </c>
      <c r="J27" s="8">
        <f t="shared" si="6"/>
        <v>95</v>
      </c>
      <c r="K27" s="145">
        <v>95</v>
      </c>
      <c r="L27" s="146">
        <v>0</v>
      </c>
      <c r="M27" s="146">
        <v>0</v>
      </c>
      <c r="N27" s="146">
        <v>0</v>
      </c>
      <c r="O27" s="145">
        <f t="shared" si="7"/>
        <v>95</v>
      </c>
      <c r="P27" s="145">
        <v>95</v>
      </c>
      <c r="Q27" s="146">
        <v>0</v>
      </c>
      <c r="R27" s="146">
        <v>0</v>
      </c>
      <c r="S27" s="146">
        <v>0</v>
      </c>
      <c r="T27" s="145">
        <f t="shared" si="9"/>
        <v>95</v>
      </c>
      <c r="U27" s="145">
        <v>95</v>
      </c>
      <c r="V27" s="146">
        <v>0</v>
      </c>
      <c r="W27" s="1">
        <v>0</v>
      </c>
      <c r="X27" s="1">
        <v>0</v>
      </c>
      <c r="Y27" s="8">
        <f t="shared" si="10"/>
        <v>133.5</v>
      </c>
      <c r="Z27" s="8">
        <v>133.5</v>
      </c>
      <c r="AA27" s="1">
        <v>0</v>
      </c>
      <c r="AB27" s="1">
        <v>0</v>
      </c>
      <c r="AC27" s="1">
        <v>0</v>
      </c>
      <c r="AD27" s="50">
        <f t="shared" si="8"/>
        <v>477</v>
      </c>
      <c r="AE27" s="43"/>
      <c r="AF27" s="44"/>
    </row>
    <row r="28" spans="1:32" s="45" customFormat="1" ht="30.75" customHeight="1" hidden="1" outlineLevel="1">
      <c r="A28" s="41" t="s">
        <v>56</v>
      </c>
      <c r="B28" s="2" t="s">
        <v>151</v>
      </c>
      <c r="C28" s="2"/>
      <c r="D28" s="42"/>
      <c r="E28" s="8">
        <f t="shared" si="5"/>
        <v>85.5</v>
      </c>
      <c r="F28" s="8">
        <f>68.4+17.1</f>
        <v>85.5</v>
      </c>
      <c r="G28" s="1">
        <v>0</v>
      </c>
      <c r="H28" s="8">
        <v>0</v>
      </c>
      <c r="I28" s="8">
        <v>0</v>
      </c>
      <c r="J28" s="8">
        <f t="shared" si="6"/>
        <v>93</v>
      </c>
      <c r="K28" s="145">
        <v>93</v>
      </c>
      <c r="L28" s="146">
        <v>0</v>
      </c>
      <c r="M28" s="146">
        <v>0</v>
      </c>
      <c r="N28" s="146">
        <v>0</v>
      </c>
      <c r="O28" s="145">
        <f t="shared" si="7"/>
        <v>93</v>
      </c>
      <c r="P28" s="145">
        <v>93</v>
      </c>
      <c r="Q28" s="146">
        <v>0</v>
      </c>
      <c r="R28" s="146">
        <v>0</v>
      </c>
      <c r="S28" s="146">
        <v>0</v>
      </c>
      <c r="T28" s="145">
        <f t="shared" si="9"/>
        <v>93</v>
      </c>
      <c r="U28" s="145">
        <v>93</v>
      </c>
      <c r="V28" s="146">
        <v>0</v>
      </c>
      <c r="W28" s="1">
        <v>0</v>
      </c>
      <c r="X28" s="1">
        <v>0</v>
      </c>
      <c r="Y28" s="8">
        <f t="shared" si="10"/>
        <v>130</v>
      </c>
      <c r="Z28" s="8">
        <v>130</v>
      </c>
      <c r="AA28" s="1">
        <v>0</v>
      </c>
      <c r="AB28" s="1">
        <v>0</v>
      </c>
      <c r="AC28" s="1">
        <v>0</v>
      </c>
      <c r="AD28" s="50">
        <f t="shared" si="8"/>
        <v>494.5</v>
      </c>
      <c r="AE28" s="43"/>
      <c r="AF28" s="44"/>
    </row>
    <row r="29" spans="1:32" s="45" customFormat="1" ht="30.75" customHeight="1" hidden="1" outlineLevel="1">
      <c r="A29" s="41" t="s">
        <v>57</v>
      </c>
      <c r="B29" s="2" t="s">
        <v>152</v>
      </c>
      <c r="C29" s="2"/>
      <c r="D29" s="42"/>
      <c r="E29" s="8">
        <f t="shared" si="5"/>
        <v>1628</v>
      </c>
      <c r="F29" s="111">
        <f>1563.8+64</f>
        <v>1628</v>
      </c>
      <c r="G29" s="1">
        <v>0</v>
      </c>
      <c r="H29" s="8">
        <v>0</v>
      </c>
      <c r="I29" s="8">
        <v>0</v>
      </c>
      <c r="J29" s="8">
        <f t="shared" si="6"/>
        <v>1683</v>
      </c>
      <c r="K29" s="145">
        <v>1683</v>
      </c>
      <c r="L29" s="146">
        <v>0</v>
      </c>
      <c r="M29" s="146">
        <v>0</v>
      </c>
      <c r="N29" s="146">
        <v>0</v>
      </c>
      <c r="O29" s="145">
        <f t="shared" si="7"/>
        <v>1683</v>
      </c>
      <c r="P29" s="145">
        <v>1683</v>
      </c>
      <c r="Q29" s="146">
        <v>0</v>
      </c>
      <c r="R29" s="146">
        <v>0</v>
      </c>
      <c r="S29" s="146">
        <v>0</v>
      </c>
      <c r="T29" s="145">
        <f t="shared" si="9"/>
        <v>1683</v>
      </c>
      <c r="U29" s="145">
        <v>1683</v>
      </c>
      <c r="V29" s="146">
        <v>0</v>
      </c>
      <c r="W29" s="1">
        <v>0</v>
      </c>
      <c r="X29" s="1">
        <v>0</v>
      </c>
      <c r="Y29" s="8">
        <f t="shared" si="10"/>
        <v>2200</v>
      </c>
      <c r="Z29" s="8">
        <v>2200</v>
      </c>
      <c r="AA29" s="1">
        <v>0</v>
      </c>
      <c r="AB29" s="1">
        <v>0</v>
      </c>
      <c r="AC29" s="1">
        <v>0</v>
      </c>
      <c r="AD29" s="50">
        <f t="shared" si="8"/>
        <v>8877</v>
      </c>
      <c r="AE29" s="43"/>
      <c r="AF29" s="44"/>
    </row>
    <row r="30" spans="1:32" s="45" customFormat="1" ht="30.75" customHeight="1" hidden="1" outlineLevel="1">
      <c r="A30" s="41" t="s">
        <v>58</v>
      </c>
      <c r="B30" s="2" t="s">
        <v>153</v>
      </c>
      <c r="C30" s="2"/>
      <c r="D30" s="42"/>
      <c r="E30" s="8">
        <f t="shared" si="5"/>
        <v>135</v>
      </c>
      <c r="F30" s="8">
        <v>100</v>
      </c>
      <c r="G30" s="1">
        <v>35</v>
      </c>
      <c r="H30" s="8">
        <v>0</v>
      </c>
      <c r="I30" s="8">
        <v>0</v>
      </c>
      <c r="J30" s="8">
        <f t="shared" si="6"/>
        <v>139.8</v>
      </c>
      <c r="K30" s="145">
        <f>100+4.8</f>
        <v>104.8</v>
      </c>
      <c r="L30" s="146">
        <v>35</v>
      </c>
      <c r="M30" s="146">
        <v>0</v>
      </c>
      <c r="N30" s="146">
        <v>0</v>
      </c>
      <c r="O30" s="145">
        <f t="shared" si="7"/>
        <v>135</v>
      </c>
      <c r="P30" s="145">
        <v>100</v>
      </c>
      <c r="Q30" s="146">
        <v>35</v>
      </c>
      <c r="R30" s="146">
        <v>0</v>
      </c>
      <c r="S30" s="146">
        <v>0</v>
      </c>
      <c r="T30" s="145">
        <f t="shared" si="9"/>
        <v>135</v>
      </c>
      <c r="U30" s="145">
        <v>100</v>
      </c>
      <c r="V30" s="145">
        <v>35</v>
      </c>
      <c r="W30" s="1">
        <v>0</v>
      </c>
      <c r="X30" s="1">
        <v>0</v>
      </c>
      <c r="Y30" s="8">
        <f t="shared" si="10"/>
        <v>140</v>
      </c>
      <c r="Z30" s="8">
        <v>140</v>
      </c>
      <c r="AA30" s="1">
        <v>0</v>
      </c>
      <c r="AB30" s="1">
        <v>0</v>
      </c>
      <c r="AC30" s="1">
        <v>0</v>
      </c>
      <c r="AD30" s="50">
        <f t="shared" si="8"/>
        <v>684.8</v>
      </c>
      <c r="AE30" s="43"/>
      <c r="AF30" s="44"/>
    </row>
    <row r="31" spans="1:32" s="45" customFormat="1" ht="30.75" customHeight="1" hidden="1" outlineLevel="1">
      <c r="A31" s="41" t="s">
        <v>59</v>
      </c>
      <c r="B31" s="2" t="s">
        <v>154</v>
      </c>
      <c r="C31" s="2"/>
      <c r="D31" s="42"/>
      <c r="E31" s="8">
        <f t="shared" si="5"/>
        <v>417.8</v>
      </c>
      <c r="F31" s="8">
        <v>417.8</v>
      </c>
      <c r="G31" s="1">
        <v>0</v>
      </c>
      <c r="H31" s="8">
        <v>0</v>
      </c>
      <c r="I31" s="8">
        <v>0</v>
      </c>
      <c r="J31" s="8">
        <f t="shared" si="6"/>
        <v>502</v>
      </c>
      <c r="K31" s="145">
        <v>502</v>
      </c>
      <c r="L31" s="146">
        <v>0</v>
      </c>
      <c r="M31" s="146">
        <v>0</v>
      </c>
      <c r="N31" s="146">
        <v>0</v>
      </c>
      <c r="O31" s="145">
        <f t="shared" si="7"/>
        <v>502</v>
      </c>
      <c r="P31" s="145">
        <v>502</v>
      </c>
      <c r="Q31" s="146">
        <v>0</v>
      </c>
      <c r="R31" s="146">
        <v>0</v>
      </c>
      <c r="S31" s="146">
        <v>0</v>
      </c>
      <c r="T31" s="145">
        <f t="shared" si="9"/>
        <v>502</v>
      </c>
      <c r="U31" s="145">
        <v>502</v>
      </c>
      <c r="V31" s="146">
        <v>0</v>
      </c>
      <c r="W31" s="1">
        <v>0</v>
      </c>
      <c r="X31" s="1">
        <v>0</v>
      </c>
      <c r="Y31" s="8">
        <f t="shared" si="10"/>
        <v>530</v>
      </c>
      <c r="Z31" s="8">
        <v>530</v>
      </c>
      <c r="AA31" s="1">
        <v>0</v>
      </c>
      <c r="AB31" s="1">
        <v>0</v>
      </c>
      <c r="AC31" s="1">
        <v>0</v>
      </c>
      <c r="AD31" s="50">
        <f t="shared" si="8"/>
        <v>2453.8</v>
      </c>
      <c r="AE31" s="43"/>
      <c r="AF31" s="44"/>
    </row>
    <row r="32" spans="1:32" s="45" customFormat="1" ht="45.75" customHeight="1" hidden="1" outlineLevel="1">
      <c r="A32" s="41" t="s">
        <v>60</v>
      </c>
      <c r="B32" s="2" t="s">
        <v>155</v>
      </c>
      <c r="C32" s="2"/>
      <c r="D32" s="42"/>
      <c r="E32" s="8">
        <f t="shared" si="5"/>
        <v>1210.2</v>
      </c>
      <c r="F32" s="8">
        <f>1235-24.8</f>
        <v>1210.2</v>
      </c>
      <c r="G32" s="1">
        <v>0</v>
      </c>
      <c r="H32" s="8">
        <v>0</v>
      </c>
      <c r="I32" s="8">
        <v>0</v>
      </c>
      <c r="J32" s="8">
        <f t="shared" si="6"/>
        <v>1393</v>
      </c>
      <c r="K32" s="145">
        <v>1393</v>
      </c>
      <c r="L32" s="146">
        <v>0</v>
      </c>
      <c r="M32" s="146">
        <v>0</v>
      </c>
      <c r="N32" s="146">
        <v>0</v>
      </c>
      <c r="O32" s="145">
        <f t="shared" si="7"/>
        <v>1393</v>
      </c>
      <c r="P32" s="145">
        <v>1393</v>
      </c>
      <c r="Q32" s="146">
        <v>0</v>
      </c>
      <c r="R32" s="146">
        <v>0</v>
      </c>
      <c r="S32" s="146">
        <v>0</v>
      </c>
      <c r="T32" s="145">
        <f t="shared" si="9"/>
        <v>1393</v>
      </c>
      <c r="U32" s="145">
        <v>1393</v>
      </c>
      <c r="V32" s="146">
        <v>0</v>
      </c>
      <c r="W32" s="1">
        <v>0</v>
      </c>
      <c r="X32" s="1">
        <v>0</v>
      </c>
      <c r="Y32" s="8">
        <f t="shared" si="10"/>
        <v>1800</v>
      </c>
      <c r="Z32" s="8">
        <v>1800</v>
      </c>
      <c r="AA32" s="1">
        <v>0</v>
      </c>
      <c r="AB32" s="1">
        <v>0</v>
      </c>
      <c r="AC32" s="1">
        <v>0</v>
      </c>
      <c r="AD32" s="50">
        <f t="shared" si="8"/>
        <v>7189.2</v>
      </c>
      <c r="AE32" s="43"/>
      <c r="AF32" s="44"/>
    </row>
    <row r="33" spans="1:32" s="45" customFormat="1" ht="30.75" customHeight="1" hidden="1" outlineLevel="1">
      <c r="A33" s="41" t="s">
        <v>61</v>
      </c>
      <c r="B33" s="2" t="s">
        <v>156</v>
      </c>
      <c r="C33" s="2"/>
      <c r="D33" s="42"/>
      <c r="E33" s="8">
        <f t="shared" si="5"/>
        <v>191.4</v>
      </c>
      <c r="F33" s="8">
        <v>191.4</v>
      </c>
      <c r="G33" s="1">
        <v>0</v>
      </c>
      <c r="H33" s="8">
        <v>0</v>
      </c>
      <c r="I33" s="8">
        <v>0</v>
      </c>
      <c r="J33" s="8">
        <f t="shared" si="6"/>
        <v>211</v>
      </c>
      <c r="K33" s="145">
        <v>211</v>
      </c>
      <c r="L33" s="146">
        <v>0</v>
      </c>
      <c r="M33" s="146">
        <v>0</v>
      </c>
      <c r="N33" s="146">
        <v>0</v>
      </c>
      <c r="O33" s="145">
        <f t="shared" si="7"/>
        <v>211</v>
      </c>
      <c r="P33" s="145">
        <v>211</v>
      </c>
      <c r="Q33" s="146">
        <v>0</v>
      </c>
      <c r="R33" s="146">
        <v>0</v>
      </c>
      <c r="S33" s="146">
        <v>0</v>
      </c>
      <c r="T33" s="145">
        <f t="shared" si="9"/>
        <v>211</v>
      </c>
      <c r="U33" s="145">
        <v>211</v>
      </c>
      <c r="V33" s="146">
        <v>0</v>
      </c>
      <c r="W33" s="1">
        <v>0</v>
      </c>
      <c r="X33" s="1">
        <v>0</v>
      </c>
      <c r="Y33" s="8">
        <f t="shared" si="10"/>
        <v>260</v>
      </c>
      <c r="Z33" s="8">
        <v>260</v>
      </c>
      <c r="AA33" s="1">
        <v>0</v>
      </c>
      <c r="AB33" s="1">
        <v>0</v>
      </c>
      <c r="AC33" s="1">
        <v>0</v>
      </c>
      <c r="AD33" s="50">
        <f t="shared" si="8"/>
        <v>1084.4</v>
      </c>
      <c r="AE33" s="43"/>
      <c r="AF33" s="44"/>
    </row>
    <row r="34" spans="1:32" s="45" customFormat="1" ht="30.75" customHeight="1" hidden="1" outlineLevel="1">
      <c r="A34" s="41" t="s">
        <v>62</v>
      </c>
      <c r="B34" s="2" t="s">
        <v>157</v>
      </c>
      <c r="C34" s="2"/>
      <c r="D34" s="42"/>
      <c r="E34" s="8">
        <f t="shared" si="5"/>
        <v>5.1</v>
      </c>
      <c r="F34" s="8">
        <v>0</v>
      </c>
      <c r="G34" s="1">
        <v>5.1</v>
      </c>
      <c r="H34" s="8">
        <v>0</v>
      </c>
      <c r="I34" s="8">
        <v>0</v>
      </c>
      <c r="J34" s="8">
        <f t="shared" si="6"/>
        <v>5.1</v>
      </c>
      <c r="K34" s="145">
        <v>0</v>
      </c>
      <c r="L34" s="146">
        <v>5.1</v>
      </c>
      <c r="M34" s="146">
        <v>0</v>
      </c>
      <c r="N34" s="146">
        <v>0</v>
      </c>
      <c r="O34" s="145">
        <f t="shared" si="7"/>
        <v>5.1</v>
      </c>
      <c r="P34" s="145">
        <v>0</v>
      </c>
      <c r="Q34" s="146">
        <v>5.1</v>
      </c>
      <c r="R34" s="146">
        <v>0</v>
      </c>
      <c r="S34" s="146">
        <v>0</v>
      </c>
      <c r="T34" s="145">
        <f t="shared" si="9"/>
        <v>5.1</v>
      </c>
      <c r="U34" s="145">
        <v>0</v>
      </c>
      <c r="V34" s="145">
        <v>5.1</v>
      </c>
      <c r="W34" s="1">
        <v>0</v>
      </c>
      <c r="X34" s="1">
        <v>0</v>
      </c>
      <c r="Y34" s="8">
        <f t="shared" si="10"/>
        <v>0</v>
      </c>
      <c r="Z34" s="8">
        <v>0</v>
      </c>
      <c r="AA34" s="1">
        <v>0</v>
      </c>
      <c r="AB34" s="1">
        <v>0</v>
      </c>
      <c r="AC34" s="1">
        <v>0</v>
      </c>
      <c r="AD34" s="50">
        <f t="shared" si="8"/>
        <v>20.4</v>
      </c>
      <c r="AE34" s="43"/>
      <c r="AF34" s="44"/>
    </row>
    <row r="35" spans="1:32" s="45" customFormat="1" ht="30.75" customHeight="1" hidden="1" outlineLevel="1">
      <c r="A35" s="41" t="s">
        <v>86</v>
      </c>
      <c r="B35" s="52" t="s">
        <v>98</v>
      </c>
      <c r="C35" s="2"/>
      <c r="D35" s="42"/>
      <c r="E35" s="8">
        <f t="shared" si="5"/>
        <v>795.8</v>
      </c>
      <c r="F35" s="8">
        <f>4608-18-493-2340-924-244-3.2</f>
        <v>585.8</v>
      </c>
      <c r="G35" s="1">
        <f>80+130</f>
        <v>210</v>
      </c>
      <c r="H35" s="8">
        <v>0</v>
      </c>
      <c r="I35" s="8">
        <v>0</v>
      </c>
      <c r="J35" s="8">
        <f t="shared" si="6"/>
        <v>4256.2</v>
      </c>
      <c r="K35" s="145">
        <f>4643-300-4.8-82</f>
        <v>4256.2</v>
      </c>
      <c r="L35" s="146">
        <v>0</v>
      </c>
      <c r="M35" s="146">
        <v>0</v>
      </c>
      <c r="N35" s="146">
        <v>0</v>
      </c>
      <c r="O35" s="145">
        <f t="shared" si="7"/>
        <v>4643</v>
      </c>
      <c r="P35" s="145">
        <v>4643</v>
      </c>
      <c r="Q35" s="146">
        <v>0</v>
      </c>
      <c r="R35" s="146">
        <v>0</v>
      </c>
      <c r="S35" s="146">
        <v>0</v>
      </c>
      <c r="T35" s="145">
        <f t="shared" si="9"/>
        <v>4643</v>
      </c>
      <c r="U35" s="145">
        <v>4643</v>
      </c>
      <c r="V35" s="146">
        <v>0</v>
      </c>
      <c r="W35" s="1">
        <v>0</v>
      </c>
      <c r="X35" s="1">
        <v>0</v>
      </c>
      <c r="Y35" s="8">
        <f t="shared" si="10"/>
        <v>4800</v>
      </c>
      <c r="Z35" s="8">
        <v>4800</v>
      </c>
      <c r="AA35" s="1">
        <v>0</v>
      </c>
      <c r="AB35" s="1">
        <v>0</v>
      </c>
      <c r="AC35" s="1">
        <v>0</v>
      </c>
      <c r="AD35" s="50">
        <f t="shared" si="8"/>
        <v>19138</v>
      </c>
      <c r="AE35" s="43"/>
      <c r="AF35" s="51"/>
    </row>
    <row r="36" spans="1:32" s="45" customFormat="1" ht="48.75" customHeight="1" hidden="1" outlineLevel="1">
      <c r="A36" s="41" t="s">
        <v>87</v>
      </c>
      <c r="B36" s="52" t="s">
        <v>112</v>
      </c>
      <c r="C36" s="2"/>
      <c r="D36" s="42"/>
      <c r="E36" s="8">
        <f t="shared" si="5"/>
        <v>14.8</v>
      </c>
      <c r="F36" s="8">
        <v>14.8</v>
      </c>
      <c r="G36" s="1">
        <v>0</v>
      </c>
      <c r="H36" s="8">
        <v>0</v>
      </c>
      <c r="I36" s="8">
        <v>0</v>
      </c>
      <c r="J36" s="8">
        <f t="shared" si="6"/>
        <v>17</v>
      </c>
      <c r="K36" s="145">
        <v>17</v>
      </c>
      <c r="L36" s="146">
        <v>0</v>
      </c>
      <c r="M36" s="146">
        <v>0</v>
      </c>
      <c r="N36" s="146">
        <v>0</v>
      </c>
      <c r="O36" s="145">
        <f t="shared" si="7"/>
        <v>17</v>
      </c>
      <c r="P36" s="145">
        <v>17</v>
      </c>
      <c r="Q36" s="146">
        <v>0</v>
      </c>
      <c r="R36" s="146">
        <v>0</v>
      </c>
      <c r="S36" s="146">
        <v>0</v>
      </c>
      <c r="T36" s="145">
        <f t="shared" si="9"/>
        <v>17</v>
      </c>
      <c r="U36" s="145">
        <v>17</v>
      </c>
      <c r="V36" s="146">
        <v>0</v>
      </c>
      <c r="W36" s="1">
        <v>0</v>
      </c>
      <c r="X36" s="1">
        <v>0</v>
      </c>
      <c r="Y36" s="8">
        <f t="shared" si="10"/>
        <v>20</v>
      </c>
      <c r="Z36" s="8">
        <v>20</v>
      </c>
      <c r="AA36" s="1">
        <v>0</v>
      </c>
      <c r="AB36" s="1">
        <v>0</v>
      </c>
      <c r="AC36" s="1">
        <v>0</v>
      </c>
      <c r="AD36" s="50">
        <f t="shared" si="8"/>
        <v>85.8</v>
      </c>
      <c r="AE36" s="43"/>
      <c r="AF36" s="44"/>
    </row>
    <row r="37" spans="1:32" s="45" customFormat="1" ht="51" customHeight="1" hidden="1" outlineLevel="1">
      <c r="A37" s="41" t="s">
        <v>97</v>
      </c>
      <c r="B37" s="52" t="s">
        <v>149</v>
      </c>
      <c r="C37" s="2"/>
      <c r="D37" s="42"/>
      <c r="E37" s="8">
        <f t="shared" si="5"/>
        <v>297</v>
      </c>
      <c r="F37" s="8">
        <f>300-3</f>
        <v>297</v>
      </c>
      <c r="G37" s="1">
        <v>0</v>
      </c>
      <c r="H37" s="8">
        <v>0</v>
      </c>
      <c r="I37" s="8">
        <v>0</v>
      </c>
      <c r="J37" s="8">
        <f t="shared" si="6"/>
        <v>330</v>
      </c>
      <c r="K37" s="145">
        <v>330</v>
      </c>
      <c r="L37" s="146">
        <v>0</v>
      </c>
      <c r="M37" s="146">
        <v>0</v>
      </c>
      <c r="N37" s="146">
        <v>0</v>
      </c>
      <c r="O37" s="145">
        <f t="shared" si="7"/>
        <v>330</v>
      </c>
      <c r="P37" s="145">
        <v>330</v>
      </c>
      <c r="Q37" s="146">
        <v>0</v>
      </c>
      <c r="R37" s="146">
        <v>0</v>
      </c>
      <c r="S37" s="146">
        <v>0</v>
      </c>
      <c r="T37" s="145">
        <f t="shared" si="9"/>
        <v>330</v>
      </c>
      <c r="U37" s="145">
        <v>330</v>
      </c>
      <c r="V37" s="146">
        <v>0</v>
      </c>
      <c r="W37" s="1">
        <v>0</v>
      </c>
      <c r="X37" s="1">
        <v>0</v>
      </c>
      <c r="Y37" s="8">
        <f t="shared" si="10"/>
        <v>300</v>
      </c>
      <c r="Z37" s="8">
        <v>300</v>
      </c>
      <c r="AA37" s="1">
        <v>0</v>
      </c>
      <c r="AB37" s="1">
        <v>0</v>
      </c>
      <c r="AC37" s="1">
        <v>0</v>
      </c>
      <c r="AD37" s="50">
        <f t="shared" si="8"/>
        <v>1587</v>
      </c>
      <c r="AE37" s="43"/>
      <c r="AF37" s="44"/>
    </row>
    <row r="38" spans="1:32" s="45" customFormat="1" ht="30.75" customHeight="1" hidden="1" outlineLevel="1">
      <c r="A38" s="41" t="s">
        <v>108</v>
      </c>
      <c r="B38" s="52" t="s">
        <v>140</v>
      </c>
      <c r="C38" s="2"/>
      <c r="D38" s="42"/>
      <c r="E38" s="8">
        <f t="shared" si="5"/>
        <v>0</v>
      </c>
      <c r="F38" s="8">
        <v>0</v>
      </c>
      <c r="G38" s="1">
        <v>0</v>
      </c>
      <c r="H38" s="8">
        <v>0</v>
      </c>
      <c r="I38" s="8">
        <v>0</v>
      </c>
      <c r="J38" s="8">
        <f t="shared" si="6"/>
        <v>0</v>
      </c>
      <c r="K38" s="145">
        <v>0</v>
      </c>
      <c r="L38" s="146">
        <v>0</v>
      </c>
      <c r="M38" s="146">
        <v>0</v>
      </c>
      <c r="N38" s="146">
        <v>0</v>
      </c>
      <c r="O38" s="145">
        <f t="shared" si="7"/>
        <v>0</v>
      </c>
      <c r="P38" s="145">
        <v>0</v>
      </c>
      <c r="Q38" s="146">
        <v>0</v>
      </c>
      <c r="R38" s="146">
        <v>0</v>
      </c>
      <c r="S38" s="146">
        <v>0</v>
      </c>
      <c r="T38" s="145">
        <f t="shared" si="9"/>
        <v>0</v>
      </c>
      <c r="U38" s="145">
        <v>0</v>
      </c>
      <c r="V38" s="146">
        <v>0</v>
      </c>
      <c r="W38" s="1">
        <v>0</v>
      </c>
      <c r="X38" s="1">
        <v>0</v>
      </c>
      <c r="Y38" s="8">
        <f t="shared" si="10"/>
        <v>0</v>
      </c>
      <c r="Z38" s="8">
        <v>0</v>
      </c>
      <c r="AA38" s="1">
        <v>0</v>
      </c>
      <c r="AB38" s="1">
        <v>0</v>
      </c>
      <c r="AC38" s="1">
        <v>0</v>
      </c>
      <c r="AD38" s="50">
        <f t="shared" si="8"/>
        <v>0</v>
      </c>
      <c r="AE38" s="43"/>
      <c r="AF38" s="44"/>
    </row>
    <row r="39" spans="1:32" s="45" customFormat="1" ht="30.75" customHeight="1" hidden="1" outlineLevel="1">
      <c r="A39" s="41" t="s">
        <v>109</v>
      </c>
      <c r="B39" s="52" t="s">
        <v>158</v>
      </c>
      <c r="C39" s="2"/>
      <c r="D39" s="42"/>
      <c r="E39" s="8">
        <f t="shared" si="5"/>
        <v>0</v>
      </c>
      <c r="F39" s="8">
        <v>0</v>
      </c>
      <c r="G39" s="1">
        <v>0</v>
      </c>
      <c r="H39" s="8">
        <v>0</v>
      </c>
      <c r="I39" s="8">
        <v>0</v>
      </c>
      <c r="J39" s="8">
        <f t="shared" si="6"/>
        <v>0</v>
      </c>
      <c r="K39" s="145">
        <v>0</v>
      </c>
      <c r="L39" s="146">
        <v>0</v>
      </c>
      <c r="M39" s="146">
        <v>0</v>
      </c>
      <c r="N39" s="146">
        <v>0</v>
      </c>
      <c r="O39" s="145">
        <f t="shared" si="7"/>
        <v>0</v>
      </c>
      <c r="P39" s="145">
        <v>0</v>
      </c>
      <c r="Q39" s="146">
        <v>0</v>
      </c>
      <c r="R39" s="146">
        <v>0</v>
      </c>
      <c r="S39" s="146">
        <v>0</v>
      </c>
      <c r="T39" s="145">
        <f t="shared" si="9"/>
        <v>0</v>
      </c>
      <c r="U39" s="145">
        <v>0</v>
      </c>
      <c r="V39" s="146">
        <v>0</v>
      </c>
      <c r="W39" s="1">
        <v>0</v>
      </c>
      <c r="X39" s="1">
        <v>0</v>
      </c>
      <c r="Y39" s="8">
        <f t="shared" si="10"/>
        <v>0</v>
      </c>
      <c r="Z39" s="8">
        <v>0</v>
      </c>
      <c r="AA39" s="1">
        <v>0</v>
      </c>
      <c r="AB39" s="1">
        <v>0</v>
      </c>
      <c r="AC39" s="1">
        <v>0</v>
      </c>
      <c r="AD39" s="50">
        <f t="shared" si="8"/>
        <v>0</v>
      </c>
      <c r="AE39" s="43"/>
      <c r="AF39" s="44"/>
    </row>
    <row r="40" spans="1:32" s="45" customFormat="1" ht="30.75" customHeight="1" hidden="1" outlineLevel="1">
      <c r="A40" s="41" t="s">
        <v>206</v>
      </c>
      <c r="B40" s="52" t="s">
        <v>214</v>
      </c>
      <c r="C40" s="2"/>
      <c r="D40" s="42"/>
      <c r="E40" s="8">
        <f>SUM(F40:G40)</f>
        <v>5214</v>
      </c>
      <c r="F40" s="8">
        <v>5214</v>
      </c>
      <c r="G40" s="1">
        <v>0</v>
      </c>
      <c r="H40" s="8">
        <v>0</v>
      </c>
      <c r="I40" s="8">
        <v>0</v>
      </c>
      <c r="J40" s="8">
        <f t="shared" si="6"/>
        <v>4055</v>
      </c>
      <c r="K40" s="145">
        <v>4055</v>
      </c>
      <c r="L40" s="146">
        <v>0</v>
      </c>
      <c r="M40" s="146">
        <v>0</v>
      </c>
      <c r="N40" s="146">
        <v>0</v>
      </c>
      <c r="O40" s="145">
        <f t="shared" si="7"/>
        <v>0</v>
      </c>
      <c r="P40" s="145">
        <v>0</v>
      </c>
      <c r="Q40" s="146">
        <v>0</v>
      </c>
      <c r="R40" s="146">
        <v>0</v>
      </c>
      <c r="S40" s="146">
        <v>0</v>
      </c>
      <c r="T40" s="145">
        <f t="shared" si="9"/>
        <v>0</v>
      </c>
      <c r="U40" s="145">
        <v>0</v>
      </c>
      <c r="V40" s="146">
        <v>0</v>
      </c>
      <c r="W40" s="1">
        <v>0</v>
      </c>
      <c r="X40" s="1">
        <v>0</v>
      </c>
      <c r="Y40" s="8">
        <f t="shared" si="10"/>
        <v>0</v>
      </c>
      <c r="Z40" s="8">
        <v>0</v>
      </c>
      <c r="AA40" s="1">
        <v>0</v>
      </c>
      <c r="AB40" s="1">
        <v>0</v>
      </c>
      <c r="AC40" s="1">
        <v>0</v>
      </c>
      <c r="AD40" s="50">
        <f>Y40+T40+O40+J40+E40</f>
        <v>9269</v>
      </c>
      <c r="AE40" s="43"/>
      <c r="AF40" s="44"/>
    </row>
    <row r="41" spans="1:31" ht="129" customHeight="1" collapsed="1">
      <c r="A41" s="107" t="s">
        <v>63</v>
      </c>
      <c r="B41" s="143" t="s">
        <v>227</v>
      </c>
      <c r="C41" s="106" t="s">
        <v>9</v>
      </c>
      <c r="D41" s="108" t="s">
        <v>137</v>
      </c>
      <c r="E41" s="11">
        <f aca="true" t="shared" si="11" ref="E41:M41">SUM(E42:E62)</f>
        <v>10155.2</v>
      </c>
      <c r="F41" s="11">
        <f t="shared" si="11"/>
        <v>9484</v>
      </c>
      <c r="G41" s="11">
        <f t="shared" si="11"/>
        <v>671.2</v>
      </c>
      <c r="H41" s="11">
        <f t="shared" si="11"/>
        <v>0</v>
      </c>
      <c r="I41" s="11">
        <f t="shared" si="11"/>
        <v>0</v>
      </c>
      <c r="J41" s="11">
        <f t="shared" si="11"/>
        <v>8120.73</v>
      </c>
      <c r="K41" s="144">
        <f t="shared" si="11"/>
        <v>7860</v>
      </c>
      <c r="L41" s="144">
        <f t="shared" si="11"/>
        <v>260.73</v>
      </c>
      <c r="M41" s="144">
        <f t="shared" si="11"/>
        <v>0</v>
      </c>
      <c r="N41" s="144">
        <f aca="true" t="shared" si="12" ref="N41:AC41">SUM(N42:N62)</f>
        <v>0</v>
      </c>
      <c r="O41" s="144">
        <f>SUM(O42:O62)</f>
        <v>7938.73</v>
      </c>
      <c r="P41" s="144">
        <f t="shared" si="12"/>
        <v>7860</v>
      </c>
      <c r="Q41" s="144">
        <f t="shared" si="12"/>
        <v>78.73</v>
      </c>
      <c r="R41" s="144">
        <f t="shared" si="12"/>
        <v>0</v>
      </c>
      <c r="S41" s="144">
        <f t="shared" si="12"/>
        <v>0</v>
      </c>
      <c r="T41" s="144">
        <f t="shared" si="12"/>
        <v>7938.73</v>
      </c>
      <c r="U41" s="144">
        <f t="shared" si="12"/>
        <v>7860</v>
      </c>
      <c r="V41" s="144">
        <f t="shared" si="12"/>
        <v>78.73</v>
      </c>
      <c r="W41" s="11">
        <f t="shared" si="12"/>
        <v>0</v>
      </c>
      <c r="X41" s="11">
        <f t="shared" si="12"/>
        <v>0</v>
      </c>
      <c r="Y41" s="11">
        <f t="shared" si="12"/>
        <v>14800</v>
      </c>
      <c r="Z41" s="11">
        <f t="shared" si="12"/>
        <v>14800</v>
      </c>
      <c r="AA41" s="11">
        <f t="shared" si="12"/>
        <v>0</v>
      </c>
      <c r="AB41" s="11">
        <f t="shared" si="12"/>
        <v>0</v>
      </c>
      <c r="AC41" s="11">
        <f t="shared" si="12"/>
        <v>0</v>
      </c>
      <c r="AD41" s="11">
        <f>SUM(AD42:AD62)</f>
        <v>48953.39</v>
      </c>
      <c r="AE41" s="46" t="s">
        <v>185</v>
      </c>
    </row>
    <row r="42" spans="1:32" s="45" customFormat="1" ht="47.25" hidden="1" outlineLevel="1">
      <c r="A42" s="41" t="s">
        <v>64</v>
      </c>
      <c r="B42" s="2" t="s">
        <v>69</v>
      </c>
      <c r="C42" s="2"/>
      <c r="D42" s="42"/>
      <c r="E42" s="8">
        <f t="shared" si="5"/>
        <v>2314</v>
      </c>
      <c r="F42" s="8">
        <v>2200</v>
      </c>
      <c r="G42" s="1">
        <f>2+112</f>
        <v>114</v>
      </c>
      <c r="H42" s="8">
        <v>0</v>
      </c>
      <c r="I42" s="8">
        <v>0</v>
      </c>
      <c r="J42" s="8">
        <f t="shared" si="6"/>
        <v>2444.73</v>
      </c>
      <c r="K42" s="145">
        <v>2355</v>
      </c>
      <c r="L42" s="146">
        <f>11+78.73403</f>
        <v>89.73</v>
      </c>
      <c r="M42" s="145">
        <v>0</v>
      </c>
      <c r="N42" s="145">
        <v>0</v>
      </c>
      <c r="O42" s="145">
        <f t="shared" si="7"/>
        <v>2433.73</v>
      </c>
      <c r="P42" s="145">
        <v>2355</v>
      </c>
      <c r="Q42" s="146">
        <f>78.73403</f>
        <v>78.73</v>
      </c>
      <c r="R42" s="145">
        <v>0</v>
      </c>
      <c r="S42" s="145">
        <v>0</v>
      </c>
      <c r="T42" s="145">
        <f t="shared" si="9"/>
        <v>2433.73</v>
      </c>
      <c r="U42" s="145">
        <v>2355</v>
      </c>
      <c r="V42" s="146">
        <v>78.73</v>
      </c>
      <c r="W42" s="8">
        <v>0</v>
      </c>
      <c r="X42" s="8">
        <v>0</v>
      </c>
      <c r="Y42" s="8">
        <f t="shared" si="10"/>
        <v>2600</v>
      </c>
      <c r="Z42" s="8">
        <v>2600</v>
      </c>
      <c r="AA42" s="1">
        <v>0</v>
      </c>
      <c r="AB42" s="8">
        <v>0</v>
      </c>
      <c r="AC42" s="8">
        <v>0</v>
      </c>
      <c r="AD42" s="50">
        <f aca="true" t="shared" si="13" ref="AD42:AD62">E42+J42+O42+T42+Y42</f>
        <v>12226.19</v>
      </c>
      <c r="AE42" s="53"/>
      <c r="AF42" s="44"/>
    </row>
    <row r="43" spans="1:32" s="45" customFormat="1" ht="31.5" hidden="1" outlineLevel="1">
      <c r="A43" s="41" t="s">
        <v>89</v>
      </c>
      <c r="B43" s="2" t="s">
        <v>195</v>
      </c>
      <c r="C43" s="2"/>
      <c r="D43" s="42"/>
      <c r="E43" s="8">
        <f t="shared" si="5"/>
        <v>2003.8</v>
      </c>
      <c r="F43" s="8">
        <f>443.4+924-105.6+462-200-170+400</f>
        <v>1753.8</v>
      </c>
      <c r="G43" s="1">
        <f>65-65+87+3+160</f>
        <v>250</v>
      </c>
      <c r="H43" s="8">
        <v>0</v>
      </c>
      <c r="I43" s="8">
        <v>0</v>
      </c>
      <c r="J43" s="8">
        <f t="shared" si="6"/>
        <v>329</v>
      </c>
      <c r="K43" s="145">
        <v>274</v>
      </c>
      <c r="L43" s="146">
        <v>55</v>
      </c>
      <c r="M43" s="145">
        <v>0</v>
      </c>
      <c r="N43" s="145">
        <v>0</v>
      </c>
      <c r="O43" s="145">
        <f t="shared" si="7"/>
        <v>0</v>
      </c>
      <c r="P43" s="145">
        <v>0</v>
      </c>
      <c r="Q43" s="146">
        <v>0</v>
      </c>
      <c r="R43" s="145">
        <v>0</v>
      </c>
      <c r="S43" s="145">
        <v>0</v>
      </c>
      <c r="T43" s="145">
        <f t="shared" si="9"/>
        <v>0</v>
      </c>
      <c r="U43" s="145">
        <v>0</v>
      </c>
      <c r="V43" s="146">
        <v>0</v>
      </c>
      <c r="W43" s="8">
        <v>0</v>
      </c>
      <c r="X43" s="8">
        <v>0</v>
      </c>
      <c r="Y43" s="8">
        <f t="shared" si="10"/>
        <v>1500</v>
      </c>
      <c r="Z43" s="8">
        <v>1500</v>
      </c>
      <c r="AA43" s="1">
        <v>0</v>
      </c>
      <c r="AB43" s="8">
        <v>0</v>
      </c>
      <c r="AC43" s="8">
        <v>0</v>
      </c>
      <c r="AD43" s="50">
        <f t="shared" si="13"/>
        <v>3832.8</v>
      </c>
      <c r="AE43" s="53"/>
      <c r="AF43" s="44"/>
    </row>
    <row r="44" spans="1:32" s="45" customFormat="1" ht="16.5" hidden="1" outlineLevel="1">
      <c r="A44" s="41" t="s">
        <v>90</v>
      </c>
      <c r="B44" s="2" t="s">
        <v>196</v>
      </c>
      <c r="C44" s="2"/>
      <c r="D44" s="42"/>
      <c r="E44" s="8">
        <f>SUM(F44:I44)</f>
        <v>89.7</v>
      </c>
      <c r="F44" s="8">
        <v>0</v>
      </c>
      <c r="G44" s="1">
        <f>105+65+6.7-87</f>
        <v>89.7</v>
      </c>
      <c r="H44" s="8">
        <v>0</v>
      </c>
      <c r="I44" s="8">
        <v>0</v>
      </c>
      <c r="J44" s="8">
        <f t="shared" si="6"/>
        <v>0</v>
      </c>
      <c r="K44" s="145">
        <v>0</v>
      </c>
      <c r="L44" s="146">
        <v>0</v>
      </c>
      <c r="M44" s="145"/>
      <c r="N44" s="145"/>
      <c r="O44" s="145">
        <f t="shared" si="7"/>
        <v>0</v>
      </c>
      <c r="P44" s="145">
        <v>0</v>
      </c>
      <c r="Q44" s="146">
        <v>0</v>
      </c>
      <c r="R44" s="146">
        <v>0</v>
      </c>
      <c r="S44" s="146">
        <v>0</v>
      </c>
      <c r="T44" s="145">
        <f t="shared" si="9"/>
        <v>0</v>
      </c>
      <c r="U44" s="145">
        <v>0</v>
      </c>
      <c r="V44" s="145">
        <v>0</v>
      </c>
      <c r="W44" s="8">
        <v>0</v>
      </c>
      <c r="X44" s="8">
        <v>0</v>
      </c>
      <c r="Y44" s="8">
        <f t="shared" si="10"/>
        <v>0</v>
      </c>
      <c r="Z44" s="8">
        <v>0</v>
      </c>
      <c r="AA44" s="8">
        <v>0</v>
      </c>
      <c r="AB44" s="8">
        <v>0</v>
      </c>
      <c r="AC44" s="8">
        <v>0</v>
      </c>
      <c r="AD44" s="50">
        <f t="shared" si="13"/>
        <v>89.7</v>
      </c>
      <c r="AE44" s="53"/>
      <c r="AF44" s="44"/>
    </row>
    <row r="45" spans="1:32" s="45" customFormat="1" ht="47.25" hidden="1" outlineLevel="1">
      <c r="A45" s="41" t="s">
        <v>91</v>
      </c>
      <c r="B45" s="2" t="s">
        <v>197</v>
      </c>
      <c r="C45" s="2"/>
      <c r="D45" s="42"/>
      <c r="E45" s="8">
        <f>SUM(F45:G45)</f>
        <v>2613.6</v>
      </c>
      <c r="F45" s="8">
        <f>3400-1357.2-583-600-163.8-192.4+2340+350-290-290</f>
        <v>2613.6</v>
      </c>
      <c r="G45" s="1">
        <v>0</v>
      </c>
      <c r="H45" s="8">
        <v>0</v>
      </c>
      <c r="I45" s="8">
        <v>0</v>
      </c>
      <c r="J45" s="8">
        <f t="shared" si="6"/>
        <v>4468</v>
      </c>
      <c r="K45" s="145">
        <f>5265-274-192-168-191-88</f>
        <v>4352</v>
      </c>
      <c r="L45" s="146">
        <v>116</v>
      </c>
      <c r="M45" s="146">
        <v>0</v>
      </c>
      <c r="N45" s="146">
        <v>0</v>
      </c>
      <c r="O45" s="145">
        <f t="shared" si="7"/>
        <v>5265</v>
      </c>
      <c r="P45" s="145">
        <v>5265</v>
      </c>
      <c r="Q45" s="145">
        <v>0</v>
      </c>
      <c r="R45" s="145">
        <v>0</v>
      </c>
      <c r="S45" s="145">
        <v>0</v>
      </c>
      <c r="T45" s="145">
        <f t="shared" si="9"/>
        <v>5265</v>
      </c>
      <c r="U45" s="145">
        <v>5265</v>
      </c>
      <c r="V45" s="145">
        <v>0</v>
      </c>
      <c r="W45" s="8">
        <v>0</v>
      </c>
      <c r="X45" s="8">
        <v>0</v>
      </c>
      <c r="Y45" s="8">
        <f t="shared" si="10"/>
        <v>0</v>
      </c>
      <c r="Z45" s="8">
        <v>0</v>
      </c>
      <c r="AA45" s="8">
        <v>0</v>
      </c>
      <c r="AB45" s="8">
        <v>0</v>
      </c>
      <c r="AC45" s="8">
        <v>0</v>
      </c>
      <c r="AD45" s="50">
        <f t="shared" si="13"/>
        <v>17611.6</v>
      </c>
      <c r="AE45" s="53"/>
      <c r="AF45" s="44"/>
    </row>
    <row r="46" spans="1:32" s="45" customFormat="1" ht="16.5" hidden="1" outlineLevel="1">
      <c r="A46" s="41" t="s">
        <v>92</v>
      </c>
      <c r="B46" s="2" t="s">
        <v>198</v>
      </c>
      <c r="C46" s="2"/>
      <c r="D46" s="42"/>
      <c r="E46" s="8">
        <f t="shared" si="5"/>
        <v>583</v>
      </c>
      <c r="F46" s="8">
        <f>583+2340+350-2340-350</f>
        <v>583</v>
      </c>
      <c r="G46" s="1">
        <v>0</v>
      </c>
      <c r="H46" s="8">
        <v>0</v>
      </c>
      <c r="I46" s="8">
        <v>0</v>
      </c>
      <c r="J46" s="8">
        <f t="shared" si="6"/>
        <v>0</v>
      </c>
      <c r="K46" s="145">
        <v>0</v>
      </c>
      <c r="L46" s="146">
        <v>0</v>
      </c>
      <c r="M46" s="145">
        <v>0</v>
      </c>
      <c r="N46" s="145">
        <v>0</v>
      </c>
      <c r="O46" s="145">
        <f t="shared" si="7"/>
        <v>0</v>
      </c>
      <c r="P46" s="145">
        <v>0</v>
      </c>
      <c r="Q46" s="146">
        <v>0</v>
      </c>
      <c r="R46" s="145">
        <v>0</v>
      </c>
      <c r="S46" s="145">
        <v>0</v>
      </c>
      <c r="T46" s="145">
        <f t="shared" si="9"/>
        <v>0</v>
      </c>
      <c r="U46" s="145">
        <v>0</v>
      </c>
      <c r="V46" s="146">
        <v>0</v>
      </c>
      <c r="W46" s="8">
        <v>0</v>
      </c>
      <c r="X46" s="8">
        <v>0</v>
      </c>
      <c r="Y46" s="8">
        <f t="shared" si="10"/>
        <v>6800</v>
      </c>
      <c r="Z46" s="8">
        <v>6800</v>
      </c>
      <c r="AA46" s="1">
        <v>0</v>
      </c>
      <c r="AB46" s="8">
        <v>0</v>
      </c>
      <c r="AC46" s="8">
        <v>0</v>
      </c>
      <c r="AD46" s="50">
        <f t="shared" si="13"/>
        <v>7383</v>
      </c>
      <c r="AE46" s="53"/>
      <c r="AF46" s="44"/>
    </row>
    <row r="47" spans="1:32" s="45" customFormat="1" ht="31.5" hidden="1" outlineLevel="1">
      <c r="A47" s="41" t="s">
        <v>93</v>
      </c>
      <c r="B47" s="2" t="s">
        <v>221</v>
      </c>
      <c r="C47" s="2"/>
      <c r="D47" s="42"/>
      <c r="E47" s="8">
        <f>SUM(F47:I47)</f>
        <v>60</v>
      </c>
      <c r="F47" s="8">
        <v>0</v>
      </c>
      <c r="G47" s="1">
        <v>60</v>
      </c>
      <c r="H47" s="8">
        <v>0</v>
      </c>
      <c r="I47" s="8">
        <v>0</v>
      </c>
      <c r="J47" s="8">
        <f>SUM(K47:N47)</f>
        <v>0</v>
      </c>
      <c r="K47" s="145">
        <v>0</v>
      </c>
      <c r="L47" s="146">
        <v>0</v>
      </c>
      <c r="M47" s="145">
        <v>0</v>
      </c>
      <c r="N47" s="145">
        <v>0</v>
      </c>
      <c r="O47" s="145">
        <f>SUM(P47:S47)</f>
        <v>0</v>
      </c>
      <c r="P47" s="145">
        <v>0</v>
      </c>
      <c r="Q47" s="146">
        <v>0</v>
      </c>
      <c r="R47" s="145">
        <v>0</v>
      </c>
      <c r="S47" s="145">
        <v>0</v>
      </c>
      <c r="T47" s="145">
        <f>SUM(U47:X47)</f>
        <v>0</v>
      </c>
      <c r="U47" s="145">
        <v>0</v>
      </c>
      <c r="V47" s="146">
        <v>0</v>
      </c>
      <c r="W47" s="8">
        <v>0</v>
      </c>
      <c r="X47" s="8">
        <v>0</v>
      </c>
      <c r="Y47" s="8">
        <f>SUM(Z47:AC47)</f>
        <v>0</v>
      </c>
      <c r="Z47" s="8">
        <v>0</v>
      </c>
      <c r="AA47" s="1">
        <v>0</v>
      </c>
      <c r="AB47" s="8">
        <v>0</v>
      </c>
      <c r="AC47" s="8">
        <v>0</v>
      </c>
      <c r="AD47" s="50">
        <f t="shared" si="13"/>
        <v>60</v>
      </c>
      <c r="AE47" s="53"/>
      <c r="AF47" s="44"/>
    </row>
    <row r="48" spans="1:32" s="45" customFormat="1" ht="63" hidden="1" outlineLevel="1">
      <c r="A48" s="41" t="s">
        <v>105</v>
      </c>
      <c r="B48" s="2" t="s">
        <v>202</v>
      </c>
      <c r="C48" s="2"/>
      <c r="D48" s="42"/>
      <c r="E48" s="8">
        <f>SUM(F48:G48)</f>
        <v>600.6</v>
      </c>
      <c r="F48" s="8">
        <f>1357.2-471.1-6.5-310</f>
        <v>569.6</v>
      </c>
      <c r="G48" s="1">
        <v>31</v>
      </c>
      <c r="H48" s="8">
        <v>0</v>
      </c>
      <c r="I48" s="8">
        <v>0</v>
      </c>
      <c r="J48" s="8">
        <f>SUM(L48:N48)</f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f t="shared" si="7"/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f t="shared" si="9"/>
        <v>0</v>
      </c>
      <c r="U48" s="145">
        <v>0</v>
      </c>
      <c r="V48" s="145">
        <v>0</v>
      </c>
      <c r="W48" s="8">
        <v>0</v>
      </c>
      <c r="X48" s="8">
        <v>0</v>
      </c>
      <c r="Y48" s="8">
        <f t="shared" si="10"/>
        <v>0</v>
      </c>
      <c r="Z48" s="8">
        <v>0</v>
      </c>
      <c r="AA48" s="8">
        <v>0</v>
      </c>
      <c r="AB48" s="8">
        <v>0</v>
      </c>
      <c r="AC48" s="8">
        <v>0</v>
      </c>
      <c r="AD48" s="50">
        <f t="shared" si="13"/>
        <v>600.6</v>
      </c>
      <c r="AE48" s="53"/>
      <c r="AF48" s="44"/>
    </row>
    <row r="49" spans="1:33" s="45" customFormat="1" ht="129.75" customHeight="1" hidden="1" outlineLevel="1">
      <c r="A49" s="41" t="s">
        <v>106</v>
      </c>
      <c r="B49" s="2" t="s">
        <v>200</v>
      </c>
      <c r="C49" s="2"/>
      <c r="D49" s="42"/>
      <c r="E49" s="8">
        <f t="shared" si="5"/>
        <v>245</v>
      </c>
      <c r="F49" s="8">
        <f>163.8</f>
        <v>163.8</v>
      </c>
      <c r="G49" s="1">
        <v>81.2</v>
      </c>
      <c r="H49" s="8">
        <v>0</v>
      </c>
      <c r="I49" s="8">
        <v>0</v>
      </c>
      <c r="J49" s="8">
        <f t="shared" si="6"/>
        <v>279</v>
      </c>
      <c r="K49" s="145">
        <v>279</v>
      </c>
      <c r="L49" s="146">
        <v>0</v>
      </c>
      <c r="M49" s="145">
        <v>0</v>
      </c>
      <c r="N49" s="145">
        <v>0</v>
      </c>
      <c r="O49" s="145">
        <f t="shared" si="7"/>
        <v>0</v>
      </c>
      <c r="P49" s="145">
        <v>0</v>
      </c>
      <c r="Q49" s="146">
        <v>0</v>
      </c>
      <c r="R49" s="145">
        <v>0</v>
      </c>
      <c r="S49" s="145">
        <v>0</v>
      </c>
      <c r="T49" s="145">
        <f t="shared" si="9"/>
        <v>0</v>
      </c>
      <c r="U49" s="145">
        <v>0</v>
      </c>
      <c r="V49" s="146">
        <v>0</v>
      </c>
      <c r="W49" s="8">
        <v>0</v>
      </c>
      <c r="X49" s="8">
        <v>0</v>
      </c>
      <c r="Y49" s="8">
        <f t="shared" si="10"/>
        <v>450</v>
      </c>
      <c r="Z49" s="8">
        <v>450</v>
      </c>
      <c r="AA49" s="1">
        <v>0</v>
      </c>
      <c r="AB49" s="8">
        <v>0</v>
      </c>
      <c r="AC49" s="8">
        <v>0</v>
      </c>
      <c r="AD49" s="50">
        <f t="shared" si="13"/>
        <v>974</v>
      </c>
      <c r="AE49" s="53"/>
      <c r="AF49" s="44"/>
      <c r="AG49" s="2"/>
    </row>
    <row r="50" spans="1:33" s="45" customFormat="1" ht="27.75" customHeight="1" hidden="1" outlineLevel="1">
      <c r="A50" s="41" t="s">
        <v>107</v>
      </c>
      <c r="B50" s="2" t="s">
        <v>199</v>
      </c>
      <c r="C50" s="2"/>
      <c r="D50" s="42"/>
      <c r="E50" s="8">
        <f t="shared" si="5"/>
        <v>0</v>
      </c>
      <c r="F50" s="1">
        <v>0</v>
      </c>
      <c r="G50" s="1">
        <v>0</v>
      </c>
      <c r="H50" s="8">
        <v>0</v>
      </c>
      <c r="I50" s="8">
        <v>0</v>
      </c>
      <c r="J50" s="8">
        <f t="shared" si="6"/>
        <v>140</v>
      </c>
      <c r="K50" s="146">
        <v>140</v>
      </c>
      <c r="L50" s="146">
        <v>0</v>
      </c>
      <c r="M50" s="145">
        <v>0</v>
      </c>
      <c r="N50" s="145">
        <v>0</v>
      </c>
      <c r="O50" s="145">
        <f t="shared" si="7"/>
        <v>140</v>
      </c>
      <c r="P50" s="146">
        <v>140</v>
      </c>
      <c r="Q50" s="146">
        <v>0</v>
      </c>
      <c r="R50" s="145">
        <v>0</v>
      </c>
      <c r="S50" s="145">
        <v>0</v>
      </c>
      <c r="T50" s="145">
        <f t="shared" si="9"/>
        <v>140</v>
      </c>
      <c r="U50" s="146">
        <v>140</v>
      </c>
      <c r="V50" s="146">
        <v>0</v>
      </c>
      <c r="W50" s="8">
        <v>0</v>
      </c>
      <c r="X50" s="8">
        <v>0</v>
      </c>
      <c r="Y50" s="8">
        <f t="shared" si="10"/>
        <v>0</v>
      </c>
      <c r="Z50" s="1">
        <v>0</v>
      </c>
      <c r="AA50" s="1">
        <v>0</v>
      </c>
      <c r="AB50" s="8">
        <v>0</v>
      </c>
      <c r="AC50" s="8">
        <v>0</v>
      </c>
      <c r="AD50" s="50">
        <f t="shared" si="13"/>
        <v>420</v>
      </c>
      <c r="AE50" s="53"/>
      <c r="AF50" s="44"/>
      <c r="AG50" s="2"/>
    </row>
    <row r="51" spans="1:33" s="45" customFormat="1" ht="24.75" customHeight="1" hidden="1" outlineLevel="1">
      <c r="A51" s="41" t="s">
        <v>110</v>
      </c>
      <c r="B51" s="52" t="s">
        <v>88</v>
      </c>
      <c r="C51" s="2"/>
      <c r="D51" s="42"/>
      <c r="E51" s="8">
        <f t="shared" si="5"/>
        <v>0</v>
      </c>
      <c r="F51" s="1">
        <v>0</v>
      </c>
      <c r="G51" s="1">
        <v>0</v>
      </c>
      <c r="H51" s="8">
        <v>0</v>
      </c>
      <c r="I51" s="8">
        <v>0</v>
      </c>
      <c r="J51" s="8">
        <f t="shared" si="6"/>
        <v>100</v>
      </c>
      <c r="K51" s="146">
        <v>100</v>
      </c>
      <c r="L51" s="146">
        <v>0</v>
      </c>
      <c r="M51" s="145">
        <v>0</v>
      </c>
      <c r="N51" s="145">
        <v>0</v>
      </c>
      <c r="O51" s="145">
        <f t="shared" si="7"/>
        <v>100</v>
      </c>
      <c r="P51" s="146">
        <v>100</v>
      </c>
      <c r="Q51" s="146">
        <v>0</v>
      </c>
      <c r="R51" s="145">
        <v>0</v>
      </c>
      <c r="S51" s="145">
        <v>0</v>
      </c>
      <c r="T51" s="145">
        <f t="shared" si="9"/>
        <v>100</v>
      </c>
      <c r="U51" s="146">
        <v>100</v>
      </c>
      <c r="V51" s="146">
        <v>0</v>
      </c>
      <c r="W51" s="8">
        <v>0</v>
      </c>
      <c r="X51" s="8">
        <v>0</v>
      </c>
      <c r="Y51" s="8">
        <f t="shared" si="10"/>
        <v>50</v>
      </c>
      <c r="Z51" s="1">
        <v>50</v>
      </c>
      <c r="AA51" s="1">
        <v>0</v>
      </c>
      <c r="AB51" s="8">
        <v>0</v>
      </c>
      <c r="AC51" s="8">
        <v>0</v>
      </c>
      <c r="AD51" s="50">
        <f t="shared" si="13"/>
        <v>350</v>
      </c>
      <c r="AE51" s="54"/>
      <c r="AF51" s="44"/>
      <c r="AG51" s="2"/>
    </row>
    <row r="52" spans="1:33" s="55" customFormat="1" ht="36" customHeight="1" hidden="1" outlineLevel="1">
      <c r="A52" s="41" t="s">
        <v>114</v>
      </c>
      <c r="B52" s="52" t="s">
        <v>201</v>
      </c>
      <c r="C52" s="2"/>
      <c r="D52" s="42"/>
      <c r="E52" s="8">
        <f t="shared" si="5"/>
        <v>445.5</v>
      </c>
      <c r="F52" s="1">
        <f>156.6+244-0.4</f>
        <v>400.2</v>
      </c>
      <c r="G52" s="1">
        <f>55-6.7-3</f>
        <v>45.3</v>
      </c>
      <c r="H52" s="8">
        <v>0</v>
      </c>
      <c r="I52" s="8">
        <v>0</v>
      </c>
      <c r="J52" s="8">
        <f t="shared" si="6"/>
        <v>0</v>
      </c>
      <c r="K52" s="146">
        <v>0</v>
      </c>
      <c r="L52" s="146">
        <v>0</v>
      </c>
      <c r="M52" s="145">
        <v>0</v>
      </c>
      <c r="N52" s="145">
        <v>0</v>
      </c>
      <c r="O52" s="145">
        <f t="shared" si="7"/>
        <v>0</v>
      </c>
      <c r="P52" s="146">
        <v>0</v>
      </c>
      <c r="Q52" s="146">
        <v>0</v>
      </c>
      <c r="R52" s="145">
        <v>0</v>
      </c>
      <c r="S52" s="145">
        <v>0</v>
      </c>
      <c r="T52" s="145">
        <f t="shared" si="9"/>
        <v>0</v>
      </c>
      <c r="U52" s="146">
        <v>0</v>
      </c>
      <c r="V52" s="146">
        <v>0</v>
      </c>
      <c r="W52" s="8">
        <v>0</v>
      </c>
      <c r="X52" s="8">
        <v>0</v>
      </c>
      <c r="Y52" s="8">
        <f t="shared" si="10"/>
        <v>400</v>
      </c>
      <c r="Z52" s="1">
        <v>400</v>
      </c>
      <c r="AA52" s="1">
        <v>0</v>
      </c>
      <c r="AB52" s="8">
        <v>0</v>
      </c>
      <c r="AC52" s="8">
        <v>0</v>
      </c>
      <c r="AD52" s="50">
        <f>E52+J52+O52+T52+Y52</f>
        <v>845.5</v>
      </c>
      <c r="AE52" s="54"/>
      <c r="AF52" s="44"/>
      <c r="AG52" s="2"/>
    </row>
    <row r="53" spans="1:33" s="55" customFormat="1" ht="36" customHeight="1" hidden="1" outlineLevel="1">
      <c r="A53" s="41" t="s">
        <v>125</v>
      </c>
      <c r="B53" s="52" t="s">
        <v>223</v>
      </c>
      <c r="C53" s="2"/>
      <c r="D53" s="42"/>
      <c r="E53" s="8">
        <f>SUM(F53:I53)</f>
        <v>1200</v>
      </c>
      <c r="F53" s="8">
        <v>1200</v>
      </c>
      <c r="G53" s="8">
        <v>0</v>
      </c>
      <c r="H53" s="8">
        <v>0</v>
      </c>
      <c r="I53" s="8">
        <v>0</v>
      </c>
      <c r="J53" s="8">
        <f>SUM(K53:N53)</f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f>SUM(P53:S53)</f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f>SUM(U53:X53)</f>
        <v>0</v>
      </c>
      <c r="U53" s="145">
        <v>0</v>
      </c>
      <c r="V53" s="145">
        <v>0</v>
      </c>
      <c r="W53" s="8">
        <v>0</v>
      </c>
      <c r="X53" s="8">
        <v>0</v>
      </c>
      <c r="Y53" s="8">
        <f>SUM(Z53:AC53)</f>
        <v>0</v>
      </c>
      <c r="Z53" s="8">
        <v>0</v>
      </c>
      <c r="AA53" s="8">
        <v>0</v>
      </c>
      <c r="AB53" s="8">
        <v>0</v>
      </c>
      <c r="AC53" s="8">
        <v>0</v>
      </c>
      <c r="AD53" s="50">
        <f>E53+J53+O53+T53+Y53</f>
        <v>1200</v>
      </c>
      <c r="AE53" s="54"/>
      <c r="AF53" s="44"/>
      <c r="AG53" s="2"/>
    </row>
    <row r="54" spans="1:33" s="55" customFormat="1" ht="51.75" customHeight="1" hidden="1" outlineLevel="1">
      <c r="A54" s="41" t="s">
        <v>222</v>
      </c>
      <c r="B54" s="52" t="s">
        <v>203</v>
      </c>
      <c r="C54" s="2"/>
      <c r="D54" s="42"/>
      <c r="E54" s="8">
        <f>SUM(F54:G54)</f>
        <v>0</v>
      </c>
      <c r="F54" s="1">
        <v>0</v>
      </c>
      <c r="G54" s="1">
        <v>0</v>
      </c>
      <c r="H54" s="8">
        <v>0</v>
      </c>
      <c r="I54" s="8">
        <v>0</v>
      </c>
      <c r="J54" s="8">
        <f t="shared" si="6"/>
        <v>0</v>
      </c>
      <c r="K54" s="146">
        <v>0</v>
      </c>
      <c r="L54" s="146">
        <v>0</v>
      </c>
      <c r="M54" s="146">
        <v>0</v>
      </c>
      <c r="N54" s="146">
        <v>0</v>
      </c>
      <c r="O54" s="145">
        <f t="shared" si="7"/>
        <v>0</v>
      </c>
      <c r="P54" s="146">
        <v>0</v>
      </c>
      <c r="Q54" s="146">
        <v>0</v>
      </c>
      <c r="R54" s="146">
        <v>0</v>
      </c>
      <c r="S54" s="146">
        <v>0</v>
      </c>
      <c r="T54" s="145">
        <f t="shared" si="9"/>
        <v>0</v>
      </c>
      <c r="U54" s="146">
        <v>0</v>
      </c>
      <c r="V54" s="146">
        <v>0</v>
      </c>
      <c r="W54" s="1">
        <v>0</v>
      </c>
      <c r="X54" s="1">
        <v>0</v>
      </c>
      <c r="Y54" s="8">
        <f t="shared" si="10"/>
        <v>0</v>
      </c>
      <c r="Z54" s="1">
        <v>0</v>
      </c>
      <c r="AA54" s="1">
        <v>0</v>
      </c>
      <c r="AB54" s="1">
        <v>0</v>
      </c>
      <c r="AC54" s="1">
        <v>0</v>
      </c>
      <c r="AD54" s="50">
        <v>0</v>
      </c>
      <c r="AE54" s="54"/>
      <c r="AF54" s="44"/>
      <c r="AG54" s="2"/>
    </row>
    <row r="55" spans="1:33" s="45" customFormat="1" ht="31.5" hidden="1" outlineLevel="1">
      <c r="A55" s="41" t="s">
        <v>159</v>
      </c>
      <c r="B55" s="52" t="s">
        <v>161</v>
      </c>
      <c r="C55" s="2"/>
      <c r="D55" s="42"/>
      <c r="E55" s="8">
        <f t="shared" si="5"/>
        <v>0</v>
      </c>
      <c r="F55" s="8">
        <v>0</v>
      </c>
      <c r="G55" s="1">
        <v>0</v>
      </c>
      <c r="H55" s="8">
        <v>0</v>
      </c>
      <c r="I55" s="8">
        <v>0</v>
      </c>
      <c r="J55" s="8">
        <f t="shared" si="6"/>
        <v>0</v>
      </c>
      <c r="K55" s="145">
        <v>0</v>
      </c>
      <c r="L55" s="146">
        <v>0</v>
      </c>
      <c r="M55" s="145">
        <v>0</v>
      </c>
      <c r="N55" s="145">
        <v>0</v>
      </c>
      <c r="O55" s="145">
        <f t="shared" si="7"/>
        <v>0</v>
      </c>
      <c r="P55" s="145">
        <v>0</v>
      </c>
      <c r="Q55" s="146">
        <v>0</v>
      </c>
      <c r="R55" s="145">
        <v>0</v>
      </c>
      <c r="S55" s="145">
        <v>0</v>
      </c>
      <c r="T55" s="145">
        <f t="shared" si="9"/>
        <v>0</v>
      </c>
      <c r="U55" s="145">
        <v>0</v>
      </c>
      <c r="V55" s="146">
        <v>0</v>
      </c>
      <c r="W55" s="8">
        <v>0</v>
      </c>
      <c r="X55" s="8">
        <v>0</v>
      </c>
      <c r="Y55" s="8">
        <f t="shared" si="10"/>
        <v>200</v>
      </c>
      <c r="Z55" s="8">
        <v>200</v>
      </c>
      <c r="AA55" s="1">
        <v>0</v>
      </c>
      <c r="AB55" s="8">
        <v>0</v>
      </c>
      <c r="AC55" s="8">
        <v>0</v>
      </c>
      <c r="AD55" s="50">
        <f t="shared" si="13"/>
        <v>200</v>
      </c>
      <c r="AE55" s="54"/>
      <c r="AF55" s="44"/>
      <c r="AG55" s="2"/>
    </row>
    <row r="56" spans="1:33" s="45" customFormat="1" ht="47.25" hidden="1" outlineLevel="1">
      <c r="A56" s="41" t="s">
        <v>193</v>
      </c>
      <c r="B56" s="52" t="s">
        <v>141</v>
      </c>
      <c r="C56" s="2"/>
      <c r="D56" s="42"/>
      <c r="E56" s="8">
        <f t="shared" si="5"/>
        <v>0</v>
      </c>
      <c r="F56" s="8">
        <v>0</v>
      </c>
      <c r="G56" s="1">
        <v>0</v>
      </c>
      <c r="H56" s="8">
        <v>0</v>
      </c>
      <c r="I56" s="8">
        <v>0</v>
      </c>
      <c r="J56" s="8">
        <f t="shared" si="6"/>
        <v>0</v>
      </c>
      <c r="K56" s="145">
        <v>0</v>
      </c>
      <c r="L56" s="146">
        <v>0</v>
      </c>
      <c r="M56" s="145">
        <v>0</v>
      </c>
      <c r="N56" s="145">
        <v>0</v>
      </c>
      <c r="O56" s="145">
        <f t="shared" si="7"/>
        <v>0</v>
      </c>
      <c r="P56" s="145">
        <v>0</v>
      </c>
      <c r="Q56" s="146">
        <v>0</v>
      </c>
      <c r="R56" s="145">
        <v>0</v>
      </c>
      <c r="S56" s="145">
        <v>0</v>
      </c>
      <c r="T56" s="145">
        <f t="shared" si="9"/>
        <v>0</v>
      </c>
      <c r="U56" s="145">
        <v>0</v>
      </c>
      <c r="V56" s="146">
        <v>0</v>
      </c>
      <c r="W56" s="8">
        <v>0</v>
      </c>
      <c r="X56" s="8">
        <v>0</v>
      </c>
      <c r="Y56" s="8">
        <f t="shared" si="10"/>
        <v>700</v>
      </c>
      <c r="Z56" s="8">
        <v>700</v>
      </c>
      <c r="AA56" s="1">
        <v>0</v>
      </c>
      <c r="AB56" s="8">
        <v>0</v>
      </c>
      <c r="AC56" s="8">
        <v>0</v>
      </c>
      <c r="AD56" s="50">
        <f t="shared" si="13"/>
        <v>700</v>
      </c>
      <c r="AE56" s="54"/>
      <c r="AF56" s="44"/>
      <c r="AG56" s="2"/>
    </row>
    <row r="57" spans="1:33" s="45" customFormat="1" ht="31.5" hidden="1" outlineLevel="1">
      <c r="A57" s="41" t="s">
        <v>207</v>
      </c>
      <c r="B57" s="52" t="s">
        <v>142</v>
      </c>
      <c r="C57" s="2"/>
      <c r="D57" s="42"/>
      <c r="E57" s="8">
        <f t="shared" si="5"/>
        <v>0</v>
      </c>
      <c r="F57" s="8">
        <v>0</v>
      </c>
      <c r="G57" s="1">
        <v>0</v>
      </c>
      <c r="H57" s="8">
        <v>0</v>
      </c>
      <c r="I57" s="8">
        <v>0</v>
      </c>
      <c r="J57" s="8">
        <f t="shared" si="6"/>
        <v>0</v>
      </c>
      <c r="K57" s="145">
        <v>0</v>
      </c>
      <c r="L57" s="146">
        <v>0</v>
      </c>
      <c r="M57" s="145">
        <v>0</v>
      </c>
      <c r="N57" s="145">
        <v>0</v>
      </c>
      <c r="O57" s="145">
        <f t="shared" si="7"/>
        <v>0</v>
      </c>
      <c r="P57" s="145">
        <v>0</v>
      </c>
      <c r="Q57" s="146">
        <v>0</v>
      </c>
      <c r="R57" s="145">
        <v>0</v>
      </c>
      <c r="S57" s="145">
        <v>0</v>
      </c>
      <c r="T57" s="145">
        <f t="shared" si="9"/>
        <v>0</v>
      </c>
      <c r="U57" s="145">
        <v>0</v>
      </c>
      <c r="V57" s="146">
        <v>0</v>
      </c>
      <c r="W57" s="8">
        <v>0</v>
      </c>
      <c r="X57" s="8">
        <v>0</v>
      </c>
      <c r="Y57" s="8">
        <f t="shared" si="10"/>
        <v>0</v>
      </c>
      <c r="Z57" s="8">
        <v>0</v>
      </c>
      <c r="AA57" s="1">
        <v>0</v>
      </c>
      <c r="AB57" s="8">
        <v>0</v>
      </c>
      <c r="AC57" s="8">
        <v>0</v>
      </c>
      <c r="AD57" s="50">
        <f t="shared" si="13"/>
        <v>0</v>
      </c>
      <c r="AE57" s="54"/>
      <c r="AF57" s="44"/>
      <c r="AG57" s="2"/>
    </row>
    <row r="58" spans="1:33" s="45" customFormat="1" ht="31.5" hidden="1" outlineLevel="1">
      <c r="A58" s="41" t="s">
        <v>208</v>
      </c>
      <c r="B58" s="52" t="s">
        <v>160</v>
      </c>
      <c r="C58" s="2"/>
      <c r="D58" s="42"/>
      <c r="E58" s="8">
        <f t="shared" si="5"/>
        <v>0</v>
      </c>
      <c r="F58" s="8">
        <v>0</v>
      </c>
      <c r="G58" s="1">
        <v>0</v>
      </c>
      <c r="H58" s="8">
        <v>0</v>
      </c>
      <c r="I58" s="8">
        <v>0</v>
      </c>
      <c r="J58" s="8">
        <f t="shared" si="6"/>
        <v>0</v>
      </c>
      <c r="K58" s="145">
        <v>0</v>
      </c>
      <c r="L58" s="146">
        <v>0</v>
      </c>
      <c r="M58" s="145">
        <v>0</v>
      </c>
      <c r="N58" s="145">
        <v>0</v>
      </c>
      <c r="O58" s="145">
        <f t="shared" si="7"/>
        <v>0</v>
      </c>
      <c r="P58" s="145">
        <v>0</v>
      </c>
      <c r="Q58" s="146">
        <v>0</v>
      </c>
      <c r="R58" s="145">
        <v>0</v>
      </c>
      <c r="S58" s="145">
        <v>0</v>
      </c>
      <c r="T58" s="145">
        <f t="shared" si="9"/>
        <v>0</v>
      </c>
      <c r="U58" s="145">
        <v>0</v>
      </c>
      <c r="V58" s="146">
        <v>0</v>
      </c>
      <c r="W58" s="8">
        <v>0</v>
      </c>
      <c r="X58" s="8">
        <v>0</v>
      </c>
      <c r="Y58" s="8">
        <f t="shared" si="10"/>
        <v>0</v>
      </c>
      <c r="Z58" s="8">
        <v>0</v>
      </c>
      <c r="AA58" s="1">
        <v>0</v>
      </c>
      <c r="AB58" s="8">
        <v>0</v>
      </c>
      <c r="AC58" s="8">
        <v>0</v>
      </c>
      <c r="AD58" s="50">
        <f t="shared" si="13"/>
        <v>0</v>
      </c>
      <c r="AE58" s="54"/>
      <c r="AF58" s="44"/>
      <c r="AG58" s="2"/>
    </row>
    <row r="59" spans="1:33" s="45" customFormat="1" ht="35.25" customHeight="1" hidden="1" outlineLevel="1">
      <c r="A59" s="41" t="s">
        <v>209</v>
      </c>
      <c r="B59" s="52" t="s">
        <v>126</v>
      </c>
      <c r="C59" s="2"/>
      <c r="D59" s="42"/>
      <c r="E59" s="8">
        <f t="shared" si="5"/>
        <v>0</v>
      </c>
      <c r="F59" s="8">
        <v>0</v>
      </c>
      <c r="G59" s="1">
        <v>0</v>
      </c>
      <c r="H59" s="8">
        <v>0</v>
      </c>
      <c r="I59" s="8">
        <v>0</v>
      </c>
      <c r="J59" s="8">
        <f t="shared" si="6"/>
        <v>0</v>
      </c>
      <c r="K59" s="145">
        <v>0</v>
      </c>
      <c r="L59" s="146">
        <v>0</v>
      </c>
      <c r="M59" s="145">
        <v>0</v>
      </c>
      <c r="N59" s="145">
        <v>0</v>
      </c>
      <c r="O59" s="145">
        <f t="shared" si="7"/>
        <v>0</v>
      </c>
      <c r="P59" s="145">
        <v>0</v>
      </c>
      <c r="Q59" s="146">
        <v>0</v>
      </c>
      <c r="R59" s="145">
        <v>0</v>
      </c>
      <c r="S59" s="145">
        <v>0</v>
      </c>
      <c r="T59" s="145">
        <f t="shared" si="9"/>
        <v>0</v>
      </c>
      <c r="U59" s="145">
        <v>0</v>
      </c>
      <c r="V59" s="146">
        <v>0</v>
      </c>
      <c r="W59" s="8">
        <v>0</v>
      </c>
      <c r="X59" s="8">
        <v>0</v>
      </c>
      <c r="Y59" s="8">
        <f t="shared" si="10"/>
        <v>0</v>
      </c>
      <c r="Z59" s="8">
        <v>0</v>
      </c>
      <c r="AA59" s="1">
        <v>0</v>
      </c>
      <c r="AB59" s="8">
        <v>0</v>
      </c>
      <c r="AC59" s="8">
        <v>0</v>
      </c>
      <c r="AD59" s="50">
        <f t="shared" si="13"/>
        <v>0</v>
      </c>
      <c r="AE59" s="54"/>
      <c r="AF59" s="44"/>
      <c r="AG59" s="2"/>
    </row>
    <row r="60" spans="1:33" s="45" customFormat="1" ht="35.25" customHeight="1" hidden="1" outlineLevel="1">
      <c r="A60" s="41" t="s">
        <v>219</v>
      </c>
      <c r="B60" s="52" t="s">
        <v>143</v>
      </c>
      <c r="C60" s="2"/>
      <c r="D60" s="42"/>
      <c r="E60" s="8">
        <f t="shared" si="5"/>
        <v>0</v>
      </c>
      <c r="F60" s="8">
        <v>0</v>
      </c>
      <c r="G60" s="1">
        <v>0</v>
      </c>
      <c r="H60" s="8">
        <v>0</v>
      </c>
      <c r="I60" s="8">
        <v>0</v>
      </c>
      <c r="J60" s="8">
        <f t="shared" si="6"/>
        <v>0</v>
      </c>
      <c r="K60" s="145">
        <v>0</v>
      </c>
      <c r="L60" s="146">
        <v>0</v>
      </c>
      <c r="M60" s="145">
        <v>0</v>
      </c>
      <c r="N60" s="145">
        <v>0</v>
      </c>
      <c r="O60" s="145">
        <f t="shared" si="7"/>
        <v>0</v>
      </c>
      <c r="P60" s="145">
        <v>0</v>
      </c>
      <c r="Q60" s="146">
        <v>0</v>
      </c>
      <c r="R60" s="145">
        <v>0</v>
      </c>
      <c r="S60" s="145">
        <v>0</v>
      </c>
      <c r="T60" s="145">
        <f t="shared" si="9"/>
        <v>0</v>
      </c>
      <c r="U60" s="145">
        <v>0</v>
      </c>
      <c r="V60" s="146">
        <v>0</v>
      </c>
      <c r="W60" s="8">
        <v>0</v>
      </c>
      <c r="X60" s="8">
        <v>0</v>
      </c>
      <c r="Y60" s="8">
        <f t="shared" si="10"/>
        <v>500</v>
      </c>
      <c r="Z60" s="8">
        <v>500</v>
      </c>
      <c r="AA60" s="1">
        <v>0</v>
      </c>
      <c r="AB60" s="8">
        <v>0</v>
      </c>
      <c r="AC60" s="8">
        <v>0</v>
      </c>
      <c r="AD60" s="50">
        <f t="shared" si="13"/>
        <v>500</v>
      </c>
      <c r="AE60" s="54"/>
      <c r="AF60" s="44"/>
      <c r="AG60" s="2"/>
    </row>
    <row r="61" spans="1:33" s="45" customFormat="1" ht="31.5" hidden="1" outlineLevel="1">
      <c r="A61" s="41" t="s">
        <v>220</v>
      </c>
      <c r="B61" s="52" t="s">
        <v>111</v>
      </c>
      <c r="C61" s="2"/>
      <c r="D61" s="42"/>
      <c r="E61" s="8">
        <f t="shared" si="5"/>
        <v>0</v>
      </c>
      <c r="F61" s="8">
        <v>0</v>
      </c>
      <c r="G61" s="1">
        <v>0</v>
      </c>
      <c r="H61" s="8">
        <v>0</v>
      </c>
      <c r="I61" s="8">
        <v>0</v>
      </c>
      <c r="J61" s="8">
        <f t="shared" si="6"/>
        <v>0</v>
      </c>
      <c r="K61" s="145">
        <v>0</v>
      </c>
      <c r="L61" s="146">
        <v>0</v>
      </c>
      <c r="M61" s="145">
        <v>0</v>
      </c>
      <c r="N61" s="145">
        <v>0</v>
      </c>
      <c r="O61" s="145">
        <f t="shared" si="7"/>
        <v>0</v>
      </c>
      <c r="P61" s="145">
        <v>0</v>
      </c>
      <c r="Q61" s="146">
        <v>0</v>
      </c>
      <c r="R61" s="146">
        <v>0</v>
      </c>
      <c r="S61" s="146">
        <v>0</v>
      </c>
      <c r="T61" s="145">
        <f t="shared" si="9"/>
        <v>0</v>
      </c>
      <c r="U61" s="145">
        <v>0</v>
      </c>
      <c r="V61" s="146">
        <v>0</v>
      </c>
      <c r="W61" s="8">
        <v>0</v>
      </c>
      <c r="X61" s="8">
        <v>0</v>
      </c>
      <c r="Y61" s="8">
        <f t="shared" si="10"/>
        <v>1600</v>
      </c>
      <c r="Z61" s="8">
        <v>1600</v>
      </c>
      <c r="AA61" s="1">
        <v>0</v>
      </c>
      <c r="AB61" s="8">
        <v>0</v>
      </c>
      <c r="AC61" s="8">
        <v>0</v>
      </c>
      <c r="AD61" s="50">
        <f t="shared" si="13"/>
        <v>1600</v>
      </c>
      <c r="AE61" s="54"/>
      <c r="AF61" s="44"/>
      <c r="AG61" s="2"/>
    </row>
    <row r="62" spans="1:33" s="45" customFormat="1" ht="16.5" hidden="1" outlineLevel="1">
      <c r="A62" s="41" t="s">
        <v>225</v>
      </c>
      <c r="B62" s="52" t="s">
        <v>226</v>
      </c>
      <c r="C62" s="2"/>
      <c r="D62" s="42"/>
      <c r="E62" s="8">
        <f t="shared" si="5"/>
        <v>0</v>
      </c>
      <c r="F62" s="8">
        <v>0</v>
      </c>
      <c r="G62" s="1">
        <v>0</v>
      </c>
      <c r="H62" s="8">
        <v>0</v>
      </c>
      <c r="I62" s="8">
        <v>0</v>
      </c>
      <c r="J62" s="8">
        <f t="shared" si="6"/>
        <v>360</v>
      </c>
      <c r="K62" s="145">
        <v>360</v>
      </c>
      <c r="L62" s="146">
        <v>0</v>
      </c>
      <c r="M62" s="145">
        <v>0</v>
      </c>
      <c r="N62" s="145">
        <v>0</v>
      </c>
      <c r="O62" s="145">
        <f t="shared" si="7"/>
        <v>0</v>
      </c>
      <c r="P62" s="145">
        <v>0</v>
      </c>
      <c r="Q62" s="146">
        <v>0</v>
      </c>
      <c r="R62" s="146">
        <v>0</v>
      </c>
      <c r="S62" s="146">
        <v>0</v>
      </c>
      <c r="T62" s="145">
        <f t="shared" si="9"/>
        <v>0</v>
      </c>
      <c r="U62" s="145">
        <v>0</v>
      </c>
      <c r="V62" s="146">
        <v>0</v>
      </c>
      <c r="W62" s="8">
        <v>0</v>
      </c>
      <c r="X62" s="8">
        <v>0</v>
      </c>
      <c r="Y62" s="8">
        <f t="shared" si="10"/>
        <v>0</v>
      </c>
      <c r="Z62" s="8">
        <v>0</v>
      </c>
      <c r="AA62" s="1">
        <v>0</v>
      </c>
      <c r="AB62" s="8">
        <v>0</v>
      </c>
      <c r="AC62" s="8">
        <v>0</v>
      </c>
      <c r="AD62" s="50">
        <f t="shared" si="13"/>
        <v>360</v>
      </c>
      <c r="AE62" s="54"/>
      <c r="AF62" s="44"/>
      <c r="AG62" s="2"/>
    </row>
    <row r="63" spans="1:33" ht="72" customHeight="1" collapsed="1">
      <c r="A63" s="107" t="s">
        <v>70</v>
      </c>
      <c r="B63" s="106" t="s">
        <v>74</v>
      </c>
      <c r="C63" s="106" t="s">
        <v>9</v>
      </c>
      <c r="D63" s="108" t="s">
        <v>137</v>
      </c>
      <c r="E63" s="11">
        <f>SUM(E64:E74)</f>
        <v>4845.07</v>
      </c>
      <c r="F63" s="11">
        <f aca="true" t="shared" si="14" ref="F63:AC63">SUM(F64:F74)</f>
        <v>4660.5</v>
      </c>
      <c r="G63" s="11">
        <f t="shared" si="14"/>
        <v>184.57</v>
      </c>
      <c r="H63" s="11">
        <f t="shared" si="14"/>
        <v>0</v>
      </c>
      <c r="I63" s="11">
        <f t="shared" si="14"/>
        <v>0</v>
      </c>
      <c r="J63" s="11">
        <f t="shared" si="14"/>
        <v>5707</v>
      </c>
      <c r="K63" s="144">
        <f>SUM(K64:K74)</f>
        <v>5521</v>
      </c>
      <c r="L63" s="144">
        <f>SUM(L64:L74)</f>
        <v>186</v>
      </c>
      <c r="M63" s="144">
        <f t="shared" si="14"/>
        <v>0</v>
      </c>
      <c r="N63" s="144">
        <f t="shared" si="14"/>
        <v>0</v>
      </c>
      <c r="O63" s="144">
        <f t="shared" si="14"/>
        <v>5687</v>
      </c>
      <c r="P63" s="144">
        <f>SUM(P64:P74)</f>
        <v>5521</v>
      </c>
      <c r="Q63" s="144">
        <f>SUM(Q64:Q74)</f>
        <v>166</v>
      </c>
      <c r="R63" s="144">
        <f t="shared" si="14"/>
        <v>0</v>
      </c>
      <c r="S63" s="144">
        <f t="shared" si="14"/>
        <v>0</v>
      </c>
      <c r="T63" s="144">
        <f t="shared" si="14"/>
        <v>5687</v>
      </c>
      <c r="U63" s="144">
        <f t="shared" si="14"/>
        <v>5521</v>
      </c>
      <c r="V63" s="144">
        <f t="shared" si="14"/>
        <v>166</v>
      </c>
      <c r="W63" s="11">
        <f t="shared" si="14"/>
        <v>0</v>
      </c>
      <c r="X63" s="11">
        <f t="shared" si="14"/>
        <v>0</v>
      </c>
      <c r="Y63" s="11">
        <f t="shared" si="14"/>
        <v>5589</v>
      </c>
      <c r="Z63" s="11">
        <f t="shared" si="14"/>
        <v>5589</v>
      </c>
      <c r="AA63" s="11">
        <f t="shared" si="14"/>
        <v>0</v>
      </c>
      <c r="AB63" s="11">
        <f t="shared" si="14"/>
        <v>0</v>
      </c>
      <c r="AC63" s="11">
        <f t="shared" si="14"/>
        <v>0</v>
      </c>
      <c r="AD63" s="11">
        <f>SUM(AD64:AD74)</f>
        <v>27515.07</v>
      </c>
      <c r="AE63" s="46" t="s">
        <v>186</v>
      </c>
      <c r="AG63" s="99"/>
    </row>
    <row r="64" spans="1:33" s="45" customFormat="1" ht="27" customHeight="1" hidden="1" outlineLevel="1">
      <c r="A64" s="41" t="s">
        <v>71</v>
      </c>
      <c r="B64" s="2" t="s">
        <v>162</v>
      </c>
      <c r="C64" s="2"/>
      <c r="D64" s="42"/>
      <c r="E64" s="8">
        <f t="shared" si="5"/>
        <v>967</v>
      </c>
      <c r="F64" s="6">
        <v>955</v>
      </c>
      <c r="G64" s="1">
        <f>12</f>
        <v>12</v>
      </c>
      <c r="H64" s="8">
        <v>0</v>
      </c>
      <c r="I64" s="8">
        <v>0</v>
      </c>
      <c r="J64" s="8">
        <f t="shared" si="6"/>
        <v>967</v>
      </c>
      <c r="K64" s="6">
        <v>955</v>
      </c>
      <c r="L64" s="1">
        <v>12</v>
      </c>
      <c r="M64" s="8">
        <v>0</v>
      </c>
      <c r="N64" s="8">
        <v>0</v>
      </c>
      <c r="O64" s="8">
        <f t="shared" si="7"/>
        <v>955</v>
      </c>
      <c r="P64" s="6">
        <v>955</v>
      </c>
      <c r="Q64" s="1">
        <v>0</v>
      </c>
      <c r="R64" s="8">
        <v>0</v>
      </c>
      <c r="S64" s="8">
        <v>0</v>
      </c>
      <c r="T64" s="8">
        <f t="shared" si="9"/>
        <v>955</v>
      </c>
      <c r="U64" s="6">
        <v>955</v>
      </c>
      <c r="V64" s="1">
        <v>0</v>
      </c>
      <c r="W64" s="8">
        <v>0</v>
      </c>
      <c r="X64" s="8">
        <v>0</v>
      </c>
      <c r="Y64" s="8">
        <f t="shared" si="10"/>
        <v>960</v>
      </c>
      <c r="Z64" s="6">
        <v>960</v>
      </c>
      <c r="AA64" s="1">
        <v>0</v>
      </c>
      <c r="AB64" s="8">
        <v>0</v>
      </c>
      <c r="AC64" s="8">
        <v>0</v>
      </c>
      <c r="AD64" s="56">
        <f>Y64+T64+O64+J64+E64</f>
        <v>4804</v>
      </c>
      <c r="AE64" s="57"/>
      <c r="AF64" s="57"/>
      <c r="AG64" s="52"/>
    </row>
    <row r="65" spans="1:33" s="45" customFormat="1" ht="31.5" hidden="1" outlineLevel="1">
      <c r="A65" s="41" t="s">
        <v>72</v>
      </c>
      <c r="B65" s="2" t="s">
        <v>163</v>
      </c>
      <c r="C65" s="2"/>
      <c r="D65" s="42"/>
      <c r="E65" s="8">
        <f t="shared" si="5"/>
        <v>77.5</v>
      </c>
      <c r="F65" s="6">
        <f>71+6.5</f>
        <v>77.5</v>
      </c>
      <c r="G65" s="1">
        <v>0</v>
      </c>
      <c r="H65" s="8">
        <v>0</v>
      </c>
      <c r="I65" s="8">
        <v>0</v>
      </c>
      <c r="J65" s="8">
        <f t="shared" si="6"/>
        <v>78</v>
      </c>
      <c r="K65" s="6">
        <v>78</v>
      </c>
      <c r="L65" s="1">
        <v>0</v>
      </c>
      <c r="M65" s="8">
        <v>0</v>
      </c>
      <c r="N65" s="8">
        <v>0</v>
      </c>
      <c r="O65" s="8">
        <f t="shared" si="7"/>
        <v>78</v>
      </c>
      <c r="P65" s="6">
        <v>78</v>
      </c>
      <c r="Q65" s="1">
        <v>0</v>
      </c>
      <c r="R65" s="8">
        <v>0</v>
      </c>
      <c r="S65" s="8">
        <v>0</v>
      </c>
      <c r="T65" s="8">
        <f t="shared" si="9"/>
        <v>78</v>
      </c>
      <c r="U65" s="6">
        <v>78</v>
      </c>
      <c r="V65" s="1">
        <v>0</v>
      </c>
      <c r="W65" s="8">
        <v>0</v>
      </c>
      <c r="X65" s="8">
        <v>0</v>
      </c>
      <c r="Y65" s="8">
        <f t="shared" si="10"/>
        <v>75</v>
      </c>
      <c r="Z65" s="6">
        <v>75</v>
      </c>
      <c r="AA65" s="1">
        <v>0</v>
      </c>
      <c r="AB65" s="8">
        <v>0</v>
      </c>
      <c r="AC65" s="8">
        <v>0</v>
      </c>
      <c r="AD65" s="56">
        <f aca="true" t="shared" si="15" ref="AD65:AD74">Y65+T65+O65+J65+E65</f>
        <v>386.5</v>
      </c>
      <c r="AE65" s="43"/>
      <c r="AF65" s="44"/>
      <c r="AG65" s="52"/>
    </row>
    <row r="66" spans="1:32" s="45" customFormat="1" ht="31.5" hidden="1" outlineLevel="1">
      <c r="A66" s="41" t="s">
        <v>210</v>
      </c>
      <c r="B66" s="2" t="s">
        <v>28</v>
      </c>
      <c r="C66" s="2"/>
      <c r="D66" s="42"/>
      <c r="E66" s="8">
        <f t="shared" si="5"/>
        <v>20</v>
      </c>
      <c r="F66" s="7">
        <v>20</v>
      </c>
      <c r="G66" s="1">
        <v>0</v>
      </c>
      <c r="H66" s="8">
        <v>0</v>
      </c>
      <c r="I66" s="8">
        <v>0</v>
      </c>
      <c r="J66" s="8">
        <f t="shared" si="6"/>
        <v>10</v>
      </c>
      <c r="K66" s="7">
        <v>10</v>
      </c>
      <c r="L66" s="1">
        <v>0</v>
      </c>
      <c r="M66" s="8">
        <v>0</v>
      </c>
      <c r="N66" s="8">
        <v>0</v>
      </c>
      <c r="O66" s="8">
        <f t="shared" si="7"/>
        <v>10</v>
      </c>
      <c r="P66" s="7">
        <v>10</v>
      </c>
      <c r="Q66" s="1">
        <v>0</v>
      </c>
      <c r="R66" s="8">
        <v>0</v>
      </c>
      <c r="S66" s="8">
        <v>0</v>
      </c>
      <c r="T66" s="8">
        <f t="shared" si="9"/>
        <v>10</v>
      </c>
      <c r="U66" s="7">
        <v>10</v>
      </c>
      <c r="V66" s="1">
        <v>0</v>
      </c>
      <c r="W66" s="8">
        <v>0</v>
      </c>
      <c r="X66" s="8">
        <v>0</v>
      </c>
      <c r="Y66" s="8">
        <f t="shared" si="10"/>
        <v>20</v>
      </c>
      <c r="Z66" s="7">
        <v>20</v>
      </c>
      <c r="AA66" s="1">
        <v>0</v>
      </c>
      <c r="AB66" s="8">
        <v>0</v>
      </c>
      <c r="AC66" s="8">
        <v>0</v>
      </c>
      <c r="AD66" s="56">
        <f t="shared" si="15"/>
        <v>70</v>
      </c>
      <c r="AE66" s="43"/>
      <c r="AF66" s="44"/>
    </row>
    <row r="67" spans="1:32" s="45" customFormat="1" ht="31.5" hidden="1" outlineLevel="1">
      <c r="A67" s="41" t="s">
        <v>211</v>
      </c>
      <c r="B67" s="2" t="s">
        <v>129</v>
      </c>
      <c r="D67" s="42"/>
      <c r="E67" s="8">
        <f t="shared" si="5"/>
        <v>377</v>
      </c>
      <c r="F67" s="6">
        <v>377</v>
      </c>
      <c r="G67" s="1">
        <v>0</v>
      </c>
      <c r="H67" s="8">
        <v>0</v>
      </c>
      <c r="I67" s="8">
        <v>0</v>
      </c>
      <c r="J67" s="8">
        <f t="shared" si="6"/>
        <v>415</v>
      </c>
      <c r="K67" s="6">
        <v>415</v>
      </c>
      <c r="L67" s="1">
        <v>0</v>
      </c>
      <c r="M67" s="8">
        <v>0</v>
      </c>
      <c r="N67" s="8">
        <v>0</v>
      </c>
      <c r="O67" s="8">
        <f t="shared" si="7"/>
        <v>415</v>
      </c>
      <c r="P67" s="6">
        <v>415</v>
      </c>
      <c r="Q67" s="1">
        <v>0</v>
      </c>
      <c r="R67" s="8">
        <v>0</v>
      </c>
      <c r="S67" s="8">
        <v>0</v>
      </c>
      <c r="T67" s="8">
        <f t="shared" si="9"/>
        <v>415</v>
      </c>
      <c r="U67" s="6">
        <v>415</v>
      </c>
      <c r="V67" s="1">
        <v>0</v>
      </c>
      <c r="W67" s="8">
        <v>0</v>
      </c>
      <c r="X67" s="8">
        <v>0</v>
      </c>
      <c r="Y67" s="8">
        <f t="shared" si="10"/>
        <v>385</v>
      </c>
      <c r="Z67" s="6">
        <v>385</v>
      </c>
      <c r="AA67" s="1">
        <v>0</v>
      </c>
      <c r="AB67" s="8">
        <v>0</v>
      </c>
      <c r="AC67" s="8">
        <v>0</v>
      </c>
      <c r="AD67" s="56">
        <f t="shared" si="15"/>
        <v>2007</v>
      </c>
      <c r="AE67" s="43"/>
      <c r="AF67" s="44"/>
    </row>
    <row r="68" spans="1:32" s="45" customFormat="1" ht="27.75" customHeight="1" hidden="1" outlineLevel="1">
      <c r="A68" s="41" t="s">
        <v>73</v>
      </c>
      <c r="B68" s="2" t="s">
        <v>29</v>
      </c>
      <c r="C68" s="2"/>
      <c r="D68" s="42"/>
      <c r="E68" s="8">
        <f t="shared" si="5"/>
        <v>240</v>
      </c>
      <c r="F68" s="7">
        <v>240</v>
      </c>
      <c r="G68" s="1">
        <v>0</v>
      </c>
      <c r="H68" s="8">
        <v>0</v>
      </c>
      <c r="I68" s="8">
        <v>0</v>
      </c>
      <c r="J68" s="8">
        <f t="shared" si="6"/>
        <v>264</v>
      </c>
      <c r="K68" s="7">
        <v>264</v>
      </c>
      <c r="L68" s="1">
        <v>0</v>
      </c>
      <c r="M68" s="8">
        <v>0</v>
      </c>
      <c r="N68" s="8">
        <v>0</v>
      </c>
      <c r="O68" s="8">
        <f t="shared" si="7"/>
        <v>264</v>
      </c>
      <c r="P68" s="7">
        <v>264</v>
      </c>
      <c r="Q68" s="1">
        <v>0</v>
      </c>
      <c r="R68" s="8">
        <v>0</v>
      </c>
      <c r="S68" s="8">
        <v>0</v>
      </c>
      <c r="T68" s="8">
        <f t="shared" si="9"/>
        <v>264</v>
      </c>
      <c r="U68" s="7">
        <v>264</v>
      </c>
      <c r="V68" s="1">
        <v>0</v>
      </c>
      <c r="W68" s="8">
        <v>0</v>
      </c>
      <c r="X68" s="8">
        <v>0</v>
      </c>
      <c r="Y68" s="8">
        <f t="shared" si="10"/>
        <v>260</v>
      </c>
      <c r="Z68" s="7">
        <v>260</v>
      </c>
      <c r="AA68" s="1">
        <v>0</v>
      </c>
      <c r="AB68" s="8">
        <v>0</v>
      </c>
      <c r="AC68" s="8">
        <v>0</v>
      </c>
      <c r="AD68" s="56">
        <f t="shared" si="15"/>
        <v>1292</v>
      </c>
      <c r="AE68" s="43"/>
      <c r="AF68" s="44"/>
    </row>
    <row r="69" spans="1:32" s="45" customFormat="1" ht="32.25" customHeight="1" hidden="1" outlineLevel="1">
      <c r="A69" s="41" t="s">
        <v>212</v>
      </c>
      <c r="B69" s="2" t="s">
        <v>128</v>
      </c>
      <c r="C69" s="2"/>
      <c r="D69" s="42"/>
      <c r="E69" s="8">
        <f t="shared" si="5"/>
        <v>80</v>
      </c>
      <c r="F69" s="6">
        <v>80</v>
      </c>
      <c r="G69" s="1">
        <v>0</v>
      </c>
      <c r="H69" s="8">
        <v>0</v>
      </c>
      <c r="I69" s="8">
        <v>0</v>
      </c>
      <c r="J69" s="8">
        <f t="shared" si="6"/>
        <v>88</v>
      </c>
      <c r="K69" s="6">
        <v>88</v>
      </c>
      <c r="L69" s="1">
        <v>0</v>
      </c>
      <c r="M69" s="8">
        <v>0</v>
      </c>
      <c r="N69" s="8">
        <v>0</v>
      </c>
      <c r="O69" s="8">
        <f t="shared" si="7"/>
        <v>88</v>
      </c>
      <c r="P69" s="6">
        <v>88</v>
      </c>
      <c r="Q69" s="1">
        <v>0</v>
      </c>
      <c r="R69" s="8">
        <v>0</v>
      </c>
      <c r="S69" s="8">
        <v>0</v>
      </c>
      <c r="T69" s="8">
        <f t="shared" si="9"/>
        <v>88</v>
      </c>
      <c r="U69" s="6">
        <v>88</v>
      </c>
      <c r="V69" s="1">
        <v>0</v>
      </c>
      <c r="W69" s="8">
        <v>0</v>
      </c>
      <c r="X69" s="8">
        <v>0</v>
      </c>
      <c r="Y69" s="8">
        <f t="shared" si="10"/>
        <v>80</v>
      </c>
      <c r="Z69" s="6">
        <v>80</v>
      </c>
      <c r="AA69" s="1">
        <v>0</v>
      </c>
      <c r="AB69" s="8">
        <v>0</v>
      </c>
      <c r="AC69" s="8">
        <v>0</v>
      </c>
      <c r="AD69" s="56">
        <f t="shared" si="15"/>
        <v>424</v>
      </c>
      <c r="AE69" s="43"/>
      <c r="AF69" s="44"/>
    </row>
    <row r="70" spans="1:32" s="45" customFormat="1" ht="40.5" customHeight="1" hidden="1" outlineLevel="1">
      <c r="A70" s="41" t="s">
        <v>115</v>
      </c>
      <c r="B70" s="2" t="s">
        <v>27</v>
      </c>
      <c r="C70" s="2"/>
      <c r="D70" s="42"/>
      <c r="E70" s="8">
        <f t="shared" si="5"/>
        <v>0</v>
      </c>
      <c r="F70" s="7">
        <v>0</v>
      </c>
      <c r="G70" s="1">
        <v>0</v>
      </c>
      <c r="H70" s="8">
        <v>0</v>
      </c>
      <c r="I70" s="8">
        <v>0</v>
      </c>
      <c r="J70" s="8">
        <f t="shared" si="6"/>
        <v>153</v>
      </c>
      <c r="K70" s="7">
        <v>153</v>
      </c>
      <c r="L70" s="1">
        <v>0</v>
      </c>
      <c r="M70" s="8">
        <v>0</v>
      </c>
      <c r="N70" s="8">
        <v>0</v>
      </c>
      <c r="O70" s="8">
        <f t="shared" si="7"/>
        <v>153</v>
      </c>
      <c r="P70" s="7">
        <v>153</v>
      </c>
      <c r="Q70" s="1">
        <v>0</v>
      </c>
      <c r="R70" s="8">
        <v>0</v>
      </c>
      <c r="S70" s="8">
        <v>0</v>
      </c>
      <c r="T70" s="8">
        <f t="shared" si="9"/>
        <v>153</v>
      </c>
      <c r="U70" s="7">
        <v>153</v>
      </c>
      <c r="V70" s="1">
        <v>0</v>
      </c>
      <c r="W70" s="8">
        <v>0</v>
      </c>
      <c r="X70" s="8">
        <v>0</v>
      </c>
      <c r="Y70" s="8">
        <f t="shared" si="10"/>
        <v>150</v>
      </c>
      <c r="Z70" s="7">
        <v>150</v>
      </c>
      <c r="AA70" s="1">
        <v>0</v>
      </c>
      <c r="AB70" s="8">
        <v>0</v>
      </c>
      <c r="AC70" s="8">
        <v>0</v>
      </c>
      <c r="AD70" s="56">
        <f t="shared" si="15"/>
        <v>609</v>
      </c>
      <c r="AE70" s="43"/>
      <c r="AF70" s="44"/>
    </row>
    <row r="71" spans="1:32" s="45" customFormat="1" ht="94.5" hidden="1" outlineLevel="1">
      <c r="A71" s="41" t="s">
        <v>116</v>
      </c>
      <c r="B71" s="2" t="s">
        <v>144</v>
      </c>
      <c r="C71" s="2"/>
      <c r="D71" s="42"/>
      <c r="E71" s="102">
        <f t="shared" si="5"/>
        <v>2873.573</v>
      </c>
      <c r="F71" s="109">
        <f>3101+10-300-110</f>
        <v>2701</v>
      </c>
      <c r="G71" s="101">
        <f>15.043+7.53+149+1</f>
        <v>172.573</v>
      </c>
      <c r="H71" s="8">
        <v>0</v>
      </c>
      <c r="I71" s="8">
        <v>0</v>
      </c>
      <c r="J71" s="8">
        <f t="shared" si="6"/>
        <v>3274</v>
      </c>
      <c r="K71" s="7">
        <v>3100</v>
      </c>
      <c r="L71" s="110">
        <f>7.63+149.95+16</f>
        <v>174</v>
      </c>
      <c r="M71" s="8">
        <v>0</v>
      </c>
      <c r="N71" s="8">
        <v>0</v>
      </c>
      <c r="O71" s="8">
        <f t="shared" si="7"/>
        <v>3266</v>
      </c>
      <c r="P71" s="7">
        <v>3100</v>
      </c>
      <c r="Q71" s="112">
        <f>149.95+16</f>
        <v>166</v>
      </c>
      <c r="R71" s="8">
        <v>0</v>
      </c>
      <c r="S71" s="8">
        <v>0</v>
      </c>
      <c r="T71" s="8">
        <f t="shared" si="9"/>
        <v>3266</v>
      </c>
      <c r="U71" s="7">
        <v>3100</v>
      </c>
      <c r="V71" s="112">
        <f>149.95+16</f>
        <v>166</v>
      </c>
      <c r="W71" s="8">
        <v>0</v>
      </c>
      <c r="X71" s="8">
        <v>0</v>
      </c>
      <c r="Y71" s="8">
        <f t="shared" si="10"/>
        <v>3185</v>
      </c>
      <c r="Z71" s="7">
        <v>3185</v>
      </c>
      <c r="AA71" s="1">
        <v>0</v>
      </c>
      <c r="AB71" s="8">
        <v>0</v>
      </c>
      <c r="AC71" s="8">
        <v>0</v>
      </c>
      <c r="AD71" s="56">
        <f>Y71+T71+O71+J71+E71</f>
        <v>15864.57</v>
      </c>
      <c r="AE71" s="43"/>
      <c r="AF71" s="44"/>
    </row>
    <row r="72" spans="1:32" s="45" customFormat="1" ht="38.25" customHeight="1" hidden="1" outlineLevel="1">
      <c r="A72" s="41" t="s">
        <v>117</v>
      </c>
      <c r="B72" s="2" t="s">
        <v>101</v>
      </c>
      <c r="C72" s="2"/>
      <c r="D72" s="42"/>
      <c r="E72" s="8">
        <f t="shared" si="5"/>
        <v>210</v>
      </c>
      <c r="F72" s="6">
        <f>350-140</f>
        <v>210</v>
      </c>
      <c r="G72" s="1">
        <v>0</v>
      </c>
      <c r="H72" s="8">
        <v>0</v>
      </c>
      <c r="I72" s="8">
        <v>0</v>
      </c>
      <c r="J72" s="8">
        <f t="shared" si="6"/>
        <v>350</v>
      </c>
      <c r="K72" s="6">
        <v>350</v>
      </c>
      <c r="L72" s="1">
        <v>0</v>
      </c>
      <c r="M72" s="8">
        <v>0</v>
      </c>
      <c r="N72" s="8">
        <v>0</v>
      </c>
      <c r="O72" s="8">
        <f t="shared" si="7"/>
        <v>350</v>
      </c>
      <c r="P72" s="6">
        <v>350</v>
      </c>
      <c r="Q72" s="1">
        <v>0</v>
      </c>
      <c r="R72" s="8">
        <v>0</v>
      </c>
      <c r="S72" s="8">
        <v>0</v>
      </c>
      <c r="T72" s="8">
        <f t="shared" si="9"/>
        <v>350</v>
      </c>
      <c r="U72" s="6">
        <v>350</v>
      </c>
      <c r="V72" s="1">
        <v>0</v>
      </c>
      <c r="W72" s="8">
        <v>0</v>
      </c>
      <c r="X72" s="8">
        <v>0</v>
      </c>
      <c r="Y72" s="8">
        <f t="shared" si="10"/>
        <v>350</v>
      </c>
      <c r="Z72" s="6">
        <v>350</v>
      </c>
      <c r="AA72" s="1">
        <v>0</v>
      </c>
      <c r="AB72" s="8">
        <v>0</v>
      </c>
      <c r="AC72" s="8">
        <v>0</v>
      </c>
      <c r="AD72" s="56">
        <f t="shared" si="15"/>
        <v>1610</v>
      </c>
      <c r="AE72" s="57"/>
      <c r="AF72" s="57"/>
    </row>
    <row r="73" spans="1:32" s="45" customFormat="1" ht="40.5" customHeight="1" hidden="1" outlineLevel="1">
      <c r="A73" s="41" t="s">
        <v>118</v>
      </c>
      <c r="B73" s="2" t="s">
        <v>102</v>
      </c>
      <c r="C73" s="2"/>
      <c r="D73" s="42"/>
      <c r="E73" s="8">
        <f t="shared" si="5"/>
        <v>0</v>
      </c>
      <c r="F73" s="6">
        <v>0</v>
      </c>
      <c r="G73" s="1">
        <v>0</v>
      </c>
      <c r="H73" s="8">
        <v>0</v>
      </c>
      <c r="I73" s="8">
        <v>0</v>
      </c>
      <c r="J73" s="8">
        <f t="shared" si="6"/>
        <v>0</v>
      </c>
      <c r="K73" s="6">
        <v>0</v>
      </c>
      <c r="L73" s="1">
        <v>0</v>
      </c>
      <c r="M73" s="8">
        <v>0</v>
      </c>
      <c r="N73" s="8">
        <v>0</v>
      </c>
      <c r="O73" s="8">
        <f t="shared" si="7"/>
        <v>0</v>
      </c>
      <c r="P73" s="6">
        <v>0</v>
      </c>
      <c r="Q73" s="1">
        <v>0</v>
      </c>
      <c r="R73" s="8">
        <v>0</v>
      </c>
      <c r="S73" s="8">
        <v>0</v>
      </c>
      <c r="T73" s="8">
        <f t="shared" si="9"/>
        <v>0</v>
      </c>
      <c r="U73" s="6">
        <v>0</v>
      </c>
      <c r="V73" s="1">
        <v>0</v>
      </c>
      <c r="W73" s="8">
        <v>0</v>
      </c>
      <c r="X73" s="8">
        <v>0</v>
      </c>
      <c r="Y73" s="8">
        <f t="shared" si="10"/>
        <v>14</v>
      </c>
      <c r="Z73" s="6">
        <v>14</v>
      </c>
      <c r="AA73" s="1">
        <v>0</v>
      </c>
      <c r="AB73" s="8">
        <v>0</v>
      </c>
      <c r="AC73" s="8">
        <v>0</v>
      </c>
      <c r="AD73" s="56">
        <f t="shared" si="15"/>
        <v>14</v>
      </c>
      <c r="AE73" s="43"/>
      <c r="AF73" s="43"/>
    </row>
    <row r="74" spans="1:32" s="45" customFormat="1" ht="66" customHeight="1" hidden="1" outlineLevel="1">
      <c r="A74" s="41" t="s">
        <v>119</v>
      </c>
      <c r="B74" s="2" t="s">
        <v>124</v>
      </c>
      <c r="C74" s="2"/>
      <c r="D74" s="42"/>
      <c r="E74" s="8">
        <f t="shared" si="5"/>
        <v>0</v>
      </c>
      <c r="F74" s="6">
        <v>0</v>
      </c>
      <c r="G74" s="1">
        <v>0</v>
      </c>
      <c r="H74" s="8">
        <v>0</v>
      </c>
      <c r="I74" s="8">
        <v>0</v>
      </c>
      <c r="J74" s="8">
        <f t="shared" si="6"/>
        <v>108</v>
      </c>
      <c r="K74" s="6">
        <v>108</v>
      </c>
      <c r="L74" s="1">
        <v>0</v>
      </c>
      <c r="M74" s="8">
        <v>0</v>
      </c>
      <c r="N74" s="8">
        <v>0</v>
      </c>
      <c r="O74" s="8">
        <f t="shared" si="7"/>
        <v>108</v>
      </c>
      <c r="P74" s="6">
        <v>108</v>
      </c>
      <c r="Q74" s="1">
        <v>0</v>
      </c>
      <c r="R74" s="8">
        <v>0</v>
      </c>
      <c r="S74" s="8">
        <v>0</v>
      </c>
      <c r="T74" s="8">
        <f t="shared" si="9"/>
        <v>108</v>
      </c>
      <c r="U74" s="6">
        <v>108</v>
      </c>
      <c r="V74" s="1">
        <v>0</v>
      </c>
      <c r="W74" s="8">
        <v>0</v>
      </c>
      <c r="X74" s="8">
        <v>0</v>
      </c>
      <c r="Y74" s="8">
        <f t="shared" si="10"/>
        <v>110</v>
      </c>
      <c r="Z74" s="6">
        <v>110</v>
      </c>
      <c r="AA74" s="1">
        <v>0</v>
      </c>
      <c r="AB74" s="8">
        <v>0</v>
      </c>
      <c r="AC74" s="8">
        <v>0</v>
      </c>
      <c r="AD74" s="56">
        <f t="shared" si="15"/>
        <v>434</v>
      </c>
      <c r="AE74" s="43"/>
      <c r="AF74" s="43"/>
    </row>
    <row r="75" spans="1:31" ht="19.5" customHeight="1" collapsed="1">
      <c r="A75" s="128" t="s">
        <v>65</v>
      </c>
      <c r="B75" s="128"/>
      <c r="C75" s="128"/>
      <c r="D75" s="128"/>
      <c r="E75" s="47">
        <f>E63+E41+E24</f>
        <v>28595.57</v>
      </c>
      <c r="F75" s="47">
        <f aca="true" t="shared" si="16" ref="F75:AC75">F63+F41+F24</f>
        <v>27489.7</v>
      </c>
      <c r="G75" s="47">
        <f t="shared" si="16"/>
        <v>1105.87</v>
      </c>
      <c r="H75" s="47">
        <f t="shared" si="16"/>
        <v>0</v>
      </c>
      <c r="I75" s="47">
        <f t="shared" si="16"/>
        <v>0</v>
      </c>
      <c r="J75" s="47">
        <f t="shared" si="16"/>
        <v>30843.83</v>
      </c>
      <c r="K75" s="47">
        <f t="shared" si="16"/>
        <v>30357</v>
      </c>
      <c r="L75" s="47">
        <f t="shared" si="16"/>
        <v>486.83</v>
      </c>
      <c r="M75" s="47">
        <f t="shared" si="16"/>
        <v>0</v>
      </c>
      <c r="N75" s="47">
        <f t="shared" si="16"/>
        <v>0</v>
      </c>
      <c r="O75" s="47">
        <f t="shared" si="16"/>
        <v>26668.83</v>
      </c>
      <c r="P75" s="47">
        <f t="shared" si="16"/>
        <v>26384</v>
      </c>
      <c r="Q75" s="47">
        <f t="shared" si="16"/>
        <v>284.83</v>
      </c>
      <c r="R75" s="47">
        <f t="shared" si="16"/>
        <v>0</v>
      </c>
      <c r="S75" s="47">
        <f t="shared" si="16"/>
        <v>0</v>
      </c>
      <c r="T75" s="47">
        <f t="shared" si="16"/>
        <v>26668.83</v>
      </c>
      <c r="U75" s="47">
        <f t="shared" si="16"/>
        <v>26384</v>
      </c>
      <c r="V75" s="47">
        <f t="shared" si="16"/>
        <v>284.83</v>
      </c>
      <c r="W75" s="47">
        <f t="shared" si="16"/>
        <v>0</v>
      </c>
      <c r="X75" s="47">
        <f t="shared" si="16"/>
        <v>0</v>
      </c>
      <c r="Y75" s="47">
        <f t="shared" si="16"/>
        <v>35402.5</v>
      </c>
      <c r="Z75" s="47">
        <f t="shared" si="16"/>
        <v>35402.5</v>
      </c>
      <c r="AA75" s="47">
        <f t="shared" si="16"/>
        <v>0</v>
      </c>
      <c r="AB75" s="47">
        <f t="shared" si="16"/>
        <v>0</v>
      </c>
      <c r="AC75" s="47">
        <f t="shared" si="16"/>
        <v>0</v>
      </c>
      <c r="AD75" s="47">
        <f>AD63+AD41+AD24</f>
        <v>148179.56</v>
      </c>
      <c r="AE75" s="11">
        <f>E75+J75+O75+T75+Y75</f>
        <v>148179.56</v>
      </c>
    </row>
    <row r="76" spans="1:32" s="39" customFormat="1" ht="37.5" customHeight="1">
      <c r="A76" s="34" t="s">
        <v>66</v>
      </c>
      <c r="B76" s="104" t="s">
        <v>75</v>
      </c>
      <c r="C76" s="128" t="s">
        <v>83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48"/>
      <c r="AF76" s="18"/>
    </row>
    <row r="77" spans="1:31" ht="94.5" customHeight="1">
      <c r="A77" s="107" t="s">
        <v>14</v>
      </c>
      <c r="B77" s="106" t="s">
        <v>145</v>
      </c>
      <c r="C77" s="106" t="s">
        <v>9</v>
      </c>
      <c r="D77" s="108" t="s">
        <v>137</v>
      </c>
      <c r="E77" s="11">
        <f aca="true" t="shared" si="17" ref="E77:AC77">SUM(E78:E88)</f>
        <v>7213.15</v>
      </c>
      <c r="F77" s="11">
        <f t="shared" si="17"/>
        <v>7213.15</v>
      </c>
      <c r="G77" s="11">
        <f t="shared" si="17"/>
        <v>0</v>
      </c>
      <c r="H77" s="11">
        <f t="shared" si="17"/>
        <v>0</v>
      </c>
      <c r="I77" s="11">
        <f t="shared" si="17"/>
        <v>0</v>
      </c>
      <c r="J77" s="11">
        <f t="shared" si="17"/>
        <v>8601</v>
      </c>
      <c r="K77" s="11">
        <f>SUM(K78:K88)</f>
        <v>8601</v>
      </c>
      <c r="L77" s="11">
        <f t="shared" si="17"/>
        <v>0</v>
      </c>
      <c r="M77" s="11">
        <f t="shared" si="17"/>
        <v>0</v>
      </c>
      <c r="N77" s="11">
        <f t="shared" si="17"/>
        <v>0</v>
      </c>
      <c r="O77" s="11">
        <f t="shared" si="17"/>
        <v>2001</v>
      </c>
      <c r="P77" s="11">
        <f>SUM(P78:P88)</f>
        <v>2001</v>
      </c>
      <c r="Q77" s="11">
        <f t="shared" si="17"/>
        <v>0</v>
      </c>
      <c r="R77" s="11">
        <f t="shared" si="17"/>
        <v>0</v>
      </c>
      <c r="S77" s="11">
        <f t="shared" si="17"/>
        <v>0</v>
      </c>
      <c r="T77" s="11">
        <f t="shared" si="17"/>
        <v>2001</v>
      </c>
      <c r="U77" s="11">
        <f t="shared" si="17"/>
        <v>2001</v>
      </c>
      <c r="V77" s="11">
        <f t="shared" si="17"/>
        <v>0</v>
      </c>
      <c r="W77" s="11">
        <f t="shared" si="17"/>
        <v>0</v>
      </c>
      <c r="X77" s="11">
        <f t="shared" si="17"/>
        <v>0</v>
      </c>
      <c r="Y77" s="11">
        <f t="shared" si="17"/>
        <v>6090</v>
      </c>
      <c r="Z77" s="11">
        <f t="shared" si="17"/>
        <v>6090</v>
      </c>
      <c r="AA77" s="11">
        <f t="shared" si="17"/>
        <v>0</v>
      </c>
      <c r="AB77" s="11">
        <f t="shared" si="17"/>
        <v>0</v>
      </c>
      <c r="AC77" s="11">
        <f t="shared" si="17"/>
        <v>0</v>
      </c>
      <c r="AD77" s="11">
        <f>Y77+T77+O77+J77+E77</f>
        <v>25906.15</v>
      </c>
      <c r="AE77" s="46" t="s">
        <v>187</v>
      </c>
    </row>
    <row r="78" spans="1:32" s="45" customFormat="1" ht="117" customHeight="1" hidden="1" outlineLevel="1">
      <c r="A78" s="41" t="s">
        <v>8</v>
      </c>
      <c r="B78" s="2" t="s">
        <v>146</v>
      </c>
      <c r="C78" s="2"/>
      <c r="D78" s="42"/>
      <c r="E78" s="8">
        <f aca="true" t="shared" si="18" ref="E78:E88">SUM(F78:I78)</f>
        <v>0</v>
      </c>
      <c r="F78" s="1">
        <v>0</v>
      </c>
      <c r="G78" s="8">
        <v>0</v>
      </c>
      <c r="H78" s="8">
        <v>0</v>
      </c>
      <c r="I78" s="8">
        <v>0</v>
      </c>
      <c r="J78" s="8">
        <f>SUM(K78:N78)</f>
        <v>2100</v>
      </c>
      <c r="K78" s="1">
        <v>2100</v>
      </c>
      <c r="L78" s="1">
        <v>0</v>
      </c>
      <c r="M78" s="1">
        <v>0</v>
      </c>
      <c r="N78" s="1">
        <v>0</v>
      </c>
      <c r="O78" s="8">
        <f>SUM(P78:S78)</f>
        <v>0</v>
      </c>
      <c r="P78" s="1">
        <v>0</v>
      </c>
      <c r="Q78" s="1">
        <v>0</v>
      </c>
      <c r="R78" s="1">
        <v>0</v>
      </c>
      <c r="S78" s="1">
        <v>0</v>
      </c>
      <c r="T78" s="8">
        <f aca="true" t="shared" si="19" ref="T78:T88">SUM(U78:X78)</f>
        <v>0</v>
      </c>
      <c r="U78" s="1">
        <v>0</v>
      </c>
      <c r="V78" s="1">
        <v>0</v>
      </c>
      <c r="W78" s="1">
        <v>0</v>
      </c>
      <c r="X78" s="1">
        <v>0</v>
      </c>
      <c r="Y78" s="8">
        <f aca="true" t="shared" si="20" ref="Y78:Y88">SUM(Z78:AC78)</f>
        <v>0</v>
      </c>
      <c r="Z78" s="1">
        <v>0</v>
      </c>
      <c r="AA78" s="1">
        <v>0</v>
      </c>
      <c r="AB78" s="1">
        <v>0</v>
      </c>
      <c r="AC78" s="1">
        <v>0</v>
      </c>
      <c r="AD78" s="50">
        <f>Y78+T78+O78+J78+E78</f>
        <v>2100</v>
      </c>
      <c r="AE78" s="43"/>
      <c r="AF78" s="44"/>
    </row>
    <row r="79" spans="1:32" s="45" customFormat="1" ht="37.5" customHeight="1" hidden="1" outlineLevel="1">
      <c r="A79" s="41" t="s">
        <v>76</v>
      </c>
      <c r="B79" s="2" t="s">
        <v>204</v>
      </c>
      <c r="C79" s="2"/>
      <c r="D79" s="42"/>
      <c r="E79" s="8">
        <f t="shared" si="18"/>
        <v>3431</v>
      </c>
      <c r="F79" s="1">
        <f>2938+493</f>
        <v>3431</v>
      </c>
      <c r="G79" s="8">
        <v>0</v>
      </c>
      <c r="H79" s="8">
        <v>0</v>
      </c>
      <c r="I79" s="8">
        <v>0</v>
      </c>
      <c r="J79" s="8">
        <f aca="true" t="shared" si="21" ref="J79:J88">SUM(K79:N79)</f>
        <v>0</v>
      </c>
      <c r="K79" s="1">
        <v>0</v>
      </c>
      <c r="L79" s="1">
        <v>0</v>
      </c>
      <c r="M79" s="1">
        <v>0</v>
      </c>
      <c r="N79" s="1">
        <v>0</v>
      </c>
      <c r="O79" s="8">
        <f aca="true" t="shared" si="22" ref="O79:O88">SUM(P79:S79)</f>
        <v>0</v>
      </c>
      <c r="P79" s="1">
        <v>0</v>
      </c>
      <c r="Q79" s="1">
        <v>0</v>
      </c>
      <c r="R79" s="1">
        <v>0</v>
      </c>
      <c r="S79" s="1">
        <v>0</v>
      </c>
      <c r="T79" s="8">
        <f t="shared" si="19"/>
        <v>0</v>
      </c>
      <c r="U79" s="1">
        <v>0</v>
      </c>
      <c r="V79" s="1">
        <v>0</v>
      </c>
      <c r="W79" s="1">
        <v>0</v>
      </c>
      <c r="X79" s="1">
        <v>0</v>
      </c>
      <c r="Y79" s="8">
        <f t="shared" si="20"/>
        <v>0</v>
      </c>
      <c r="Z79" s="1">
        <v>0</v>
      </c>
      <c r="AA79" s="1">
        <v>0</v>
      </c>
      <c r="AB79" s="1">
        <v>0</v>
      </c>
      <c r="AC79" s="1">
        <v>0</v>
      </c>
      <c r="AD79" s="50">
        <f>Y79+T79+O79+J79+E79</f>
        <v>3431</v>
      </c>
      <c r="AE79" s="43"/>
      <c r="AF79" s="44"/>
    </row>
    <row r="80" spans="1:32" s="45" customFormat="1" ht="79.5" customHeight="1" hidden="1" outlineLevel="1">
      <c r="A80" s="41" t="s">
        <v>77</v>
      </c>
      <c r="B80" s="2" t="s">
        <v>205</v>
      </c>
      <c r="C80" s="2"/>
      <c r="D80" s="42"/>
      <c r="E80" s="8">
        <f t="shared" si="18"/>
        <v>1088</v>
      </c>
      <c r="F80" s="1">
        <f>900+188</f>
        <v>1088</v>
      </c>
      <c r="G80" s="8">
        <v>0</v>
      </c>
      <c r="H80" s="8">
        <v>0</v>
      </c>
      <c r="I80" s="8">
        <v>0</v>
      </c>
      <c r="J80" s="8">
        <f>SUM(K80:N80)</f>
        <v>0</v>
      </c>
      <c r="K80" s="1">
        <v>0</v>
      </c>
      <c r="L80" s="1">
        <v>0</v>
      </c>
      <c r="M80" s="1">
        <v>0</v>
      </c>
      <c r="N80" s="1">
        <v>0</v>
      </c>
      <c r="O80" s="8">
        <f>SUM(P80:S80)</f>
        <v>0</v>
      </c>
      <c r="P80" s="1">
        <v>0</v>
      </c>
      <c r="Q80" s="1">
        <v>0</v>
      </c>
      <c r="R80" s="1">
        <v>0</v>
      </c>
      <c r="S80" s="1">
        <v>0</v>
      </c>
      <c r="T80" s="8">
        <f>SUM(U80:X80)</f>
        <v>0</v>
      </c>
      <c r="U80" s="1">
        <v>0</v>
      </c>
      <c r="V80" s="1">
        <v>0</v>
      </c>
      <c r="W80" s="1">
        <v>0</v>
      </c>
      <c r="X80" s="1">
        <v>0</v>
      </c>
      <c r="Y80" s="8">
        <f>SUM(Z80:AC80)</f>
        <v>0</v>
      </c>
      <c r="Z80" s="1">
        <v>0</v>
      </c>
      <c r="AA80" s="1">
        <v>0</v>
      </c>
      <c r="AB80" s="1">
        <v>0</v>
      </c>
      <c r="AC80" s="1">
        <v>0</v>
      </c>
      <c r="AD80" s="50">
        <f>Y80+T80+O80+J80+E80</f>
        <v>1088</v>
      </c>
      <c r="AE80" s="43"/>
      <c r="AF80" s="44"/>
    </row>
    <row r="81" spans="1:32" s="45" customFormat="1" ht="33.75" customHeight="1" hidden="1" outlineLevel="1">
      <c r="A81" s="41" t="s">
        <v>167</v>
      </c>
      <c r="B81" s="2" t="s">
        <v>170</v>
      </c>
      <c r="C81" s="2"/>
      <c r="D81" s="42"/>
      <c r="E81" s="8">
        <f t="shared" si="18"/>
        <v>490</v>
      </c>
      <c r="F81" s="1">
        <v>490</v>
      </c>
      <c r="G81" s="8">
        <v>0</v>
      </c>
      <c r="H81" s="8">
        <v>0</v>
      </c>
      <c r="I81" s="8">
        <v>0</v>
      </c>
      <c r="J81" s="8">
        <f t="shared" si="21"/>
        <v>561</v>
      </c>
      <c r="K81" s="1">
        <v>561</v>
      </c>
      <c r="L81" s="1">
        <v>0</v>
      </c>
      <c r="M81" s="1">
        <v>0</v>
      </c>
      <c r="N81" s="1">
        <v>0</v>
      </c>
      <c r="O81" s="8">
        <f t="shared" si="22"/>
        <v>561</v>
      </c>
      <c r="P81" s="1">
        <v>561</v>
      </c>
      <c r="Q81" s="1">
        <v>0</v>
      </c>
      <c r="R81" s="1">
        <v>0</v>
      </c>
      <c r="S81" s="1">
        <v>0</v>
      </c>
      <c r="T81" s="8">
        <f t="shared" si="19"/>
        <v>561</v>
      </c>
      <c r="U81" s="1">
        <v>561</v>
      </c>
      <c r="V81" s="1">
        <v>0</v>
      </c>
      <c r="W81" s="1">
        <v>0</v>
      </c>
      <c r="X81" s="1">
        <v>0</v>
      </c>
      <c r="Y81" s="8">
        <f t="shared" si="20"/>
        <v>690</v>
      </c>
      <c r="Z81" s="1">
        <v>690</v>
      </c>
      <c r="AA81" s="1">
        <v>0</v>
      </c>
      <c r="AB81" s="1">
        <v>0</v>
      </c>
      <c r="AC81" s="1">
        <v>0</v>
      </c>
      <c r="AD81" s="50">
        <f>Y81+T81+O81+J81+E81</f>
        <v>2863</v>
      </c>
      <c r="AE81" s="43"/>
      <c r="AF81" s="44"/>
    </row>
    <row r="82" spans="1:32" s="45" customFormat="1" ht="100.5" customHeight="1" hidden="1" outlineLevel="1">
      <c r="A82" s="41" t="s">
        <v>15</v>
      </c>
      <c r="B82" s="2" t="s">
        <v>171</v>
      </c>
      <c r="C82" s="2"/>
      <c r="D82" s="42"/>
      <c r="E82" s="8">
        <f t="shared" si="18"/>
        <v>0</v>
      </c>
      <c r="F82" s="1">
        <v>0</v>
      </c>
      <c r="G82" s="8">
        <v>0</v>
      </c>
      <c r="H82" s="8">
        <v>0</v>
      </c>
      <c r="I82" s="8">
        <v>0</v>
      </c>
      <c r="J82" s="8">
        <f>SUM(K82:N82)</f>
        <v>0</v>
      </c>
      <c r="K82" s="1">
        <v>0</v>
      </c>
      <c r="L82" s="1">
        <v>0</v>
      </c>
      <c r="M82" s="1">
        <v>0</v>
      </c>
      <c r="N82" s="1">
        <v>0</v>
      </c>
      <c r="O82" s="8">
        <f t="shared" si="22"/>
        <v>0</v>
      </c>
      <c r="P82" s="1">
        <v>0</v>
      </c>
      <c r="Q82" s="1">
        <v>0</v>
      </c>
      <c r="R82" s="1">
        <v>0</v>
      </c>
      <c r="S82" s="1">
        <v>0</v>
      </c>
      <c r="T82" s="1">
        <f>U82</f>
        <v>0</v>
      </c>
      <c r="U82" s="1">
        <v>0</v>
      </c>
      <c r="V82" s="1">
        <v>0</v>
      </c>
      <c r="W82" s="1">
        <v>0</v>
      </c>
      <c r="X82" s="1">
        <v>0</v>
      </c>
      <c r="Y82" s="1">
        <f>Z82</f>
        <v>0</v>
      </c>
      <c r="Z82" s="1">
        <v>0</v>
      </c>
      <c r="AA82" s="1">
        <v>0</v>
      </c>
      <c r="AB82" s="1">
        <v>0</v>
      </c>
      <c r="AC82" s="1">
        <v>0</v>
      </c>
      <c r="AD82" s="50">
        <f>Y82+T82+O82+J82+E82</f>
        <v>0</v>
      </c>
      <c r="AE82" s="43"/>
      <c r="AF82" s="44"/>
    </row>
    <row r="83" spans="1:32" s="45" customFormat="1" ht="47.25" hidden="1" outlineLevel="1">
      <c r="A83" s="41" t="s">
        <v>104</v>
      </c>
      <c r="B83" s="2" t="s">
        <v>172</v>
      </c>
      <c r="C83" s="2"/>
      <c r="D83" s="42"/>
      <c r="E83" s="8">
        <f t="shared" si="18"/>
        <v>1817</v>
      </c>
      <c r="F83" s="8">
        <f>1850-33</f>
        <v>1817</v>
      </c>
      <c r="G83" s="8">
        <v>0</v>
      </c>
      <c r="H83" s="8">
        <v>0</v>
      </c>
      <c r="I83" s="8">
        <v>0</v>
      </c>
      <c r="J83" s="8">
        <f t="shared" si="21"/>
        <v>850</v>
      </c>
      <c r="K83" s="8">
        <v>850</v>
      </c>
      <c r="L83" s="1">
        <v>0</v>
      </c>
      <c r="M83" s="1">
        <v>0</v>
      </c>
      <c r="N83" s="1">
        <v>0</v>
      </c>
      <c r="O83" s="8">
        <f t="shared" si="22"/>
        <v>850</v>
      </c>
      <c r="P83" s="8">
        <v>850</v>
      </c>
      <c r="Q83" s="1">
        <v>0</v>
      </c>
      <c r="R83" s="1">
        <v>0</v>
      </c>
      <c r="S83" s="1">
        <v>0</v>
      </c>
      <c r="T83" s="8">
        <f t="shared" si="19"/>
        <v>850</v>
      </c>
      <c r="U83" s="1">
        <v>850</v>
      </c>
      <c r="V83" s="1">
        <v>0</v>
      </c>
      <c r="W83" s="1">
        <v>0</v>
      </c>
      <c r="X83" s="1">
        <v>0</v>
      </c>
      <c r="Y83" s="8">
        <f t="shared" si="20"/>
        <v>950</v>
      </c>
      <c r="Z83" s="1">
        <v>950</v>
      </c>
      <c r="AA83" s="1">
        <v>0</v>
      </c>
      <c r="AB83" s="1">
        <v>0</v>
      </c>
      <c r="AC83" s="1">
        <v>0</v>
      </c>
      <c r="AD83" s="50">
        <f aca="true" t="shared" si="23" ref="AD83:AD94">Y83+T83+O83+J83+E83</f>
        <v>5317</v>
      </c>
      <c r="AE83" s="43"/>
      <c r="AF83" s="44"/>
    </row>
    <row r="84" spans="1:32" s="45" customFormat="1" ht="68.25" customHeight="1" hidden="1" outlineLevel="1">
      <c r="A84" s="41" t="s">
        <v>120</v>
      </c>
      <c r="B84" s="2" t="s">
        <v>147</v>
      </c>
      <c r="C84" s="2"/>
      <c r="D84" s="42"/>
      <c r="E84" s="8">
        <f t="shared" si="18"/>
        <v>0</v>
      </c>
      <c r="F84" s="1">
        <v>0</v>
      </c>
      <c r="G84" s="8">
        <v>0</v>
      </c>
      <c r="H84" s="8">
        <v>0</v>
      </c>
      <c r="I84" s="8">
        <v>0</v>
      </c>
      <c r="J84" s="8">
        <f t="shared" si="21"/>
        <v>4500</v>
      </c>
      <c r="K84" s="1">
        <v>4500</v>
      </c>
      <c r="L84" s="1">
        <v>0</v>
      </c>
      <c r="M84" s="1">
        <v>0</v>
      </c>
      <c r="N84" s="1">
        <v>0</v>
      </c>
      <c r="O84" s="8">
        <f t="shared" si="22"/>
        <v>0</v>
      </c>
      <c r="P84" s="1">
        <v>0</v>
      </c>
      <c r="Q84" s="1">
        <v>0</v>
      </c>
      <c r="R84" s="1">
        <v>0</v>
      </c>
      <c r="S84" s="1">
        <v>0</v>
      </c>
      <c r="T84" s="8">
        <f t="shared" si="19"/>
        <v>0</v>
      </c>
      <c r="U84" s="1">
        <v>0</v>
      </c>
      <c r="V84" s="1">
        <v>0</v>
      </c>
      <c r="W84" s="1">
        <v>0</v>
      </c>
      <c r="X84" s="1">
        <v>0</v>
      </c>
      <c r="Y84" s="8">
        <f t="shared" si="20"/>
        <v>950</v>
      </c>
      <c r="Z84" s="1">
        <v>950</v>
      </c>
      <c r="AA84" s="1">
        <v>0</v>
      </c>
      <c r="AB84" s="1">
        <v>0</v>
      </c>
      <c r="AC84" s="1">
        <v>0</v>
      </c>
      <c r="AD84" s="50">
        <f t="shared" si="23"/>
        <v>5450</v>
      </c>
      <c r="AE84" s="43"/>
      <c r="AF84" s="44"/>
    </row>
    <row r="85" spans="1:32" s="45" customFormat="1" ht="52.5" customHeight="1" hidden="1" outlineLevel="1">
      <c r="A85" s="41" t="s">
        <v>168</v>
      </c>
      <c r="B85" s="2" t="s">
        <v>173</v>
      </c>
      <c r="C85" s="2"/>
      <c r="D85" s="42"/>
      <c r="E85" s="8">
        <f t="shared" si="18"/>
        <v>0</v>
      </c>
      <c r="F85" s="1">
        <v>0</v>
      </c>
      <c r="G85" s="8">
        <v>0</v>
      </c>
      <c r="H85" s="8">
        <v>0</v>
      </c>
      <c r="I85" s="8">
        <v>0</v>
      </c>
      <c r="J85" s="8">
        <f t="shared" si="21"/>
        <v>590</v>
      </c>
      <c r="K85" s="1">
        <v>590</v>
      </c>
      <c r="L85" s="1">
        <v>0</v>
      </c>
      <c r="M85" s="1">
        <v>0</v>
      </c>
      <c r="N85" s="1">
        <v>0</v>
      </c>
      <c r="O85" s="8">
        <f t="shared" si="22"/>
        <v>590</v>
      </c>
      <c r="P85" s="1">
        <v>590</v>
      </c>
      <c r="Q85" s="1">
        <v>0</v>
      </c>
      <c r="R85" s="1">
        <v>0</v>
      </c>
      <c r="S85" s="1">
        <v>0</v>
      </c>
      <c r="T85" s="8">
        <f t="shared" si="19"/>
        <v>590</v>
      </c>
      <c r="U85" s="1">
        <v>590</v>
      </c>
      <c r="V85" s="1">
        <v>0</v>
      </c>
      <c r="W85" s="1">
        <v>0</v>
      </c>
      <c r="X85" s="1">
        <v>0</v>
      </c>
      <c r="Y85" s="8">
        <f t="shared" si="20"/>
        <v>0</v>
      </c>
      <c r="Z85" s="1">
        <v>0</v>
      </c>
      <c r="AA85" s="1">
        <v>0</v>
      </c>
      <c r="AB85" s="1">
        <v>0</v>
      </c>
      <c r="AC85" s="1">
        <v>0</v>
      </c>
      <c r="AD85" s="50">
        <f t="shared" si="23"/>
        <v>1770</v>
      </c>
      <c r="AE85" s="43"/>
      <c r="AF85" s="44"/>
    </row>
    <row r="86" spans="1:32" s="45" customFormat="1" ht="95.25" customHeight="1" hidden="1" outlineLevel="1">
      <c r="A86" s="41" t="s">
        <v>169</v>
      </c>
      <c r="B86" s="2" t="s">
        <v>174</v>
      </c>
      <c r="C86" s="2"/>
      <c r="D86" s="42"/>
      <c r="E86" s="8">
        <f t="shared" si="18"/>
        <v>387.15</v>
      </c>
      <c r="F86" s="1">
        <f>390-2.85</f>
        <v>387.15</v>
      </c>
      <c r="G86" s="8">
        <v>0</v>
      </c>
      <c r="H86" s="8">
        <v>0</v>
      </c>
      <c r="I86" s="8">
        <v>0</v>
      </c>
      <c r="J86" s="8">
        <f>SUM(K86:N86)</f>
        <v>0</v>
      </c>
      <c r="K86" s="1">
        <v>0</v>
      </c>
      <c r="L86" s="1">
        <v>0</v>
      </c>
      <c r="M86" s="1">
        <v>0</v>
      </c>
      <c r="N86" s="1">
        <v>0</v>
      </c>
      <c r="O86" s="8">
        <f>SUM(P86:S86)</f>
        <v>0</v>
      </c>
      <c r="P86" s="1">
        <v>0</v>
      </c>
      <c r="Q86" s="1">
        <v>0</v>
      </c>
      <c r="R86" s="1">
        <v>0</v>
      </c>
      <c r="S86" s="1">
        <v>0</v>
      </c>
      <c r="T86" s="8">
        <f>SUM(U86:X86)</f>
        <v>0</v>
      </c>
      <c r="U86" s="1">
        <v>0</v>
      </c>
      <c r="V86" s="1">
        <v>0</v>
      </c>
      <c r="W86" s="1">
        <v>0</v>
      </c>
      <c r="X86" s="1">
        <v>0</v>
      </c>
      <c r="Y86" s="8">
        <f>SUM(Z86:AC86)</f>
        <v>0</v>
      </c>
      <c r="Z86" s="1">
        <v>0</v>
      </c>
      <c r="AA86" s="1">
        <v>0</v>
      </c>
      <c r="AB86" s="1">
        <v>0</v>
      </c>
      <c r="AC86" s="1">
        <v>0</v>
      </c>
      <c r="AD86" s="50">
        <f t="shared" si="23"/>
        <v>387.15</v>
      </c>
      <c r="AE86" s="43"/>
      <c r="AF86" s="44"/>
    </row>
    <row r="87" spans="1:32" s="45" customFormat="1" ht="99" customHeight="1" hidden="1" outlineLevel="1">
      <c r="A87" s="41" t="s">
        <v>176</v>
      </c>
      <c r="B87" s="2" t="s">
        <v>175</v>
      </c>
      <c r="C87" s="2"/>
      <c r="D87" s="42"/>
      <c r="E87" s="8">
        <f t="shared" si="18"/>
        <v>0</v>
      </c>
      <c r="F87" s="1">
        <v>0</v>
      </c>
      <c r="G87" s="8">
        <v>0</v>
      </c>
      <c r="H87" s="8">
        <v>0</v>
      </c>
      <c r="I87" s="8">
        <v>0</v>
      </c>
      <c r="J87" s="8">
        <f>SUM(K87:N87)</f>
        <v>0</v>
      </c>
      <c r="K87" s="1">
        <v>0</v>
      </c>
      <c r="L87" s="1">
        <v>0</v>
      </c>
      <c r="M87" s="1">
        <v>0</v>
      </c>
      <c r="N87" s="1">
        <v>0</v>
      </c>
      <c r="O87" s="8">
        <f>SUM(P87:S87)</f>
        <v>0</v>
      </c>
      <c r="P87" s="1">
        <v>0</v>
      </c>
      <c r="Q87" s="1">
        <v>0</v>
      </c>
      <c r="R87" s="1">
        <v>0</v>
      </c>
      <c r="S87" s="1">
        <v>0</v>
      </c>
      <c r="T87" s="8">
        <f>SUM(U87:X87)</f>
        <v>0</v>
      </c>
      <c r="U87" s="1">
        <v>0</v>
      </c>
      <c r="V87" s="1">
        <v>0</v>
      </c>
      <c r="W87" s="1">
        <v>0</v>
      </c>
      <c r="X87" s="1">
        <v>0</v>
      </c>
      <c r="Y87" s="8">
        <f>SUM(Z87:AC87)</f>
        <v>3500</v>
      </c>
      <c r="Z87" s="1">
        <v>3500</v>
      </c>
      <c r="AA87" s="1">
        <v>0</v>
      </c>
      <c r="AB87" s="1">
        <v>0</v>
      </c>
      <c r="AC87" s="1">
        <v>0</v>
      </c>
      <c r="AD87" s="50">
        <f t="shared" si="23"/>
        <v>3500</v>
      </c>
      <c r="AE87" s="43"/>
      <c r="AF87" s="44"/>
    </row>
    <row r="88" spans="1:32" s="45" customFormat="1" ht="83.25" customHeight="1" hidden="1" outlineLevel="1">
      <c r="A88" s="41" t="s">
        <v>213</v>
      </c>
      <c r="B88" s="2" t="s">
        <v>123</v>
      </c>
      <c r="C88" s="2"/>
      <c r="D88" s="42"/>
      <c r="E88" s="8">
        <f t="shared" si="18"/>
        <v>0</v>
      </c>
      <c r="F88" s="1">
        <v>0</v>
      </c>
      <c r="G88" s="8">
        <v>0</v>
      </c>
      <c r="H88" s="8">
        <v>0</v>
      </c>
      <c r="I88" s="8">
        <v>0</v>
      </c>
      <c r="J88" s="8">
        <f t="shared" si="21"/>
        <v>0</v>
      </c>
      <c r="K88" s="1">
        <v>0</v>
      </c>
      <c r="L88" s="1">
        <v>0</v>
      </c>
      <c r="M88" s="1">
        <v>0</v>
      </c>
      <c r="N88" s="1">
        <v>0</v>
      </c>
      <c r="O88" s="8">
        <f t="shared" si="22"/>
        <v>0</v>
      </c>
      <c r="P88" s="1">
        <v>0</v>
      </c>
      <c r="Q88" s="1">
        <v>0</v>
      </c>
      <c r="R88" s="1">
        <v>0</v>
      </c>
      <c r="S88" s="1">
        <v>0</v>
      </c>
      <c r="T88" s="8">
        <f t="shared" si="19"/>
        <v>0</v>
      </c>
      <c r="U88" s="1">
        <v>0</v>
      </c>
      <c r="V88" s="1">
        <v>0</v>
      </c>
      <c r="W88" s="1">
        <v>0</v>
      </c>
      <c r="X88" s="1">
        <v>0</v>
      </c>
      <c r="Y88" s="8">
        <f t="shared" si="20"/>
        <v>0</v>
      </c>
      <c r="Z88" s="1">
        <v>0</v>
      </c>
      <c r="AA88" s="1">
        <v>0</v>
      </c>
      <c r="AB88" s="1">
        <v>0</v>
      </c>
      <c r="AC88" s="1">
        <v>0</v>
      </c>
      <c r="AD88" s="50">
        <f t="shared" si="23"/>
        <v>0</v>
      </c>
      <c r="AE88" s="43"/>
      <c r="AF88" s="44"/>
    </row>
    <row r="89" spans="1:32" ht="38.25" customHeight="1" collapsed="1">
      <c r="A89" s="107" t="s">
        <v>16</v>
      </c>
      <c r="B89" s="106" t="s">
        <v>31</v>
      </c>
      <c r="C89" s="106" t="s">
        <v>9</v>
      </c>
      <c r="D89" s="108" t="s">
        <v>137</v>
      </c>
      <c r="E89" s="11">
        <f>SUM(F89:I89)</f>
        <v>1186.25</v>
      </c>
      <c r="F89" s="12">
        <f>1300-7.75-106</f>
        <v>1186.25</v>
      </c>
      <c r="G89" s="11">
        <v>0</v>
      </c>
      <c r="H89" s="11">
        <v>0</v>
      </c>
      <c r="I89" s="11">
        <v>0</v>
      </c>
      <c r="J89" s="12">
        <f>SUM(K89:N89)</f>
        <v>1532</v>
      </c>
      <c r="K89" s="147">
        <f>1450+82</f>
        <v>1532</v>
      </c>
      <c r="L89" s="12">
        <v>0</v>
      </c>
      <c r="M89" s="12">
        <v>0</v>
      </c>
      <c r="N89" s="12">
        <v>0</v>
      </c>
      <c r="O89" s="12">
        <f>SUM(P89:S89)</f>
        <v>1450</v>
      </c>
      <c r="P89" s="12">
        <v>1450</v>
      </c>
      <c r="Q89" s="12">
        <v>0</v>
      </c>
      <c r="R89" s="12">
        <v>0</v>
      </c>
      <c r="S89" s="12">
        <v>0</v>
      </c>
      <c r="T89" s="12">
        <f>SUM(U89:X89)</f>
        <v>1450</v>
      </c>
      <c r="U89" s="12">
        <v>1450</v>
      </c>
      <c r="V89" s="12">
        <v>0</v>
      </c>
      <c r="W89" s="12">
        <v>0</v>
      </c>
      <c r="X89" s="12">
        <v>0</v>
      </c>
      <c r="Y89" s="12">
        <f>SUM(Z89:AC89)</f>
        <v>1900</v>
      </c>
      <c r="Z89" s="12">
        <v>1900</v>
      </c>
      <c r="AA89" s="12">
        <v>0</v>
      </c>
      <c r="AB89" s="12">
        <v>0</v>
      </c>
      <c r="AC89" s="12">
        <v>0</v>
      </c>
      <c r="AD89" s="11">
        <f>Y89+T89+O89+J89+E89</f>
        <v>7518.25</v>
      </c>
      <c r="AE89" s="58" t="s">
        <v>188</v>
      </c>
      <c r="AF89" s="58"/>
    </row>
    <row r="90" spans="1:32" ht="87.75" customHeight="1">
      <c r="A90" s="107" t="s">
        <v>78</v>
      </c>
      <c r="B90" s="105" t="s">
        <v>148</v>
      </c>
      <c r="C90" s="106" t="s">
        <v>9</v>
      </c>
      <c r="D90" s="108" t="s">
        <v>137</v>
      </c>
      <c r="E90" s="12">
        <f>SUM(E91:E94)</f>
        <v>792</v>
      </c>
      <c r="F90" s="12">
        <f>SUM(F91:F94)</f>
        <v>792</v>
      </c>
      <c r="G90" s="12">
        <f>SUM(G91:G94)</f>
        <v>0</v>
      </c>
      <c r="H90" s="11">
        <v>0</v>
      </c>
      <c r="I90" s="11">
        <v>0</v>
      </c>
      <c r="J90" s="12">
        <f>SUM(K90:N90)</f>
        <v>950</v>
      </c>
      <c r="K90" s="12">
        <f>SUM(K91:K94)</f>
        <v>950</v>
      </c>
      <c r="L90" s="12">
        <v>0</v>
      </c>
      <c r="M90" s="12">
        <v>0</v>
      </c>
      <c r="N90" s="12">
        <v>0</v>
      </c>
      <c r="O90" s="12">
        <f>SUM(P90:S90)</f>
        <v>0</v>
      </c>
      <c r="P90" s="12">
        <v>0</v>
      </c>
      <c r="Q90" s="12">
        <v>0</v>
      </c>
      <c r="R90" s="12">
        <v>0</v>
      </c>
      <c r="S90" s="12">
        <v>0</v>
      </c>
      <c r="T90" s="12">
        <f>SUM(U90:X90)</f>
        <v>0</v>
      </c>
      <c r="U90" s="12">
        <v>0</v>
      </c>
      <c r="V90" s="12">
        <v>0</v>
      </c>
      <c r="W90" s="12">
        <v>0</v>
      </c>
      <c r="X90" s="12">
        <v>0</v>
      </c>
      <c r="Y90" s="12">
        <f>SUM(Z90:AC90)</f>
        <v>790</v>
      </c>
      <c r="Z90" s="12">
        <v>790</v>
      </c>
      <c r="AA90" s="12">
        <v>0</v>
      </c>
      <c r="AB90" s="12">
        <v>0</v>
      </c>
      <c r="AC90" s="12">
        <v>0</v>
      </c>
      <c r="AD90" s="11">
        <f>Y90+T90+O90+J90+E90</f>
        <v>2532</v>
      </c>
      <c r="AE90" s="58" t="s">
        <v>189</v>
      </c>
      <c r="AF90" s="58"/>
    </row>
    <row r="91" spans="1:32" ht="58.5" customHeight="1" hidden="1" outlineLevel="1">
      <c r="A91" s="115" t="s">
        <v>215</v>
      </c>
      <c r="B91" s="117" t="s">
        <v>217</v>
      </c>
      <c r="C91" s="117" t="s">
        <v>9</v>
      </c>
      <c r="D91" s="113" t="s">
        <v>137</v>
      </c>
      <c r="E91" s="8">
        <f>SUM(F91:I91)</f>
        <v>35</v>
      </c>
      <c r="F91" s="1">
        <v>35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f t="shared" si="23"/>
        <v>35</v>
      </c>
      <c r="AE91" s="58"/>
      <c r="AF91" s="58"/>
    </row>
    <row r="92" spans="1:32" ht="58.5" customHeight="1" hidden="1" outlineLevel="1">
      <c r="A92" s="116"/>
      <c r="B92" s="118"/>
      <c r="C92" s="118"/>
      <c r="D92" s="114"/>
      <c r="E92" s="8">
        <f>SUM(F92:I92)</f>
        <v>536.3</v>
      </c>
      <c r="F92" s="1">
        <v>536.3</v>
      </c>
      <c r="G92" s="8">
        <v>0</v>
      </c>
      <c r="H92" s="8">
        <v>0</v>
      </c>
      <c r="I92" s="8">
        <v>0</v>
      </c>
      <c r="J92" s="8">
        <v>950</v>
      </c>
      <c r="K92" s="8">
        <v>950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790</v>
      </c>
      <c r="Z92" s="8">
        <v>790</v>
      </c>
      <c r="AA92" s="8">
        <v>0</v>
      </c>
      <c r="AB92" s="8">
        <v>0</v>
      </c>
      <c r="AC92" s="8">
        <v>0</v>
      </c>
      <c r="AD92" s="8">
        <f t="shared" si="23"/>
        <v>2276.3</v>
      </c>
      <c r="AE92" s="58"/>
      <c r="AF92" s="58"/>
    </row>
    <row r="93" spans="1:32" ht="57.75" customHeight="1" hidden="1" outlineLevel="1">
      <c r="A93" s="115" t="s">
        <v>216</v>
      </c>
      <c r="B93" s="117" t="s">
        <v>218</v>
      </c>
      <c r="C93" s="117" t="s">
        <v>9</v>
      </c>
      <c r="D93" s="113" t="s">
        <v>137</v>
      </c>
      <c r="E93" s="8">
        <f>SUM(F93:I93)</f>
        <v>97</v>
      </c>
      <c r="F93" s="103">
        <v>97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f t="shared" si="23"/>
        <v>97</v>
      </c>
      <c r="AE93" s="58"/>
      <c r="AF93" s="58"/>
    </row>
    <row r="94" spans="1:32" ht="57.75" customHeight="1" hidden="1" outlineLevel="1">
      <c r="A94" s="116"/>
      <c r="B94" s="118"/>
      <c r="C94" s="118"/>
      <c r="D94" s="114"/>
      <c r="E94" s="8">
        <f>SUM(F94:I94)</f>
        <v>123.7</v>
      </c>
      <c r="F94" s="1">
        <v>123.7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f t="shared" si="23"/>
        <v>123.7</v>
      </c>
      <c r="AE94" s="58"/>
      <c r="AF94" s="58"/>
    </row>
    <row r="95" spans="1:31" ht="21" customHeight="1" collapsed="1">
      <c r="A95" s="128" t="s">
        <v>4</v>
      </c>
      <c r="B95" s="128"/>
      <c r="C95" s="128"/>
      <c r="D95" s="128"/>
      <c r="E95" s="47">
        <f aca="true" t="shared" si="24" ref="E95:AC95">E90+E89+E77</f>
        <v>9191.4</v>
      </c>
      <c r="F95" s="47">
        <f>F90+F89+F77</f>
        <v>9191.4</v>
      </c>
      <c r="G95" s="47">
        <f t="shared" si="24"/>
        <v>0</v>
      </c>
      <c r="H95" s="47">
        <f t="shared" si="24"/>
        <v>0</v>
      </c>
      <c r="I95" s="47">
        <f t="shared" si="24"/>
        <v>0</v>
      </c>
      <c r="J95" s="47">
        <f t="shared" si="24"/>
        <v>11083</v>
      </c>
      <c r="K95" s="47">
        <f t="shared" si="24"/>
        <v>11083</v>
      </c>
      <c r="L95" s="47">
        <f t="shared" si="24"/>
        <v>0</v>
      </c>
      <c r="M95" s="47">
        <f t="shared" si="24"/>
        <v>0</v>
      </c>
      <c r="N95" s="47">
        <f t="shared" si="24"/>
        <v>0</v>
      </c>
      <c r="O95" s="47">
        <f t="shared" si="24"/>
        <v>3451</v>
      </c>
      <c r="P95" s="47">
        <f t="shared" si="24"/>
        <v>3451</v>
      </c>
      <c r="Q95" s="47">
        <f t="shared" si="24"/>
        <v>0</v>
      </c>
      <c r="R95" s="47">
        <f t="shared" si="24"/>
        <v>0</v>
      </c>
      <c r="S95" s="47">
        <f t="shared" si="24"/>
        <v>0</v>
      </c>
      <c r="T95" s="47">
        <f t="shared" si="24"/>
        <v>3451</v>
      </c>
      <c r="U95" s="47">
        <f>U90+U89+U77</f>
        <v>3451</v>
      </c>
      <c r="V95" s="47">
        <f t="shared" si="24"/>
        <v>0</v>
      </c>
      <c r="W95" s="47">
        <f t="shared" si="24"/>
        <v>0</v>
      </c>
      <c r="X95" s="47">
        <f t="shared" si="24"/>
        <v>0</v>
      </c>
      <c r="Y95" s="47">
        <f t="shared" si="24"/>
        <v>8780</v>
      </c>
      <c r="Z95" s="47">
        <f t="shared" si="24"/>
        <v>8780</v>
      </c>
      <c r="AA95" s="47">
        <f t="shared" si="24"/>
        <v>0</v>
      </c>
      <c r="AB95" s="47">
        <f t="shared" si="24"/>
        <v>0</v>
      </c>
      <c r="AC95" s="47">
        <f t="shared" si="24"/>
        <v>0</v>
      </c>
      <c r="AD95" s="100">
        <f>Y95+T95+O95+J95+E95</f>
        <v>35956.4</v>
      </c>
      <c r="AE95" s="11">
        <f>E95+J95+O95+T95+Y95</f>
        <v>35956.4</v>
      </c>
    </row>
    <row r="96" spans="1:30" ht="21.75" customHeight="1">
      <c r="A96" s="59">
        <v>4</v>
      </c>
      <c r="B96" s="96" t="s">
        <v>79</v>
      </c>
      <c r="C96" s="130" t="s">
        <v>33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3"/>
    </row>
    <row r="97" spans="1:30" ht="143.25" customHeight="1">
      <c r="A97" s="93" t="s">
        <v>17</v>
      </c>
      <c r="B97" s="60" t="s">
        <v>34</v>
      </c>
      <c r="C97" s="97" t="s">
        <v>35</v>
      </c>
      <c r="D97" s="94" t="s">
        <v>137</v>
      </c>
      <c r="E97" s="9">
        <f>SUM(F97:I97)</f>
        <v>1910</v>
      </c>
      <c r="F97" s="9">
        <v>1910</v>
      </c>
      <c r="G97" s="9">
        <v>0</v>
      </c>
      <c r="H97" s="9">
        <v>0</v>
      </c>
      <c r="I97" s="9">
        <v>0</v>
      </c>
      <c r="J97" s="9">
        <f>SUM(K97:N97)</f>
        <v>1988</v>
      </c>
      <c r="K97" s="9">
        <v>1988</v>
      </c>
      <c r="L97" s="9">
        <v>0</v>
      </c>
      <c r="M97" s="9">
        <v>0</v>
      </c>
      <c r="N97" s="9">
        <v>0</v>
      </c>
      <c r="O97" s="9">
        <f>SUM(P97:S97)</f>
        <v>1988</v>
      </c>
      <c r="P97" s="9">
        <v>1988</v>
      </c>
      <c r="Q97" s="9">
        <v>0</v>
      </c>
      <c r="R97" s="9">
        <v>0</v>
      </c>
      <c r="S97" s="9">
        <v>0</v>
      </c>
      <c r="T97" s="9">
        <f>SUM(U97:X97)</f>
        <v>1988</v>
      </c>
      <c r="U97" s="9">
        <v>1988</v>
      </c>
      <c r="V97" s="9">
        <v>0</v>
      </c>
      <c r="W97" s="9">
        <v>0</v>
      </c>
      <c r="X97" s="9">
        <v>0</v>
      </c>
      <c r="Y97" s="9">
        <f>SUM(Z97:AC97)</f>
        <v>2238.6</v>
      </c>
      <c r="Z97" s="9">
        <v>2238.6</v>
      </c>
      <c r="AA97" s="9">
        <v>0</v>
      </c>
      <c r="AB97" s="9">
        <v>0</v>
      </c>
      <c r="AC97" s="9">
        <v>0</v>
      </c>
      <c r="AD97" s="11">
        <f>Y97+T97+O97+J97+E97</f>
        <v>10112.6</v>
      </c>
    </row>
    <row r="98" spans="1:30" ht="134.25" customHeight="1">
      <c r="A98" s="93" t="s">
        <v>164</v>
      </c>
      <c r="B98" s="97" t="s">
        <v>84</v>
      </c>
      <c r="C98" s="97" t="s">
        <v>35</v>
      </c>
      <c r="D98" s="94" t="s">
        <v>137</v>
      </c>
      <c r="E98" s="9">
        <f>SUM(F98:I98)</f>
        <v>34</v>
      </c>
      <c r="F98" s="9">
        <v>34</v>
      </c>
      <c r="G98" s="9">
        <v>0</v>
      </c>
      <c r="H98" s="9">
        <v>0</v>
      </c>
      <c r="I98" s="9">
        <v>0</v>
      </c>
      <c r="J98" s="9">
        <f>SUM(K98:N98)</f>
        <v>34</v>
      </c>
      <c r="K98" s="9">
        <v>34</v>
      </c>
      <c r="L98" s="9">
        <v>0</v>
      </c>
      <c r="M98" s="9">
        <v>0</v>
      </c>
      <c r="N98" s="9">
        <v>0</v>
      </c>
      <c r="O98" s="9">
        <f>SUM(P98:S98)</f>
        <v>34</v>
      </c>
      <c r="P98" s="9">
        <v>34</v>
      </c>
      <c r="Q98" s="9">
        <v>0</v>
      </c>
      <c r="R98" s="9">
        <v>0</v>
      </c>
      <c r="S98" s="9">
        <v>0</v>
      </c>
      <c r="T98" s="9">
        <f>SUM(U98:X98)</f>
        <v>34</v>
      </c>
      <c r="U98" s="9">
        <v>34</v>
      </c>
      <c r="V98" s="9">
        <v>0</v>
      </c>
      <c r="W98" s="9">
        <v>0</v>
      </c>
      <c r="X98" s="9">
        <v>0</v>
      </c>
      <c r="Y98" s="9">
        <f>SUM(Z98:AC98)</f>
        <v>40.2</v>
      </c>
      <c r="Z98" s="9">
        <v>40.2</v>
      </c>
      <c r="AA98" s="9">
        <v>0</v>
      </c>
      <c r="AB98" s="9">
        <v>0</v>
      </c>
      <c r="AC98" s="9">
        <v>0</v>
      </c>
      <c r="AD98" s="11">
        <f>Y98+T98+O98+J98+E98</f>
        <v>176.2</v>
      </c>
    </row>
    <row r="99" spans="1:31" ht="22.5" customHeight="1">
      <c r="A99" s="139" t="s">
        <v>67</v>
      </c>
      <c r="B99" s="139"/>
      <c r="C99" s="139"/>
      <c r="D99" s="139"/>
      <c r="E99" s="47">
        <f aca="true" t="shared" si="25" ref="E99:AC99">SUM(E97:E98)</f>
        <v>1944</v>
      </c>
      <c r="F99" s="47">
        <f t="shared" si="25"/>
        <v>1944</v>
      </c>
      <c r="G99" s="47">
        <f t="shared" si="25"/>
        <v>0</v>
      </c>
      <c r="H99" s="47">
        <f t="shared" si="25"/>
        <v>0</v>
      </c>
      <c r="I99" s="47">
        <f t="shared" si="25"/>
        <v>0</v>
      </c>
      <c r="J99" s="47">
        <f t="shared" si="25"/>
        <v>2022</v>
      </c>
      <c r="K99" s="47">
        <f t="shared" si="25"/>
        <v>2022</v>
      </c>
      <c r="L99" s="47">
        <f t="shared" si="25"/>
        <v>0</v>
      </c>
      <c r="M99" s="47">
        <f t="shared" si="25"/>
        <v>0</v>
      </c>
      <c r="N99" s="47">
        <f t="shared" si="25"/>
        <v>0</v>
      </c>
      <c r="O99" s="47">
        <f t="shared" si="25"/>
        <v>2022</v>
      </c>
      <c r="P99" s="47">
        <f t="shared" si="25"/>
        <v>2022</v>
      </c>
      <c r="Q99" s="47">
        <f t="shared" si="25"/>
        <v>0</v>
      </c>
      <c r="R99" s="47">
        <f t="shared" si="25"/>
        <v>0</v>
      </c>
      <c r="S99" s="47">
        <f t="shared" si="25"/>
        <v>0</v>
      </c>
      <c r="T99" s="47">
        <f t="shared" si="25"/>
        <v>2022</v>
      </c>
      <c r="U99" s="47">
        <f t="shared" si="25"/>
        <v>2022</v>
      </c>
      <c r="V99" s="47">
        <f t="shared" si="25"/>
        <v>0</v>
      </c>
      <c r="W99" s="47">
        <f t="shared" si="25"/>
        <v>0</v>
      </c>
      <c r="X99" s="47">
        <f t="shared" si="25"/>
        <v>0</v>
      </c>
      <c r="Y99" s="47">
        <f t="shared" si="25"/>
        <v>2278.8</v>
      </c>
      <c r="Z99" s="47">
        <f t="shared" si="25"/>
        <v>2278.8</v>
      </c>
      <c r="AA99" s="47">
        <f t="shared" si="25"/>
        <v>0</v>
      </c>
      <c r="AB99" s="47">
        <f t="shared" si="25"/>
        <v>0</v>
      </c>
      <c r="AC99" s="47">
        <f t="shared" si="25"/>
        <v>0</v>
      </c>
      <c r="AD99" s="47">
        <f>SUM(AD97:AD98)</f>
        <v>10288.8</v>
      </c>
      <c r="AE99" s="11">
        <f>E99+J99+O99+T99+Y99</f>
        <v>10288.8</v>
      </c>
    </row>
    <row r="100" spans="1:30" ht="21" customHeight="1">
      <c r="A100" s="59">
        <v>5</v>
      </c>
      <c r="B100" s="96" t="s">
        <v>68</v>
      </c>
      <c r="C100" s="140" t="s">
        <v>178</v>
      </c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</row>
    <row r="101" spans="1:30" ht="362.25" customHeight="1">
      <c r="A101" s="93" t="s">
        <v>18</v>
      </c>
      <c r="B101" s="60" t="s">
        <v>127</v>
      </c>
      <c r="C101" s="97" t="s">
        <v>30</v>
      </c>
      <c r="D101" s="94" t="s">
        <v>137</v>
      </c>
      <c r="E101" s="9">
        <f>SUM(F101:I101)</f>
        <v>237</v>
      </c>
      <c r="F101" s="9">
        <v>237</v>
      </c>
      <c r="G101" s="9">
        <v>0</v>
      </c>
      <c r="H101" s="9">
        <v>0</v>
      </c>
      <c r="I101" s="9">
        <v>0</v>
      </c>
      <c r="J101" s="9">
        <f>SUM(K101:N101)</f>
        <v>220</v>
      </c>
      <c r="K101" s="9">
        <v>220</v>
      </c>
      <c r="L101" s="9">
        <v>0</v>
      </c>
      <c r="M101" s="9">
        <v>0</v>
      </c>
      <c r="N101" s="9">
        <v>0</v>
      </c>
      <c r="O101" s="9">
        <f>SUM(P101:S101)</f>
        <v>220</v>
      </c>
      <c r="P101" s="9">
        <v>220</v>
      </c>
      <c r="Q101" s="9">
        <v>0</v>
      </c>
      <c r="R101" s="9">
        <v>0</v>
      </c>
      <c r="S101" s="9">
        <v>0</v>
      </c>
      <c r="T101" s="9">
        <f>SUM(U101:X101)</f>
        <v>220</v>
      </c>
      <c r="U101" s="9">
        <v>220</v>
      </c>
      <c r="V101" s="9">
        <v>0</v>
      </c>
      <c r="W101" s="9">
        <v>0</v>
      </c>
      <c r="X101" s="9">
        <v>0</v>
      </c>
      <c r="Y101" s="9">
        <f>SUM(Z101:AC101)</f>
        <v>260</v>
      </c>
      <c r="Z101" s="9">
        <v>260</v>
      </c>
      <c r="AA101" s="9">
        <v>0</v>
      </c>
      <c r="AB101" s="9">
        <v>0</v>
      </c>
      <c r="AC101" s="9">
        <v>0</v>
      </c>
      <c r="AD101" s="11">
        <f>Y101+T101+O101+J101+E101</f>
        <v>1157</v>
      </c>
    </row>
    <row r="102" spans="1:31" ht="21.75" customHeight="1">
      <c r="A102" s="139" t="s">
        <v>6</v>
      </c>
      <c r="B102" s="139"/>
      <c r="C102" s="139"/>
      <c r="D102" s="139"/>
      <c r="E102" s="47">
        <f>SUM(F102:I102)</f>
        <v>237</v>
      </c>
      <c r="F102" s="47">
        <f>F101</f>
        <v>237</v>
      </c>
      <c r="G102" s="47">
        <f>G101</f>
        <v>0</v>
      </c>
      <c r="H102" s="47">
        <f>H101</f>
        <v>0</v>
      </c>
      <c r="I102" s="47">
        <f>I101</f>
        <v>0</v>
      </c>
      <c r="J102" s="47">
        <f>SUM(K102:N102)</f>
        <v>220</v>
      </c>
      <c r="K102" s="47">
        <f>K101</f>
        <v>220</v>
      </c>
      <c r="L102" s="47">
        <f>L101</f>
        <v>0</v>
      </c>
      <c r="M102" s="47">
        <f>M101</f>
        <v>0</v>
      </c>
      <c r="N102" s="47">
        <f>N101</f>
        <v>0</v>
      </c>
      <c r="O102" s="47">
        <f>SUM(P102:S102)</f>
        <v>220</v>
      </c>
      <c r="P102" s="47">
        <f>P101</f>
        <v>220</v>
      </c>
      <c r="Q102" s="47">
        <f>Q101</f>
        <v>0</v>
      </c>
      <c r="R102" s="47">
        <f>R101</f>
        <v>0</v>
      </c>
      <c r="S102" s="47">
        <f>S101</f>
        <v>0</v>
      </c>
      <c r="T102" s="47">
        <f>SUM(U102:X102)</f>
        <v>220</v>
      </c>
      <c r="U102" s="47">
        <f>U101</f>
        <v>220</v>
      </c>
      <c r="V102" s="47">
        <f>V101</f>
        <v>0</v>
      </c>
      <c r="W102" s="47">
        <f>W101</f>
        <v>0</v>
      </c>
      <c r="X102" s="47">
        <f>X101</f>
        <v>0</v>
      </c>
      <c r="Y102" s="47">
        <f>SUM(Z102:AC102)</f>
        <v>260</v>
      </c>
      <c r="Z102" s="47">
        <f>Z101</f>
        <v>260</v>
      </c>
      <c r="AA102" s="47">
        <f>AA101</f>
        <v>0</v>
      </c>
      <c r="AB102" s="47">
        <f>AB101</f>
        <v>0</v>
      </c>
      <c r="AC102" s="47">
        <f>AC101</f>
        <v>0</v>
      </c>
      <c r="AD102" s="100">
        <f>Y102+T102+O102+J102+E102</f>
        <v>1157</v>
      </c>
      <c r="AE102" s="11">
        <f>E102+J102+O102+T102+Y102</f>
        <v>1157</v>
      </c>
    </row>
    <row r="103" spans="1:30" ht="21" customHeight="1">
      <c r="A103" s="59">
        <v>6</v>
      </c>
      <c r="B103" s="96" t="s">
        <v>22</v>
      </c>
      <c r="C103" s="140" t="s">
        <v>85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</row>
    <row r="104" spans="1:30" ht="227.25" customHeight="1">
      <c r="A104" s="93" t="s">
        <v>7</v>
      </c>
      <c r="B104" s="60" t="s">
        <v>177</v>
      </c>
      <c r="C104" s="97" t="s">
        <v>30</v>
      </c>
      <c r="D104" s="94" t="s">
        <v>137</v>
      </c>
      <c r="E104" s="9">
        <f>SUM(F104:I104)</f>
        <v>202243</v>
      </c>
      <c r="F104" s="9">
        <f>199533+985+1275+450</f>
        <v>202243</v>
      </c>
      <c r="G104" s="9">
        <v>0</v>
      </c>
      <c r="H104" s="9">
        <v>0</v>
      </c>
      <c r="I104" s="9">
        <v>0</v>
      </c>
      <c r="J104" s="148">
        <f>SUM(K104:N104)</f>
        <v>214727</v>
      </c>
      <c r="K104" s="148">
        <f>208861+5787+79</f>
        <v>214727</v>
      </c>
      <c r="L104" s="9">
        <v>0</v>
      </c>
      <c r="M104" s="9">
        <v>0</v>
      </c>
      <c r="N104" s="9">
        <v>0</v>
      </c>
      <c r="O104" s="9">
        <f>SUM(P104:S104)</f>
        <v>207061</v>
      </c>
      <c r="P104" s="9">
        <v>207061</v>
      </c>
      <c r="Q104" s="9">
        <v>0</v>
      </c>
      <c r="R104" s="9">
        <v>0</v>
      </c>
      <c r="S104" s="9">
        <v>0</v>
      </c>
      <c r="T104" s="9">
        <f>SUM(U104:X104)</f>
        <v>207061</v>
      </c>
      <c r="U104" s="9">
        <v>207061</v>
      </c>
      <c r="V104" s="9">
        <v>0</v>
      </c>
      <c r="W104" s="9">
        <v>0</v>
      </c>
      <c r="X104" s="9">
        <v>0</v>
      </c>
      <c r="Y104" s="9">
        <f>SUM(Z104:AC104)</f>
        <v>224559.3</v>
      </c>
      <c r="Z104" s="9">
        <v>224559.3</v>
      </c>
      <c r="AA104" s="9">
        <v>0</v>
      </c>
      <c r="AB104" s="9">
        <v>0</v>
      </c>
      <c r="AC104" s="9">
        <v>0</v>
      </c>
      <c r="AD104" s="11">
        <f>Y104+T104+O104+J104+E104</f>
        <v>1055651.3</v>
      </c>
    </row>
    <row r="105" spans="1:32" ht="21.75" customHeight="1">
      <c r="A105" s="139" t="s">
        <v>23</v>
      </c>
      <c r="B105" s="139"/>
      <c r="C105" s="139"/>
      <c r="D105" s="139"/>
      <c r="E105" s="47">
        <f>E104</f>
        <v>202243</v>
      </c>
      <c r="F105" s="47">
        <f aca="true" t="shared" si="26" ref="F105:AC105">F104</f>
        <v>202243</v>
      </c>
      <c r="G105" s="47">
        <f t="shared" si="26"/>
        <v>0</v>
      </c>
      <c r="H105" s="47">
        <f t="shared" si="26"/>
        <v>0</v>
      </c>
      <c r="I105" s="47">
        <f t="shared" si="26"/>
        <v>0</v>
      </c>
      <c r="J105" s="47">
        <f t="shared" si="26"/>
        <v>214727</v>
      </c>
      <c r="K105" s="47">
        <f t="shared" si="26"/>
        <v>214727</v>
      </c>
      <c r="L105" s="47">
        <f t="shared" si="26"/>
        <v>0</v>
      </c>
      <c r="M105" s="47">
        <f t="shared" si="26"/>
        <v>0</v>
      </c>
      <c r="N105" s="47">
        <f t="shared" si="26"/>
        <v>0</v>
      </c>
      <c r="O105" s="47">
        <f t="shared" si="26"/>
        <v>207061</v>
      </c>
      <c r="P105" s="47">
        <f t="shared" si="26"/>
        <v>207061</v>
      </c>
      <c r="Q105" s="47">
        <f t="shared" si="26"/>
        <v>0</v>
      </c>
      <c r="R105" s="47">
        <f t="shared" si="26"/>
        <v>0</v>
      </c>
      <c r="S105" s="47">
        <f t="shared" si="26"/>
        <v>0</v>
      </c>
      <c r="T105" s="47">
        <f t="shared" si="26"/>
        <v>207061</v>
      </c>
      <c r="U105" s="47">
        <f t="shared" si="26"/>
        <v>207061</v>
      </c>
      <c r="V105" s="47">
        <f t="shared" si="26"/>
        <v>0</v>
      </c>
      <c r="W105" s="47">
        <f t="shared" si="26"/>
        <v>0</v>
      </c>
      <c r="X105" s="47">
        <f t="shared" si="26"/>
        <v>0</v>
      </c>
      <c r="Y105" s="47">
        <f t="shared" si="26"/>
        <v>224559.3</v>
      </c>
      <c r="Z105" s="47">
        <f t="shared" si="26"/>
        <v>224559.3</v>
      </c>
      <c r="AA105" s="47">
        <f t="shared" si="26"/>
        <v>0</v>
      </c>
      <c r="AB105" s="47">
        <f t="shared" si="26"/>
        <v>0</v>
      </c>
      <c r="AC105" s="47">
        <f t="shared" si="26"/>
        <v>0</v>
      </c>
      <c r="AD105" s="47">
        <f>AD104</f>
        <v>1055651.3</v>
      </c>
      <c r="AE105" s="11">
        <f>E105+J105+O105+T105+Y105</f>
        <v>1055651.3</v>
      </c>
      <c r="AF105" s="61"/>
    </row>
    <row r="106" spans="1:32" ht="29.25" customHeight="1">
      <c r="A106" s="98" t="s">
        <v>165</v>
      </c>
      <c r="B106" s="96" t="s">
        <v>24</v>
      </c>
      <c r="C106" s="142" t="s">
        <v>94</v>
      </c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47"/>
      <c r="V106" s="47"/>
      <c r="W106" s="47"/>
      <c r="X106" s="47"/>
      <c r="Y106" s="47"/>
      <c r="Z106" s="47"/>
      <c r="AA106" s="47"/>
      <c r="AB106" s="47"/>
      <c r="AC106" s="47"/>
      <c r="AD106" s="100"/>
      <c r="AE106" s="62"/>
      <c r="AF106" s="61"/>
    </row>
    <row r="107" spans="1:32" ht="169.5" customHeight="1">
      <c r="A107" s="63" t="s">
        <v>25</v>
      </c>
      <c r="B107" s="97" t="s">
        <v>95</v>
      </c>
      <c r="C107" s="97" t="s">
        <v>96</v>
      </c>
      <c r="D107" s="94" t="s">
        <v>137</v>
      </c>
      <c r="E107" s="9">
        <f>SUM(F107:I107)</f>
        <v>2410</v>
      </c>
      <c r="F107" s="13">
        <f>360+500+200+1350</f>
        <v>2410</v>
      </c>
      <c r="G107" s="13">
        <v>0</v>
      </c>
      <c r="H107" s="13">
        <v>0</v>
      </c>
      <c r="I107" s="13">
        <v>0</v>
      </c>
      <c r="J107" s="9">
        <f>SUM(K107:N107)</f>
        <v>4423</v>
      </c>
      <c r="K107" s="13">
        <f>2160+859+1404</f>
        <v>4423</v>
      </c>
      <c r="L107" s="13">
        <v>0</v>
      </c>
      <c r="M107" s="13">
        <v>0</v>
      </c>
      <c r="N107" s="13">
        <v>0</v>
      </c>
      <c r="O107" s="9">
        <f>SUM(P107:S107)</f>
        <v>0</v>
      </c>
      <c r="P107" s="13">
        <v>0</v>
      </c>
      <c r="Q107" s="13">
        <v>0</v>
      </c>
      <c r="R107" s="13">
        <v>0</v>
      </c>
      <c r="S107" s="13">
        <v>0</v>
      </c>
      <c r="T107" s="9">
        <f>SUM(U107:X107)</f>
        <v>0</v>
      </c>
      <c r="U107" s="13">
        <v>0</v>
      </c>
      <c r="V107" s="13">
        <v>0</v>
      </c>
      <c r="W107" s="13">
        <v>0</v>
      </c>
      <c r="X107" s="13">
        <v>0</v>
      </c>
      <c r="Y107" s="9">
        <f>SUM(Z107:AC107)</f>
        <v>0</v>
      </c>
      <c r="Z107" s="13">
        <v>0</v>
      </c>
      <c r="AA107" s="13">
        <v>0</v>
      </c>
      <c r="AB107" s="13">
        <v>0</v>
      </c>
      <c r="AC107" s="13">
        <v>0</v>
      </c>
      <c r="AD107" s="11">
        <f>Y107+T107+O107+J107+E107</f>
        <v>6833</v>
      </c>
      <c r="AE107" s="62"/>
      <c r="AF107" s="61"/>
    </row>
    <row r="108" spans="1:32" ht="138.75" customHeight="1">
      <c r="A108" s="63" t="s">
        <v>166</v>
      </c>
      <c r="B108" s="97" t="s">
        <v>138</v>
      </c>
      <c r="C108" s="97" t="s">
        <v>96</v>
      </c>
      <c r="D108" s="94" t="s">
        <v>137</v>
      </c>
      <c r="E108" s="9">
        <f>SUM(F108:I108)</f>
        <v>0</v>
      </c>
      <c r="F108" s="13">
        <v>0</v>
      </c>
      <c r="G108" s="13">
        <v>0</v>
      </c>
      <c r="H108" s="13">
        <v>0</v>
      </c>
      <c r="I108" s="13">
        <v>0</v>
      </c>
      <c r="J108" s="9">
        <f>SUM(K108:N108)</f>
        <v>0</v>
      </c>
      <c r="K108" s="13">
        <v>0</v>
      </c>
      <c r="L108" s="13">
        <v>0</v>
      </c>
      <c r="M108" s="13">
        <v>0</v>
      </c>
      <c r="N108" s="13">
        <v>0</v>
      </c>
      <c r="O108" s="9">
        <f>SUM(P108:S108)</f>
        <v>0</v>
      </c>
      <c r="P108" s="13">
        <v>0</v>
      </c>
      <c r="Q108" s="13">
        <v>0</v>
      </c>
      <c r="R108" s="13">
        <v>0</v>
      </c>
      <c r="S108" s="13">
        <v>0</v>
      </c>
      <c r="T108" s="9">
        <f>SUM(U108:X108)</f>
        <v>0</v>
      </c>
      <c r="U108" s="13">
        <v>0</v>
      </c>
      <c r="V108" s="13">
        <v>0</v>
      </c>
      <c r="W108" s="13">
        <v>0</v>
      </c>
      <c r="X108" s="13">
        <v>0</v>
      </c>
      <c r="Y108" s="9">
        <f>SUM(Z108:AC108)</f>
        <v>0</v>
      </c>
      <c r="Z108" s="13">
        <v>0</v>
      </c>
      <c r="AA108" s="13">
        <v>0</v>
      </c>
      <c r="AB108" s="13">
        <v>0</v>
      </c>
      <c r="AC108" s="13">
        <v>0</v>
      </c>
      <c r="AD108" s="11">
        <f>Y108+T108+O108+J108+E108</f>
        <v>0</v>
      </c>
      <c r="AE108" s="62"/>
      <c r="AF108" s="61"/>
    </row>
    <row r="109" spans="1:32" ht="21.75" customHeight="1">
      <c r="A109" s="139" t="s">
        <v>26</v>
      </c>
      <c r="B109" s="139"/>
      <c r="C109" s="139"/>
      <c r="D109" s="139"/>
      <c r="E109" s="10">
        <f>SUM(E107:E108)</f>
        <v>2410</v>
      </c>
      <c r="F109" s="10">
        <f aca="true" t="shared" si="27" ref="F109:AC109">SUM(F107:F108)</f>
        <v>2410</v>
      </c>
      <c r="G109" s="10">
        <f t="shared" si="27"/>
        <v>0</v>
      </c>
      <c r="H109" s="10">
        <f t="shared" si="27"/>
        <v>0</v>
      </c>
      <c r="I109" s="10">
        <f t="shared" si="27"/>
        <v>0</v>
      </c>
      <c r="J109" s="10">
        <f t="shared" si="27"/>
        <v>4423</v>
      </c>
      <c r="K109" s="10">
        <f t="shared" si="27"/>
        <v>4423</v>
      </c>
      <c r="L109" s="10">
        <f t="shared" si="27"/>
        <v>0</v>
      </c>
      <c r="M109" s="10">
        <f t="shared" si="27"/>
        <v>0</v>
      </c>
      <c r="N109" s="10">
        <f t="shared" si="27"/>
        <v>0</v>
      </c>
      <c r="O109" s="10">
        <f t="shared" si="27"/>
        <v>0</v>
      </c>
      <c r="P109" s="10">
        <f t="shared" si="27"/>
        <v>0</v>
      </c>
      <c r="Q109" s="10">
        <f t="shared" si="27"/>
        <v>0</v>
      </c>
      <c r="R109" s="10">
        <f t="shared" si="27"/>
        <v>0</v>
      </c>
      <c r="S109" s="10">
        <f t="shared" si="27"/>
        <v>0</v>
      </c>
      <c r="T109" s="10">
        <f t="shared" si="27"/>
        <v>0</v>
      </c>
      <c r="U109" s="10">
        <f t="shared" si="27"/>
        <v>0</v>
      </c>
      <c r="V109" s="10">
        <f t="shared" si="27"/>
        <v>0</v>
      </c>
      <c r="W109" s="10">
        <f t="shared" si="27"/>
        <v>0</v>
      </c>
      <c r="X109" s="10">
        <f t="shared" si="27"/>
        <v>0</v>
      </c>
      <c r="Y109" s="10">
        <f t="shared" si="27"/>
        <v>0</v>
      </c>
      <c r="Z109" s="10">
        <f t="shared" si="27"/>
        <v>0</v>
      </c>
      <c r="AA109" s="10">
        <f t="shared" si="27"/>
        <v>0</v>
      </c>
      <c r="AB109" s="10">
        <f t="shared" si="27"/>
        <v>0</v>
      </c>
      <c r="AC109" s="10">
        <f t="shared" si="27"/>
        <v>0</v>
      </c>
      <c r="AD109" s="10">
        <f>SUM(AD107:AD108)</f>
        <v>6833</v>
      </c>
      <c r="AE109" s="100">
        <f>AD109</f>
        <v>6833</v>
      </c>
      <c r="AF109" s="61"/>
    </row>
    <row r="110" spans="1:32" ht="33" customHeight="1">
      <c r="A110" s="128" t="s">
        <v>81</v>
      </c>
      <c r="B110" s="128"/>
      <c r="C110" s="128"/>
      <c r="D110" s="128"/>
      <c r="E110" s="10">
        <f>E105+E102+E99+E95+E75+E22+E109</f>
        <v>244620.97</v>
      </c>
      <c r="F110" s="10">
        <f aca="true" t="shared" si="28" ref="F110:AC110">F105+F102+F99+F95+F75+F22+F109</f>
        <v>243515.1</v>
      </c>
      <c r="G110" s="10">
        <f t="shared" si="28"/>
        <v>1105.87</v>
      </c>
      <c r="H110" s="10">
        <f t="shared" si="28"/>
        <v>0</v>
      </c>
      <c r="I110" s="10">
        <f t="shared" si="28"/>
        <v>0</v>
      </c>
      <c r="J110" s="10">
        <f t="shared" si="28"/>
        <v>263318.83</v>
      </c>
      <c r="K110" s="10">
        <f t="shared" si="28"/>
        <v>262832</v>
      </c>
      <c r="L110" s="10">
        <f t="shared" si="28"/>
        <v>486.83</v>
      </c>
      <c r="M110" s="10">
        <f t="shared" si="28"/>
        <v>0</v>
      </c>
      <c r="N110" s="10">
        <f t="shared" si="28"/>
        <v>0</v>
      </c>
      <c r="O110" s="10">
        <f t="shared" si="28"/>
        <v>239422.83</v>
      </c>
      <c r="P110" s="10">
        <f t="shared" si="28"/>
        <v>239138</v>
      </c>
      <c r="Q110" s="10">
        <f t="shared" si="28"/>
        <v>284.83</v>
      </c>
      <c r="R110" s="10">
        <f t="shared" si="28"/>
        <v>0</v>
      </c>
      <c r="S110" s="10">
        <f t="shared" si="28"/>
        <v>0</v>
      </c>
      <c r="T110" s="10">
        <f>T105+T102+T99+T95+T75+T22+T109</f>
        <v>239422.83</v>
      </c>
      <c r="U110" s="10">
        <f t="shared" si="28"/>
        <v>239138</v>
      </c>
      <c r="V110" s="10">
        <f t="shared" si="28"/>
        <v>284.83</v>
      </c>
      <c r="W110" s="10">
        <f t="shared" si="28"/>
        <v>0</v>
      </c>
      <c r="X110" s="10">
        <f t="shared" si="28"/>
        <v>0</v>
      </c>
      <c r="Y110" s="10">
        <f t="shared" si="28"/>
        <v>271868.6</v>
      </c>
      <c r="Z110" s="10">
        <f t="shared" si="28"/>
        <v>271868.6</v>
      </c>
      <c r="AA110" s="10">
        <f t="shared" si="28"/>
        <v>0</v>
      </c>
      <c r="AB110" s="10">
        <f t="shared" si="28"/>
        <v>0</v>
      </c>
      <c r="AC110" s="10">
        <f t="shared" si="28"/>
        <v>0</v>
      </c>
      <c r="AD110" s="10">
        <f>AD105+AD102+AD99+AD95+AD75+AD22+AD109</f>
        <v>1258654.06</v>
      </c>
      <c r="AE110" s="11">
        <f>SUM(AE16:AE109)</f>
        <v>1258654.06</v>
      </c>
      <c r="AF110" s="10"/>
    </row>
    <row r="111" ht="15.75"/>
    <row r="112" spans="1:32" ht="15.75">
      <c r="A112" s="64"/>
      <c r="C112" s="65"/>
      <c r="D112" s="66"/>
      <c r="AE112" s="32"/>
      <c r="AF112" s="33"/>
    </row>
    <row r="113" spans="1:32" s="21" customFormat="1" ht="15.75">
      <c r="A113" s="67"/>
      <c r="B113" s="68"/>
      <c r="C113" s="69"/>
      <c r="D113" s="70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AD113" s="71"/>
      <c r="AF113" s="18"/>
    </row>
    <row r="114" spans="1:32" s="21" customFormat="1" ht="31.5">
      <c r="A114" s="67"/>
      <c r="C114" s="72"/>
      <c r="D114" s="73" t="s">
        <v>32</v>
      </c>
      <c r="E114" s="74">
        <f aca="true" t="shared" si="29" ref="E114:AC114">E104</f>
        <v>202243</v>
      </c>
      <c r="F114" s="75">
        <f t="shared" si="29"/>
        <v>202243</v>
      </c>
      <c r="G114" s="74">
        <f t="shared" si="29"/>
        <v>0</v>
      </c>
      <c r="H114" s="75">
        <f t="shared" si="29"/>
        <v>0</v>
      </c>
      <c r="I114" s="75">
        <f t="shared" si="29"/>
        <v>0</v>
      </c>
      <c r="J114" s="75">
        <f t="shared" si="29"/>
        <v>214727</v>
      </c>
      <c r="K114" s="75">
        <f t="shared" si="29"/>
        <v>214727</v>
      </c>
      <c r="L114" s="75">
        <f t="shared" si="29"/>
        <v>0</v>
      </c>
      <c r="M114" s="75">
        <f t="shared" si="29"/>
        <v>0</v>
      </c>
      <c r="N114" s="75">
        <f t="shared" si="29"/>
        <v>0</v>
      </c>
      <c r="O114" s="75">
        <f t="shared" si="29"/>
        <v>207061</v>
      </c>
      <c r="P114" s="75">
        <f t="shared" si="29"/>
        <v>207061</v>
      </c>
      <c r="Q114" s="75">
        <f t="shared" si="29"/>
        <v>0</v>
      </c>
      <c r="R114" s="75">
        <f t="shared" si="29"/>
        <v>0</v>
      </c>
      <c r="S114" s="75">
        <f t="shared" si="29"/>
        <v>0</v>
      </c>
      <c r="T114" s="75">
        <f t="shared" si="29"/>
        <v>207061</v>
      </c>
      <c r="U114" s="75">
        <f t="shared" si="29"/>
        <v>207061</v>
      </c>
      <c r="V114" s="75">
        <f t="shared" si="29"/>
        <v>0</v>
      </c>
      <c r="W114" s="75">
        <f t="shared" si="29"/>
        <v>0</v>
      </c>
      <c r="X114" s="75">
        <f t="shared" si="29"/>
        <v>0</v>
      </c>
      <c r="Y114" s="75">
        <f t="shared" si="29"/>
        <v>224559.3</v>
      </c>
      <c r="Z114" s="75">
        <f t="shared" si="29"/>
        <v>224559.3</v>
      </c>
      <c r="AA114" s="75">
        <f t="shared" si="29"/>
        <v>0</v>
      </c>
      <c r="AB114" s="75">
        <f t="shared" si="29"/>
        <v>0</v>
      </c>
      <c r="AC114" s="75">
        <f t="shared" si="29"/>
        <v>0</v>
      </c>
      <c r="AD114" s="76">
        <f aca="true" t="shared" si="30" ref="AD114:AD119">Y114+T114+O114+J114+E114</f>
        <v>1055651.3</v>
      </c>
      <c r="AE114" s="71"/>
      <c r="AF114" s="18"/>
    </row>
    <row r="115" spans="1:32" s="78" customFormat="1" ht="15.75">
      <c r="A115" s="77"/>
      <c r="D115" s="79" t="s">
        <v>9</v>
      </c>
      <c r="E115" s="80">
        <f aca="true" t="shared" si="31" ref="E115:AC115">E95+E75+E22</f>
        <v>37786.97</v>
      </c>
      <c r="F115" s="81">
        <f t="shared" si="31"/>
        <v>36681.1</v>
      </c>
      <c r="G115" s="80">
        <f t="shared" si="31"/>
        <v>1105.87</v>
      </c>
      <c r="H115" s="81">
        <f t="shared" si="31"/>
        <v>0</v>
      </c>
      <c r="I115" s="81">
        <f t="shared" si="31"/>
        <v>0</v>
      </c>
      <c r="J115" s="81">
        <f t="shared" si="31"/>
        <v>41926.83</v>
      </c>
      <c r="K115" s="81">
        <f t="shared" si="31"/>
        <v>41440</v>
      </c>
      <c r="L115" s="81">
        <f t="shared" si="31"/>
        <v>486.83</v>
      </c>
      <c r="M115" s="81">
        <f t="shared" si="31"/>
        <v>0</v>
      </c>
      <c r="N115" s="81">
        <f t="shared" si="31"/>
        <v>0</v>
      </c>
      <c r="O115" s="81">
        <f t="shared" si="31"/>
        <v>30119.83</v>
      </c>
      <c r="P115" s="81">
        <f t="shared" si="31"/>
        <v>29835</v>
      </c>
      <c r="Q115" s="81">
        <f t="shared" si="31"/>
        <v>284.83</v>
      </c>
      <c r="R115" s="81">
        <f t="shared" si="31"/>
        <v>0</v>
      </c>
      <c r="S115" s="81">
        <f t="shared" si="31"/>
        <v>0</v>
      </c>
      <c r="T115" s="81">
        <f t="shared" si="31"/>
        <v>30119.83</v>
      </c>
      <c r="U115" s="81">
        <f t="shared" si="31"/>
        <v>29835</v>
      </c>
      <c r="V115" s="81">
        <f t="shared" si="31"/>
        <v>284.83</v>
      </c>
      <c r="W115" s="81">
        <f t="shared" si="31"/>
        <v>0</v>
      </c>
      <c r="X115" s="81">
        <f t="shared" si="31"/>
        <v>0</v>
      </c>
      <c r="Y115" s="81">
        <f t="shared" si="31"/>
        <v>44770.5</v>
      </c>
      <c r="Z115" s="81">
        <f t="shared" si="31"/>
        <v>44770.5</v>
      </c>
      <c r="AA115" s="81">
        <f t="shared" si="31"/>
        <v>0</v>
      </c>
      <c r="AB115" s="81">
        <f t="shared" si="31"/>
        <v>0</v>
      </c>
      <c r="AC115" s="81">
        <f t="shared" si="31"/>
        <v>0</v>
      </c>
      <c r="AD115" s="76">
        <f t="shared" si="30"/>
        <v>184723.96</v>
      </c>
      <c r="AE115" s="82"/>
      <c r="AF115" s="83"/>
    </row>
    <row r="116" spans="1:32" s="21" customFormat="1" ht="15.75">
      <c r="A116" s="67"/>
      <c r="D116" s="73" t="s">
        <v>35</v>
      </c>
      <c r="E116" s="74">
        <f aca="true" t="shared" si="32" ref="E116:AC116">E99</f>
        <v>1944</v>
      </c>
      <c r="F116" s="75">
        <f t="shared" si="32"/>
        <v>1944</v>
      </c>
      <c r="G116" s="74">
        <f t="shared" si="32"/>
        <v>0</v>
      </c>
      <c r="H116" s="75">
        <f t="shared" si="32"/>
        <v>0</v>
      </c>
      <c r="I116" s="75">
        <f t="shared" si="32"/>
        <v>0</v>
      </c>
      <c r="J116" s="75">
        <f t="shared" si="32"/>
        <v>2022</v>
      </c>
      <c r="K116" s="75">
        <f t="shared" si="32"/>
        <v>2022</v>
      </c>
      <c r="L116" s="75">
        <f t="shared" si="32"/>
        <v>0</v>
      </c>
      <c r="M116" s="75">
        <f t="shared" si="32"/>
        <v>0</v>
      </c>
      <c r="N116" s="75">
        <f t="shared" si="32"/>
        <v>0</v>
      </c>
      <c r="O116" s="75">
        <f t="shared" si="32"/>
        <v>2022</v>
      </c>
      <c r="P116" s="75">
        <f t="shared" si="32"/>
        <v>2022</v>
      </c>
      <c r="Q116" s="75">
        <f t="shared" si="32"/>
        <v>0</v>
      </c>
      <c r="R116" s="75">
        <f t="shared" si="32"/>
        <v>0</v>
      </c>
      <c r="S116" s="75">
        <f t="shared" si="32"/>
        <v>0</v>
      </c>
      <c r="T116" s="75">
        <f t="shared" si="32"/>
        <v>2022</v>
      </c>
      <c r="U116" s="75">
        <f t="shared" si="32"/>
        <v>2022</v>
      </c>
      <c r="V116" s="75">
        <f t="shared" si="32"/>
        <v>0</v>
      </c>
      <c r="W116" s="75">
        <f t="shared" si="32"/>
        <v>0</v>
      </c>
      <c r="X116" s="75">
        <f t="shared" si="32"/>
        <v>0</v>
      </c>
      <c r="Y116" s="75">
        <f t="shared" si="32"/>
        <v>2278.8</v>
      </c>
      <c r="Z116" s="75">
        <f t="shared" si="32"/>
        <v>2278.8</v>
      </c>
      <c r="AA116" s="75">
        <f t="shared" si="32"/>
        <v>0</v>
      </c>
      <c r="AB116" s="75">
        <f t="shared" si="32"/>
        <v>0</v>
      </c>
      <c r="AC116" s="75">
        <f t="shared" si="32"/>
        <v>0</v>
      </c>
      <c r="AD116" s="76">
        <f t="shared" si="30"/>
        <v>10288.8</v>
      </c>
      <c r="AE116" s="71"/>
      <c r="AF116" s="18"/>
    </row>
    <row r="117" spans="1:32" s="21" customFormat="1" ht="15.75">
      <c r="A117" s="67"/>
      <c r="D117" s="73" t="s">
        <v>36</v>
      </c>
      <c r="E117" s="74">
        <f aca="true" t="shared" si="33" ref="E117:AC117">E101</f>
        <v>237</v>
      </c>
      <c r="F117" s="75">
        <f t="shared" si="33"/>
        <v>237</v>
      </c>
      <c r="G117" s="74">
        <f t="shared" si="33"/>
        <v>0</v>
      </c>
      <c r="H117" s="75">
        <f t="shared" si="33"/>
        <v>0</v>
      </c>
      <c r="I117" s="75">
        <f t="shared" si="33"/>
        <v>0</v>
      </c>
      <c r="J117" s="75">
        <f t="shared" si="33"/>
        <v>220</v>
      </c>
      <c r="K117" s="75">
        <f t="shared" si="33"/>
        <v>220</v>
      </c>
      <c r="L117" s="75">
        <f t="shared" si="33"/>
        <v>0</v>
      </c>
      <c r="M117" s="75">
        <f t="shared" si="33"/>
        <v>0</v>
      </c>
      <c r="N117" s="75">
        <f t="shared" si="33"/>
        <v>0</v>
      </c>
      <c r="O117" s="75">
        <f t="shared" si="33"/>
        <v>220</v>
      </c>
      <c r="P117" s="75">
        <f t="shared" si="33"/>
        <v>220</v>
      </c>
      <c r="Q117" s="75">
        <f t="shared" si="33"/>
        <v>0</v>
      </c>
      <c r="R117" s="75">
        <f t="shared" si="33"/>
        <v>0</v>
      </c>
      <c r="S117" s="75">
        <f t="shared" si="33"/>
        <v>0</v>
      </c>
      <c r="T117" s="75">
        <f t="shared" si="33"/>
        <v>220</v>
      </c>
      <c r="U117" s="75">
        <f t="shared" si="33"/>
        <v>220</v>
      </c>
      <c r="V117" s="75">
        <f t="shared" si="33"/>
        <v>0</v>
      </c>
      <c r="W117" s="75">
        <f t="shared" si="33"/>
        <v>0</v>
      </c>
      <c r="X117" s="75">
        <f t="shared" si="33"/>
        <v>0</v>
      </c>
      <c r="Y117" s="75">
        <f t="shared" si="33"/>
        <v>260</v>
      </c>
      <c r="Z117" s="75">
        <f t="shared" si="33"/>
        <v>260</v>
      </c>
      <c r="AA117" s="75">
        <f t="shared" si="33"/>
        <v>0</v>
      </c>
      <c r="AB117" s="75">
        <f t="shared" si="33"/>
        <v>0</v>
      </c>
      <c r="AC117" s="75">
        <f t="shared" si="33"/>
        <v>0</v>
      </c>
      <c r="AD117" s="76">
        <f t="shared" si="30"/>
        <v>1157</v>
      </c>
      <c r="AE117" s="71"/>
      <c r="AF117" s="18"/>
    </row>
    <row r="118" spans="1:32" s="21" customFormat="1" ht="48" customHeight="1">
      <c r="A118" s="67"/>
      <c r="D118" s="73" t="s">
        <v>113</v>
      </c>
      <c r="E118" s="74">
        <f aca="true" t="shared" si="34" ref="E118:AC118">E109</f>
        <v>2410</v>
      </c>
      <c r="F118" s="75">
        <f t="shared" si="34"/>
        <v>2410</v>
      </c>
      <c r="G118" s="74">
        <f t="shared" si="34"/>
        <v>0</v>
      </c>
      <c r="H118" s="75">
        <f t="shared" si="34"/>
        <v>0</v>
      </c>
      <c r="I118" s="75">
        <f t="shared" si="34"/>
        <v>0</v>
      </c>
      <c r="J118" s="75">
        <f t="shared" si="34"/>
        <v>4423</v>
      </c>
      <c r="K118" s="75">
        <f t="shared" si="34"/>
        <v>4423</v>
      </c>
      <c r="L118" s="75">
        <f t="shared" si="34"/>
        <v>0</v>
      </c>
      <c r="M118" s="75">
        <f t="shared" si="34"/>
        <v>0</v>
      </c>
      <c r="N118" s="75">
        <f t="shared" si="34"/>
        <v>0</v>
      </c>
      <c r="O118" s="75">
        <f t="shared" si="34"/>
        <v>0</v>
      </c>
      <c r="P118" s="75">
        <f t="shared" si="34"/>
        <v>0</v>
      </c>
      <c r="Q118" s="75">
        <f t="shared" si="34"/>
        <v>0</v>
      </c>
      <c r="R118" s="75">
        <f t="shared" si="34"/>
        <v>0</v>
      </c>
      <c r="S118" s="75">
        <f t="shared" si="34"/>
        <v>0</v>
      </c>
      <c r="T118" s="75">
        <f t="shared" si="34"/>
        <v>0</v>
      </c>
      <c r="U118" s="75">
        <f t="shared" si="34"/>
        <v>0</v>
      </c>
      <c r="V118" s="75">
        <f t="shared" si="34"/>
        <v>0</v>
      </c>
      <c r="W118" s="75">
        <f t="shared" si="34"/>
        <v>0</v>
      </c>
      <c r="X118" s="75">
        <f t="shared" si="34"/>
        <v>0</v>
      </c>
      <c r="Y118" s="75">
        <f t="shared" si="34"/>
        <v>0</v>
      </c>
      <c r="Z118" s="75">
        <f t="shared" si="34"/>
        <v>0</v>
      </c>
      <c r="AA118" s="75">
        <f t="shared" si="34"/>
        <v>0</v>
      </c>
      <c r="AB118" s="75">
        <f t="shared" si="34"/>
        <v>0</v>
      </c>
      <c r="AC118" s="75">
        <f t="shared" si="34"/>
        <v>0</v>
      </c>
      <c r="AD118" s="76">
        <f t="shared" si="30"/>
        <v>6833</v>
      </c>
      <c r="AE118" s="71"/>
      <c r="AF118" s="18"/>
    </row>
    <row r="119" spans="1:32" s="48" customFormat="1" ht="15.75">
      <c r="A119" s="84"/>
      <c r="D119" s="85" t="s">
        <v>20</v>
      </c>
      <c r="E119" s="86">
        <f>SUM(E114:E118)</f>
        <v>244620.97</v>
      </c>
      <c r="F119" s="86">
        <f>SUM(F114:F118)</f>
        <v>243515.1</v>
      </c>
      <c r="G119" s="86">
        <f aca="true" t="shared" si="35" ref="G119:AC119">SUM(G114:G118)</f>
        <v>1105.87</v>
      </c>
      <c r="H119" s="86">
        <f t="shared" si="35"/>
        <v>0</v>
      </c>
      <c r="I119" s="86">
        <f t="shared" si="35"/>
        <v>0</v>
      </c>
      <c r="J119" s="86">
        <f t="shared" si="35"/>
        <v>263318.83</v>
      </c>
      <c r="K119" s="86">
        <f t="shared" si="35"/>
        <v>262832</v>
      </c>
      <c r="L119" s="86">
        <f t="shared" si="35"/>
        <v>486.83</v>
      </c>
      <c r="M119" s="86">
        <f t="shared" si="35"/>
        <v>0</v>
      </c>
      <c r="N119" s="86">
        <f t="shared" si="35"/>
        <v>0</v>
      </c>
      <c r="O119" s="86">
        <f t="shared" si="35"/>
        <v>239422.83</v>
      </c>
      <c r="P119" s="86">
        <f t="shared" si="35"/>
        <v>239138</v>
      </c>
      <c r="Q119" s="86">
        <f t="shared" si="35"/>
        <v>284.83</v>
      </c>
      <c r="R119" s="86">
        <f t="shared" si="35"/>
        <v>0</v>
      </c>
      <c r="S119" s="86">
        <f t="shared" si="35"/>
        <v>0</v>
      </c>
      <c r="T119" s="86">
        <f t="shared" si="35"/>
        <v>239422.83</v>
      </c>
      <c r="U119" s="86">
        <f t="shared" si="35"/>
        <v>239138</v>
      </c>
      <c r="V119" s="86">
        <f t="shared" si="35"/>
        <v>284.83</v>
      </c>
      <c r="W119" s="86">
        <f t="shared" si="35"/>
        <v>0</v>
      </c>
      <c r="X119" s="86">
        <f t="shared" si="35"/>
        <v>0</v>
      </c>
      <c r="Y119" s="86">
        <f t="shared" si="35"/>
        <v>271868.6</v>
      </c>
      <c r="Z119" s="86">
        <f t="shared" si="35"/>
        <v>271868.6</v>
      </c>
      <c r="AA119" s="86">
        <f t="shared" si="35"/>
        <v>0</v>
      </c>
      <c r="AB119" s="86">
        <f t="shared" si="35"/>
        <v>0</v>
      </c>
      <c r="AC119" s="86">
        <f t="shared" si="35"/>
        <v>0</v>
      </c>
      <c r="AD119" s="76">
        <f t="shared" si="30"/>
        <v>1258654.06</v>
      </c>
      <c r="AE119" s="71"/>
      <c r="AF119" s="61"/>
    </row>
    <row r="120" spans="4:32" ht="15.75">
      <c r="D120" s="66"/>
      <c r="AD120" s="17"/>
      <c r="AE120" s="87"/>
      <c r="AF120" s="88"/>
    </row>
    <row r="121" spans="4:32" ht="15.75">
      <c r="D121" s="66" t="s">
        <v>190</v>
      </c>
      <c r="F121" s="17">
        <f>F104</f>
        <v>202243</v>
      </c>
      <c r="G121" s="17">
        <f>G104</f>
        <v>0</v>
      </c>
      <c r="J121" s="17">
        <f>J104</f>
        <v>214727</v>
      </c>
      <c r="K121" s="17">
        <f>K104</f>
        <v>214727</v>
      </c>
      <c r="L121" s="17">
        <f>L104</f>
        <v>0</v>
      </c>
      <c r="O121" s="17">
        <f>O104</f>
        <v>207061</v>
      </c>
      <c r="P121" s="17">
        <f>P104</f>
        <v>207061</v>
      </c>
      <c r="Q121" s="17">
        <f>Q104</f>
        <v>0</v>
      </c>
      <c r="AD121" s="17"/>
      <c r="AE121" s="87"/>
      <c r="AF121" s="88"/>
    </row>
    <row r="122" spans="4:32" ht="15.75">
      <c r="D122" s="66" t="s">
        <v>36</v>
      </c>
      <c r="F122" s="17">
        <f>F102</f>
        <v>237</v>
      </c>
      <c r="G122" s="17">
        <f>G102</f>
        <v>0</v>
      </c>
      <c r="J122" s="17">
        <f>J102</f>
        <v>220</v>
      </c>
      <c r="K122" s="17">
        <f>K102</f>
        <v>220</v>
      </c>
      <c r="L122" s="17">
        <f>L102</f>
        <v>0</v>
      </c>
      <c r="O122" s="17">
        <f>O102</f>
        <v>220</v>
      </c>
      <c r="P122" s="17">
        <f>P102</f>
        <v>220</v>
      </c>
      <c r="Q122" s="17">
        <f>Q102</f>
        <v>0</v>
      </c>
      <c r="AD122" s="17"/>
      <c r="AE122" s="87"/>
      <c r="AF122" s="88"/>
    </row>
    <row r="123" spans="4:32" ht="15.75">
      <c r="D123" s="66" t="s">
        <v>191</v>
      </c>
      <c r="F123" s="17">
        <f>F107</f>
        <v>2410</v>
      </c>
      <c r="G123" s="17">
        <f>G107</f>
        <v>0</v>
      </c>
      <c r="J123" s="17">
        <f>J107</f>
        <v>4423</v>
      </c>
      <c r="K123" s="17">
        <f>K107</f>
        <v>4423</v>
      </c>
      <c r="L123" s="17">
        <f>L107</f>
        <v>0</v>
      </c>
      <c r="O123" s="17">
        <f>O107</f>
        <v>0</v>
      </c>
      <c r="P123" s="17">
        <f>P107</f>
        <v>0</v>
      </c>
      <c r="Q123" s="17">
        <f>Q107</f>
        <v>0</v>
      </c>
      <c r="AD123" s="17"/>
      <c r="AE123" s="87"/>
      <c r="AF123" s="88"/>
    </row>
    <row r="124" spans="4:32" ht="15.75">
      <c r="D124" s="66" t="s">
        <v>192</v>
      </c>
      <c r="F124" s="17">
        <f>F95+F75+F22</f>
        <v>36681.1</v>
      </c>
      <c r="G124" s="17">
        <f>G95+G75+G22</f>
        <v>1105.87</v>
      </c>
      <c r="J124" s="17">
        <f>J95+J75+J22</f>
        <v>41926.83</v>
      </c>
      <c r="K124" s="17">
        <f>K95+K75+K22</f>
        <v>41440</v>
      </c>
      <c r="L124" s="17">
        <f>L95+L75+L22</f>
        <v>486.83</v>
      </c>
      <c r="O124" s="17">
        <f>O95+O75+O22</f>
        <v>30119.83</v>
      </c>
      <c r="P124" s="17">
        <f>P95+P75+P22</f>
        <v>29835</v>
      </c>
      <c r="Q124" s="17">
        <f>Q95+Q75+Q22</f>
        <v>284.83</v>
      </c>
      <c r="AD124" s="17"/>
      <c r="AE124" s="87"/>
      <c r="AF124" s="88"/>
    </row>
    <row r="125" spans="4:30" ht="63">
      <c r="D125" s="66" t="s">
        <v>82</v>
      </c>
      <c r="E125" s="17">
        <f>E115+E114+E117+E118</f>
        <v>242676.97</v>
      </c>
      <c r="F125" s="17">
        <f aca="true" t="shared" si="36" ref="F125:AD125">F115+F114+F117+F118</f>
        <v>241571.1</v>
      </c>
      <c r="G125" s="17">
        <f t="shared" si="36"/>
        <v>1105.87</v>
      </c>
      <c r="H125" s="17">
        <f t="shared" si="36"/>
        <v>0</v>
      </c>
      <c r="I125" s="17">
        <f t="shared" si="36"/>
        <v>0</v>
      </c>
      <c r="J125" s="17">
        <f t="shared" si="36"/>
        <v>261296.83</v>
      </c>
      <c r="K125" s="17">
        <f t="shared" si="36"/>
        <v>260810</v>
      </c>
      <c r="L125" s="17">
        <f t="shared" si="36"/>
        <v>486.83</v>
      </c>
      <c r="M125" s="17">
        <f t="shared" si="36"/>
        <v>0</v>
      </c>
      <c r="N125" s="17">
        <f t="shared" si="36"/>
        <v>0</v>
      </c>
      <c r="O125" s="17">
        <f t="shared" si="36"/>
        <v>237400.83</v>
      </c>
      <c r="P125" s="17">
        <f t="shared" si="36"/>
        <v>237116</v>
      </c>
      <c r="Q125" s="17">
        <f t="shared" si="36"/>
        <v>284.83</v>
      </c>
      <c r="R125" s="17">
        <f t="shared" si="36"/>
        <v>0</v>
      </c>
      <c r="S125" s="17">
        <f t="shared" si="36"/>
        <v>0</v>
      </c>
      <c r="T125" s="17">
        <f t="shared" si="36"/>
        <v>237400.83</v>
      </c>
      <c r="U125" s="17">
        <f t="shared" si="36"/>
        <v>237116</v>
      </c>
      <c r="V125" s="17">
        <f t="shared" si="36"/>
        <v>284.83</v>
      </c>
      <c r="W125" s="17">
        <f t="shared" si="36"/>
        <v>0</v>
      </c>
      <c r="X125" s="17">
        <f t="shared" si="36"/>
        <v>0</v>
      </c>
      <c r="Y125" s="17">
        <f t="shared" si="36"/>
        <v>269589.8</v>
      </c>
      <c r="Z125" s="17">
        <f t="shared" si="36"/>
        <v>269589.8</v>
      </c>
      <c r="AA125" s="17">
        <f t="shared" si="36"/>
        <v>0</v>
      </c>
      <c r="AB125" s="17">
        <f t="shared" si="36"/>
        <v>0</v>
      </c>
      <c r="AC125" s="17">
        <f t="shared" si="36"/>
        <v>0</v>
      </c>
      <c r="AD125" s="17">
        <f t="shared" si="36"/>
        <v>1248365.26</v>
      </c>
    </row>
    <row r="126" ht="15.75"/>
    <row r="127" ht="15.75"/>
    <row r="128" ht="15.75">
      <c r="AD128" s="17">
        <f>AD125+AD116</f>
        <v>1258654.06</v>
      </c>
    </row>
  </sheetData>
  <sheetProtection/>
  <autoFilter ref="A16:AL110"/>
  <mergeCells count="43">
    <mergeCell ref="A109:D109"/>
    <mergeCell ref="A110:D110"/>
    <mergeCell ref="A99:D99"/>
    <mergeCell ref="C100:AD100"/>
    <mergeCell ref="A102:D102"/>
    <mergeCell ref="C103:AD103"/>
    <mergeCell ref="A105:D105"/>
    <mergeCell ref="C106:T106"/>
    <mergeCell ref="A75:D75"/>
    <mergeCell ref="C76:AD76"/>
    <mergeCell ref="A95:D95"/>
    <mergeCell ref="C96:AD96"/>
    <mergeCell ref="Y12:AC12"/>
    <mergeCell ref="AD12:AD13"/>
    <mergeCell ref="B14:AD14"/>
    <mergeCell ref="C15:AD15"/>
    <mergeCell ref="A22:D22"/>
    <mergeCell ref="C23:AD23"/>
    <mergeCell ref="A9:AD9"/>
    <mergeCell ref="A11:A13"/>
    <mergeCell ref="B11:B13"/>
    <mergeCell ref="C11:C13"/>
    <mergeCell ref="D11:D13"/>
    <mergeCell ref="E11:AD11"/>
    <mergeCell ref="E12:I12"/>
    <mergeCell ref="J12:N12"/>
    <mergeCell ref="O12:S12"/>
    <mergeCell ref="T12:X12"/>
    <mergeCell ref="AA1:AE1"/>
    <mergeCell ref="K6:N6"/>
    <mergeCell ref="P6:S6"/>
    <mergeCell ref="Z6:AD6"/>
    <mergeCell ref="K7:N7"/>
    <mergeCell ref="P7:S7"/>
    <mergeCell ref="X7:AD8"/>
    <mergeCell ref="D91:D92"/>
    <mergeCell ref="D93:D94"/>
    <mergeCell ref="A91:A92"/>
    <mergeCell ref="A93:A94"/>
    <mergeCell ref="B91:B92"/>
    <mergeCell ref="B93:B94"/>
    <mergeCell ref="C91:C92"/>
    <mergeCell ref="C93:C94"/>
  </mergeCells>
  <printOptions/>
  <pageMargins left="0.2362204724409449" right="0.2362204724409449" top="0.35433070866141736" bottom="0.1968503937007874" header="0.31496062992125984" footer="0.11811023622047245"/>
  <pageSetup fitToHeight="0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Костерин</dc:creator>
  <cp:keywords/>
  <dc:description/>
  <cp:lastModifiedBy>Юдина Юлия Валентиновна</cp:lastModifiedBy>
  <cp:lastPrinted>2023-01-17T05:09:02Z</cp:lastPrinted>
  <dcterms:created xsi:type="dcterms:W3CDTF">2013-05-15T08:50:57Z</dcterms:created>
  <dcterms:modified xsi:type="dcterms:W3CDTF">2023-03-23T12:05:38Z</dcterms:modified>
  <cp:category/>
  <cp:version/>
  <cp:contentType/>
  <cp:contentStatus/>
</cp:coreProperties>
</file>