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60" windowHeight="8070" tabRatio="874" activeTab="0"/>
  </bookViews>
  <sheets>
    <sheet name="Прил." sheetId="1" r:id="rId1"/>
  </sheets>
  <definedNames>
    <definedName name="_xlnm.Print_Titles" localSheetId="0">'Прил.'!$2:$5</definedName>
    <definedName name="_xlnm.Print_Area" localSheetId="0">'Прил.'!$A$1:$AD$103</definedName>
  </definedNames>
  <calcPr fullCalcOnLoad="1"/>
</workbook>
</file>

<file path=xl/sharedStrings.xml><?xml version="1.0" encoding="utf-8"?>
<sst xmlns="http://schemas.openxmlformats.org/spreadsheetml/2006/main" count="251" uniqueCount="136">
  <si>
    <t>1.1</t>
  </si>
  <si>
    <t>1.2</t>
  </si>
  <si>
    <t>1.3</t>
  </si>
  <si>
    <t>2.1</t>
  </si>
  <si>
    <t>4.1</t>
  </si>
  <si>
    <t>Сроки реализации</t>
  </si>
  <si>
    <t>ИТОГО</t>
  </si>
  <si>
    <t>Всего</t>
  </si>
  <si>
    <t>Местный бюджет</t>
  </si>
  <si>
    <t>Областной бюджет</t>
  </si>
  <si>
    <t>ДГХ</t>
  </si>
  <si>
    <t>Итого по задаче 1:</t>
  </si>
  <si>
    <t>Итого по задаче 2: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</si>
  <si>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</si>
  <si>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</si>
  <si>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</si>
  <si>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</si>
  <si>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</si>
  <si>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</si>
  <si>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</si>
  <si>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Обеспечение водоснабжения</t>
  </si>
  <si>
    <t>3.1</t>
  </si>
  <si>
    <t>3.2</t>
  </si>
  <si>
    <t>3.3</t>
  </si>
  <si>
    <t>3.4</t>
  </si>
  <si>
    <t>3.5</t>
  </si>
  <si>
    <t>3.6</t>
  </si>
  <si>
    <t>Текущий ремонт памятных мест</t>
  </si>
  <si>
    <t>Федеральный бюджет</t>
  </si>
  <si>
    <t>Внебюджетные средства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</si>
  <si>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</si>
  <si>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</si>
  <si>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</si>
  <si>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</si>
  <si>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</si>
  <si>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</si>
  <si>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Задача 3: Содержание мест погребения (мест захоронения) городского округа Тольятти </t>
  </si>
  <si>
    <t>3.7</t>
  </si>
  <si>
    <t xml:space="preserve"> ДГХ</t>
  </si>
  <si>
    <t xml:space="preserve"> ДГХ </t>
  </si>
  <si>
    <t>№ п/п</t>
  </si>
  <si>
    <t xml:space="preserve">Наименование целей, задач и мероприятий муниципальной программы  </t>
  </si>
  <si>
    <t>Ответсвенный исполнитель</t>
  </si>
  <si>
    <t>Финансовое обеспечение реализации муниципальной программы, тыс. руб.</t>
  </si>
  <si>
    <t>Подготовка мест проведения праздничных мероприятий</t>
  </si>
  <si>
    <t>2.4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</si>
  <si>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</si>
  <si>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</si>
  <si>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</si>
  <si>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</si>
  <si>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</si>
  <si>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2020-2024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</si>
  <si>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</si>
  <si>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</si>
  <si>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Содержание  территории парков города</t>
  </si>
  <si>
    <t>Перечень мероприятий муниципальной программы "Тольятти - чистый город на 2020-2024 годы"</t>
  </si>
  <si>
    <t>Содержание  объектов озеленения</t>
  </si>
  <si>
    <t>Содержание автодорог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</si>
  <si>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</si>
  <si>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</si>
  <si>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</si>
  <si>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</si>
  <si>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</si>
  <si>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</si>
  <si>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</si>
  <si>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</si>
  <si>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</si>
  <si>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</si>
  <si>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</si>
  <si>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</si>
  <si>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</si>
  <si>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</si>
  <si>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</si>
  <si>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</si>
  <si>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</si>
  <si>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 xml:space="preserve">Осуществление деятельности по обращению с животными без владельцев 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</si>
  <si>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</si>
  <si>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</si>
  <si>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</si>
  <si>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</si>
  <si>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</si>
  <si>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</si>
  <si>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</si>
  <si>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</si>
  <si>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</si>
  <si>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</si>
  <si>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3.8</t>
  </si>
  <si>
    <t>2020-2022</t>
  </si>
  <si>
    <t>Захоронение смета</t>
  </si>
  <si>
    <t>Транспортные услуги по вывозу смета</t>
  </si>
  <si>
    <t>Приобретение мусоросборников, предназначенных для складирования ТКО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</si>
  <si>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</si>
  <si>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</si>
  <si>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</si>
  <si>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</si>
  <si>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2021-2024</t>
  </si>
  <si>
    <t>Освобождение земельных участков и благоустройство после сноса (демонтаж сооружений)</t>
  </si>
  <si>
    <t>Дератизация территории кладбищ</t>
  </si>
  <si>
    <t>Ремонт территории воинских захоронений, захоронений участников Великой Отечественной войны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</si>
  <si>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</si>
  <si>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</si>
  <si>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</si>
  <si>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</si>
  <si>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</si>
  <si>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</si>
  <si>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</si>
  <si>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>ДК</t>
  </si>
  <si>
    <t>ДО</t>
  </si>
  <si>
    <t>УФиС</t>
  </si>
  <si>
    <t>Х</t>
  </si>
  <si>
    <t>Уход за зелеными насаждениями</t>
  </si>
  <si>
    <t xml:space="preserve">Акарицидная обработка </t>
  </si>
  <si>
    <t>Итого по задаче 6 без учета оплаты ранее принятых обязательств:</t>
  </si>
  <si>
    <t xml:space="preserve">Дератизация набережной Комсомольского района и территорий общего пользования </t>
  </si>
  <si>
    <t>Инвентаризация захоронений</t>
  </si>
  <si>
    <t>3.12</t>
  </si>
  <si>
    <t>2021</t>
  </si>
  <si>
    <t>Обращение с твердыми коммунальными отходами, содержание контейнерных площадок</t>
  </si>
  <si>
    <t>Итого по Программе без учета оплаты ранее принятых обязательств:</t>
  </si>
  <si>
    <t>Оплата ранее принятых обязательств по Программе:</t>
  </si>
  <si>
    <t>Оплата ранее принятых обязательств по задаче 6:</t>
  </si>
  <si>
    <t>Итого по Программе  с учетом оплаты ранее принятых обязательств:</t>
  </si>
  <si>
    <t>Оплата ранее принятых обязательств</t>
  </si>
  <si>
    <t>2020-2021</t>
  </si>
  <si>
    <t>2020</t>
  </si>
  <si>
    <t>Ремонт автомобильных дорог (текущий ремонт внутриквартальных проездов, тротуаров)</t>
  </si>
  <si>
    <t>1.15</t>
  </si>
  <si>
    <t>Ремонт покрытий проездов и пешеходных дорожек, ремонт автомобильных дорог (ремонт проездов, пешеходных дорожек)</t>
  </si>
  <si>
    <t>1.16</t>
  </si>
  <si>
    <t>Предоставление субсидий на иные цели в целях реализации мероприятий,  не включенных в муниципальное задание учреждений</t>
  </si>
  <si>
    <t>2020,2021, 2024</t>
  </si>
  <si>
    <t>2024</t>
  </si>
  <si>
    <t xml:space="preserve">Итого по задаче 5 </t>
  </si>
  <si>
    <t>6.6</t>
  </si>
  <si>
    <t>2022</t>
  </si>
  <si>
    <t>Санитарная очистка территорий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</si>
</sst>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  <numFmt numFmtId="221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0" fontId="6" fillId="32" borderId="0" xfId="0" applyNumberFormat="1" applyFont="1" applyFill="1" applyAlignment="1">
      <alignment vertical="center" wrapText="1"/>
    </xf>
    <xf numFmtId="186" fontId="9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9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215" fontId="6" fillId="32" borderId="0" xfId="0" applyNumberFormat="1" applyFont="1" applyFill="1" applyAlignment="1">
      <alignment vertical="center" wrapText="1"/>
    </xf>
    <xf numFmtId="186" fontId="12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186" fontId="10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86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186" fontId="11" fillId="32" borderId="0" xfId="0" applyNumberFormat="1" applyFont="1" applyFill="1" applyBorder="1" applyAlignment="1">
      <alignment horizontal="center" vertical="center" wrapText="1"/>
    </xf>
    <xf numFmtId="186" fontId="4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Alignment="1">
      <alignment vertical="center" wrapText="1"/>
    </xf>
    <xf numFmtId="2" fontId="9" fillId="32" borderId="0" xfId="0" applyNumberFormat="1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2" fontId="9" fillId="32" borderId="0" xfId="0" applyNumberFormat="1" applyFont="1" applyFill="1" applyBorder="1" applyAlignment="1">
      <alignment vertical="center" wrapText="1"/>
    </xf>
    <xf numFmtId="220" fontId="6" fillId="32" borderId="0" xfId="0" applyNumberFormat="1" applyFont="1" applyFill="1" applyAlignment="1">
      <alignment vertical="center" wrapText="1"/>
    </xf>
    <xf numFmtId="220" fontId="6" fillId="33" borderId="0" xfId="0" applyNumberFormat="1" applyFont="1" applyFill="1" applyAlignment="1">
      <alignment vertical="center" wrapText="1"/>
    </xf>
    <xf numFmtId="186" fontId="11" fillId="32" borderId="10" xfId="0" applyNumberFormat="1" applyFont="1" applyFill="1" applyBorder="1" applyAlignment="1">
      <alignment horizontal="center" vertical="center" wrapText="1"/>
    </xf>
    <xf numFmtId="186" fontId="50" fillId="32" borderId="0" xfId="0" applyNumberFormat="1" applyFont="1" applyFill="1" applyAlignment="1">
      <alignment horizontal="center" vertical="center"/>
    </xf>
    <xf numFmtId="3" fontId="9" fillId="32" borderId="0" xfId="0" applyNumberFormat="1" applyFont="1" applyFill="1" applyAlignment="1">
      <alignment vertical="center" wrapText="1"/>
    </xf>
    <xf numFmtId="220" fontId="9" fillId="32" borderId="0" xfId="0" applyNumberFormat="1" applyFont="1" applyFill="1" applyAlignment="1">
      <alignment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horizontal="right" vertical="center" wrapText="1"/>
    </xf>
    <xf numFmtId="178" fontId="6" fillId="32" borderId="0" xfId="0" applyNumberFormat="1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2" fontId="10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51" fillId="32" borderId="0" xfId="0" applyFont="1" applyFill="1" applyAlignment="1">
      <alignment/>
    </xf>
    <xf numFmtId="0" fontId="6" fillId="32" borderId="11" xfId="0" applyFont="1" applyFill="1" applyBorder="1" applyAlignment="1">
      <alignment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186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83" fontId="11" fillId="0" borderId="10" xfId="67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6" fontId="50" fillId="0" borderId="10" xfId="0" applyNumberFormat="1" applyFont="1" applyFill="1" applyBorder="1" applyAlignment="1">
      <alignment horizontal="center" vertical="center" wrapText="1"/>
    </xf>
    <xf numFmtId="186" fontId="5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86" fontId="13" fillId="0" borderId="16" xfId="0" applyNumberFormat="1" applyFont="1" applyFill="1" applyBorder="1" applyAlignment="1">
      <alignment horizontal="center" vertical="center" wrapText="1"/>
    </xf>
    <xf numFmtId="186" fontId="13" fillId="0" borderId="17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Alignment="1">
      <alignment horizontal="left" vertical="center" wrapText="1"/>
    </xf>
    <xf numFmtId="186" fontId="50" fillId="32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186" fontId="13" fillId="32" borderId="10" xfId="0" applyNumberFormat="1" applyFont="1" applyFill="1" applyBorder="1" applyAlignment="1">
      <alignment horizontal="center" vertical="center" wrapText="1"/>
    </xf>
    <xf numFmtId="186" fontId="13" fillId="32" borderId="16" xfId="0" applyNumberFormat="1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86" fontId="12" fillId="0" borderId="11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186" fontId="12" fillId="0" borderId="0" xfId="0" applyNumberFormat="1" applyFont="1" applyFill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6" fillId="32" borderId="0" xfId="0" applyNumberFormat="1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2" fontId="11" fillId="0" borderId="13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9"/>
  <sheetViews>
    <sheetView tabSelected="1" zoomScale="75" zoomScaleNormal="75" zoomScaleSheetLayoutView="75" zoomScalePageLayoutView="75" workbookViewId="0" topLeftCell="A1">
      <pane ySplit="5" topLeftCell="A15" activePane="bottomLeft" state="frozen"/>
      <selection pane="topLeft" activeCell="A1" sqref="A1"/>
      <selection pane="bottomLeft" activeCell="AF25" sqref="AF25"/>
    </sheetView>
  </sheetViews>
  <sheetFormatPr defaultColWidth="9.140625" defaultRowHeight="15"/>
  <cols>
    <col min="1" max="1" width="6.00390625" style="18" customWidth="1"/>
    <col min="2" max="2" width="20.140625" style="1" customWidth="1"/>
    <col min="3" max="3" width="11.8515625" style="1" customWidth="1"/>
    <col min="4" max="4" width="9.421875" style="18" customWidth="1"/>
    <col min="5" max="5" width="8.57421875" style="1" customWidth="1"/>
    <col min="6" max="6" width="9.57421875" style="1" customWidth="1"/>
    <col min="7" max="7" width="7.7109375" style="1" customWidth="1"/>
    <col min="8" max="8" width="7.421875" style="1" customWidth="1"/>
    <col min="9" max="9" width="6.7109375" style="1" customWidth="1"/>
    <col min="10" max="10" width="9.00390625" style="1" customWidth="1"/>
    <col min="11" max="11" width="9.140625" style="1" customWidth="1"/>
    <col min="12" max="12" width="7.421875" style="1" customWidth="1"/>
    <col min="13" max="13" width="4.8515625" style="1" customWidth="1"/>
    <col min="14" max="14" width="5.00390625" style="1" customWidth="1"/>
    <col min="15" max="16" width="9.00390625" style="24" customWidth="1"/>
    <col min="17" max="17" width="7.140625" style="24" customWidth="1"/>
    <col min="18" max="18" width="4.421875" style="24" customWidth="1"/>
    <col min="19" max="19" width="4.28125" style="24" customWidth="1"/>
    <col min="20" max="20" width="9.421875" style="24" customWidth="1"/>
    <col min="21" max="21" width="9.8515625" style="24" customWidth="1"/>
    <col min="22" max="22" width="7.00390625" style="24" customWidth="1"/>
    <col min="23" max="23" width="6.00390625" style="24" customWidth="1"/>
    <col min="24" max="24" width="5.140625" style="24" customWidth="1"/>
    <col min="25" max="26" width="9.8515625" style="24" customWidth="1"/>
    <col min="27" max="27" width="7.28125" style="24" customWidth="1"/>
    <col min="28" max="28" width="4.28125" style="24" customWidth="1"/>
    <col min="29" max="29" width="5.00390625" style="24" customWidth="1"/>
    <col min="30" max="30" width="11.00390625" style="24" customWidth="1"/>
    <col min="31" max="31" width="22.28125" style="1" customWidth="1"/>
    <col min="32" max="32" width="25.28125" style="1" customWidth="1"/>
    <col min="33" max="33" width="12.140625" style="1" customWidth="1"/>
    <col min="34" max="34" width="10.421875" style="1" customWidth="1"/>
    <col min="35" max="35" width="12.140625" style="19" customWidth="1"/>
    <col min="36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43" width="9.140625" style="1" customWidth="1"/>
    <col min="44" max="44" width="14.8515625" style="1" customWidth="1"/>
    <col min="45" max="45" width="14.00390625" style="1" customWidth="1"/>
    <col min="46" max="46" width="12.140625" style="1" customWidth="1"/>
    <col min="47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56" width="12.8515625" style="1" customWidth="1"/>
    <col min="57" max="57" width="16.28125" style="1" customWidth="1"/>
    <col min="58" max="58" width="11.28125" style="1" customWidth="1"/>
    <col min="59" max="59" width="9.140625" style="1" customWidth="1"/>
    <col min="60" max="60" width="13.421875" style="1" customWidth="1"/>
    <col min="61" max="61" width="9.140625" style="1" customWidth="1"/>
    <col min="62" max="62" width="12.140625" style="1" bestFit="1" customWidth="1"/>
    <col min="63" max="64" width="9.140625" style="1" customWidth="1"/>
    <col min="65" max="65" width="10.57421875" style="1" bestFit="1" customWidth="1"/>
    <col min="66" max="16384" width="9.140625" style="1" customWidth="1"/>
  </cols>
  <sheetData>
    <row r="1" spans="1:30" ht="34.5" customHeight="1" thickBot="1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15.75" customHeight="1">
      <c r="A2" s="101" t="s">
        <v>40</v>
      </c>
      <c r="B2" s="109" t="s">
        <v>41</v>
      </c>
      <c r="C2" s="109" t="s">
        <v>42</v>
      </c>
      <c r="D2" s="104" t="s">
        <v>5</v>
      </c>
      <c r="E2" s="106" t="s">
        <v>43</v>
      </c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</row>
    <row r="3" spans="1:30" ht="15.75" customHeight="1">
      <c r="A3" s="102"/>
      <c r="B3" s="110"/>
      <c r="C3" s="110"/>
      <c r="D3" s="105"/>
      <c r="E3" s="103" t="s">
        <v>46</v>
      </c>
      <c r="F3" s="103"/>
      <c r="G3" s="103"/>
      <c r="H3" s="103"/>
      <c r="I3" s="103"/>
      <c r="J3" s="103" t="s">
        <v>47</v>
      </c>
      <c r="K3" s="103"/>
      <c r="L3" s="103"/>
      <c r="M3" s="103"/>
      <c r="N3" s="103"/>
      <c r="O3" s="103" t="s">
        <v>48</v>
      </c>
      <c r="P3" s="103"/>
      <c r="Q3" s="103"/>
      <c r="R3" s="103"/>
      <c r="S3" s="103"/>
      <c r="T3" s="103" t="s">
        <v>49</v>
      </c>
      <c r="U3" s="103"/>
      <c r="V3" s="103"/>
      <c r="W3" s="103"/>
      <c r="X3" s="103"/>
      <c r="Y3" s="103" t="s">
        <v>50</v>
      </c>
      <c r="Z3" s="103"/>
      <c r="AA3" s="103"/>
      <c r="AB3" s="103"/>
      <c r="AC3" s="103"/>
      <c r="AD3" s="123" t="s">
        <v>6</v>
      </c>
    </row>
    <row r="4" spans="1:45" ht="76.5" customHeight="1">
      <c r="A4" s="102"/>
      <c r="B4" s="110"/>
      <c r="C4" s="110"/>
      <c r="D4" s="105"/>
      <c r="E4" s="52" t="s">
        <v>7</v>
      </c>
      <c r="F4" s="52" t="s">
        <v>8</v>
      </c>
      <c r="G4" s="52" t="s">
        <v>9</v>
      </c>
      <c r="H4" s="52" t="s">
        <v>28</v>
      </c>
      <c r="I4" s="52" t="s">
        <v>29</v>
      </c>
      <c r="J4" s="52" t="s">
        <v>7</v>
      </c>
      <c r="K4" s="52" t="s">
        <v>8</v>
      </c>
      <c r="L4" s="52" t="s">
        <v>9</v>
      </c>
      <c r="M4" s="52" t="s">
        <v>28</v>
      </c>
      <c r="N4" s="52" t="s">
        <v>29</v>
      </c>
      <c r="O4" s="52" t="s">
        <v>7</v>
      </c>
      <c r="P4" s="52" t="s">
        <v>8</v>
      </c>
      <c r="Q4" s="52" t="s">
        <v>9</v>
      </c>
      <c r="R4" s="52" t="s">
        <v>28</v>
      </c>
      <c r="S4" s="52" t="s">
        <v>29</v>
      </c>
      <c r="T4" s="52" t="s">
        <v>7</v>
      </c>
      <c r="U4" s="52" t="s">
        <v>8</v>
      </c>
      <c r="V4" s="52" t="s">
        <v>9</v>
      </c>
      <c r="W4" s="52" t="s">
        <v>28</v>
      </c>
      <c r="X4" s="52" t="s">
        <v>29</v>
      </c>
      <c r="Y4" s="52" t="s">
        <v>7</v>
      </c>
      <c r="Z4" s="52" t="s">
        <v>8</v>
      </c>
      <c r="AA4" s="52" t="s">
        <v>9</v>
      </c>
      <c r="AB4" s="52" t="s">
        <v>28</v>
      </c>
      <c r="AC4" s="52" t="s">
        <v>29</v>
      </c>
      <c r="AD4" s="123"/>
      <c r="AF4" s="7"/>
      <c r="AS4" s="34"/>
    </row>
    <row r="5" spans="1:37" ht="27.75" customHeight="1">
      <c r="A5" s="54">
        <v>1</v>
      </c>
      <c r="B5" s="52">
        <v>2</v>
      </c>
      <c r="C5" s="52">
        <v>3</v>
      </c>
      <c r="D5" s="51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  <c r="P5" s="52">
        <v>16</v>
      </c>
      <c r="Q5" s="52">
        <v>17</v>
      </c>
      <c r="R5" s="52">
        <v>18</v>
      </c>
      <c r="S5" s="52">
        <v>19</v>
      </c>
      <c r="T5" s="52">
        <v>20</v>
      </c>
      <c r="U5" s="52">
        <v>21</v>
      </c>
      <c r="V5" s="52">
        <v>22</v>
      </c>
      <c r="W5" s="52">
        <v>23</v>
      </c>
      <c r="X5" s="52">
        <v>24</v>
      </c>
      <c r="Y5" s="52">
        <v>25</v>
      </c>
      <c r="Z5" s="52">
        <v>26</v>
      </c>
      <c r="AA5" s="52">
        <v>27</v>
      </c>
      <c r="AB5" s="52">
        <v>28</v>
      </c>
      <c r="AC5" s="52">
        <v>29</v>
      </c>
      <c r="AD5" s="53">
        <v>30</v>
      </c>
      <c r="AJ5" s="2"/>
      <c r="AK5" s="2"/>
    </row>
    <row r="6" spans="1:46" ht="28.5" customHeight="1">
      <c r="A6" s="128" t="s">
        <v>72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  <c r="AK6" s="34"/>
      <c r="AR6" s="35"/>
      <c r="AT6" s="34"/>
    </row>
    <row r="7" spans="1:55" ht="26.25" customHeight="1">
      <c r="A7" s="114" t="s">
        <v>59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  <c r="AM7" s="10"/>
      <c r="BC7" s="2"/>
    </row>
    <row r="8" spans="1:60" ht="30.75" customHeight="1">
      <c r="A8" s="131" t="s">
        <v>0</v>
      </c>
      <c r="B8" s="99" t="s">
        <v>78</v>
      </c>
      <c r="C8" s="52" t="s">
        <v>10</v>
      </c>
      <c r="D8" s="51" t="s">
        <v>51</v>
      </c>
      <c r="E8" s="49">
        <f aca="true" t="shared" si="0" ref="E8:E30">F8+G8+H8+I8</f>
        <v>45433.3</v>
      </c>
      <c r="F8" s="49">
        <v>45433.3</v>
      </c>
      <c r="G8" s="49">
        <v>0</v>
      </c>
      <c r="H8" s="49">
        <v>0</v>
      </c>
      <c r="I8" s="49">
        <v>0</v>
      </c>
      <c r="J8" s="49">
        <f>K8+L8+M8+N8</f>
        <v>50205.3</v>
      </c>
      <c r="K8" s="36">
        <f>45433.3+4772</f>
        <v>50205.3</v>
      </c>
      <c r="L8" s="49">
        <v>0</v>
      </c>
      <c r="M8" s="49">
        <v>0</v>
      </c>
      <c r="N8" s="49">
        <v>0</v>
      </c>
      <c r="O8" s="49">
        <f>P8+Q8+R8+S8</f>
        <v>49479</v>
      </c>
      <c r="P8" s="49">
        <f>45433.3+4045.7</f>
        <v>49479</v>
      </c>
      <c r="Q8" s="49">
        <v>0</v>
      </c>
      <c r="R8" s="49">
        <v>0</v>
      </c>
      <c r="S8" s="49">
        <v>0</v>
      </c>
      <c r="T8" s="49">
        <f>U8+V8+W8+X8</f>
        <v>54953.3</v>
      </c>
      <c r="U8" s="49">
        <f>50205.3+4045.7+702.3</f>
        <v>54953.3</v>
      </c>
      <c r="V8" s="49">
        <v>0</v>
      </c>
      <c r="W8" s="49">
        <v>0</v>
      </c>
      <c r="X8" s="49">
        <v>0</v>
      </c>
      <c r="Y8" s="49">
        <f>Z8+AA8+AB8+AC8</f>
        <v>54953.3</v>
      </c>
      <c r="Z8" s="49">
        <f>50205.3+4045.7+702.3</f>
        <v>54953.3</v>
      </c>
      <c r="AA8" s="49">
        <v>0</v>
      </c>
      <c r="AB8" s="49">
        <v>0</v>
      </c>
      <c r="AC8" s="49">
        <v>0</v>
      </c>
      <c r="AD8" s="50">
        <f>Y8+T8+O8+J8+E8</f>
        <v>255024.2</v>
      </c>
      <c r="AE8" s="2"/>
      <c r="AF8" s="2"/>
      <c r="AR8" s="2"/>
      <c r="AS8" s="2"/>
      <c r="BB8" s="2"/>
      <c r="BD8" s="36"/>
      <c r="BE8" s="2"/>
      <c r="BF8" s="2"/>
      <c r="BH8" s="2"/>
    </row>
    <row r="9" spans="1:63" ht="41.25" customHeight="1">
      <c r="A9" s="131"/>
      <c r="B9" s="99"/>
      <c r="C9" s="52" t="s">
        <v>85</v>
      </c>
      <c r="D9" s="51" t="s">
        <v>51</v>
      </c>
      <c r="E9" s="49">
        <f t="shared" si="0"/>
        <v>28059.5</v>
      </c>
      <c r="F9" s="49">
        <f>28059.5</f>
        <v>28059.5</v>
      </c>
      <c r="G9" s="49">
        <v>0</v>
      </c>
      <c r="H9" s="49">
        <v>0</v>
      </c>
      <c r="I9" s="49">
        <v>0</v>
      </c>
      <c r="J9" s="49">
        <f>K9+L9+M9+N9</f>
        <v>28355</v>
      </c>
      <c r="K9" s="36">
        <v>28355</v>
      </c>
      <c r="L9" s="49">
        <v>0</v>
      </c>
      <c r="M9" s="49">
        <v>0</v>
      </c>
      <c r="N9" s="49">
        <v>0</v>
      </c>
      <c r="O9" s="49">
        <f>P9+Q9+R9+S9</f>
        <v>32069</v>
      </c>
      <c r="P9" s="49">
        <v>32069</v>
      </c>
      <c r="Q9" s="49">
        <v>0</v>
      </c>
      <c r="R9" s="49">
        <v>0</v>
      </c>
      <c r="S9" s="49">
        <v>0</v>
      </c>
      <c r="T9" s="49">
        <f>U9+V9+W9+X9</f>
        <v>32070</v>
      </c>
      <c r="U9" s="49">
        <v>32070</v>
      </c>
      <c r="V9" s="49">
        <v>0</v>
      </c>
      <c r="W9" s="49">
        <v>0</v>
      </c>
      <c r="X9" s="49">
        <v>0</v>
      </c>
      <c r="Y9" s="49">
        <f>Z9+AA9+AB9+AC9</f>
        <v>32070</v>
      </c>
      <c r="Z9" s="49">
        <v>32070</v>
      </c>
      <c r="AA9" s="49">
        <v>0</v>
      </c>
      <c r="AB9" s="49">
        <v>0</v>
      </c>
      <c r="AC9" s="49">
        <v>0</v>
      </c>
      <c r="AD9" s="50">
        <f aca="true" t="shared" si="1" ref="AD9:AD29">Y9+T9+O9+J9+E9</f>
        <v>152623.5</v>
      </c>
      <c r="AE9" s="2"/>
      <c r="AF9" s="2"/>
      <c r="AG9" s="2"/>
      <c r="AJ9" s="2"/>
      <c r="AM9" s="2"/>
      <c r="AR9" s="2"/>
      <c r="BA9" s="2"/>
      <c r="BB9" s="2"/>
      <c r="BD9" s="36"/>
      <c r="BE9" s="41"/>
      <c r="BF9" s="97"/>
      <c r="BG9" s="97"/>
      <c r="BH9" s="97"/>
      <c r="BI9" s="97"/>
      <c r="BJ9" s="97"/>
      <c r="BK9" s="97"/>
    </row>
    <row r="10" spans="1:63" ht="34.5" customHeight="1">
      <c r="A10" s="98" t="s">
        <v>1</v>
      </c>
      <c r="B10" s="99" t="s">
        <v>79</v>
      </c>
      <c r="C10" s="52" t="s">
        <v>10</v>
      </c>
      <c r="D10" s="51" t="s">
        <v>51</v>
      </c>
      <c r="E10" s="49">
        <f t="shared" si="0"/>
        <v>55397.7</v>
      </c>
      <c r="F10" s="49">
        <f>64141-8743.3</f>
        <v>55397.7</v>
      </c>
      <c r="G10" s="49">
        <v>0</v>
      </c>
      <c r="H10" s="49">
        <v>0</v>
      </c>
      <c r="I10" s="49">
        <v>0</v>
      </c>
      <c r="J10" s="49">
        <f>K10+L10+M10+N10</f>
        <v>64141</v>
      </c>
      <c r="K10" s="36">
        <v>64141</v>
      </c>
      <c r="L10" s="49">
        <v>0</v>
      </c>
      <c r="M10" s="49">
        <v>0</v>
      </c>
      <c r="N10" s="49">
        <v>0</v>
      </c>
      <c r="O10" s="49">
        <f>P10+Q10+R10+S10</f>
        <v>64141</v>
      </c>
      <c r="P10" s="49">
        <v>64141</v>
      </c>
      <c r="Q10" s="49">
        <v>0</v>
      </c>
      <c r="R10" s="49">
        <v>0</v>
      </c>
      <c r="S10" s="49">
        <v>0</v>
      </c>
      <c r="T10" s="49">
        <f>U10+V10+W10+X10</f>
        <v>64141</v>
      </c>
      <c r="U10" s="49">
        <v>64141</v>
      </c>
      <c r="V10" s="49">
        <v>0</v>
      </c>
      <c r="W10" s="49">
        <v>0</v>
      </c>
      <c r="X10" s="49">
        <v>0</v>
      </c>
      <c r="Y10" s="49">
        <f>Z10+AA10+AB10+AC10</f>
        <v>64141</v>
      </c>
      <c r="Z10" s="49">
        <v>64141</v>
      </c>
      <c r="AA10" s="49">
        <v>0</v>
      </c>
      <c r="AB10" s="49">
        <v>0</v>
      </c>
      <c r="AC10" s="49">
        <v>0</v>
      </c>
      <c r="AD10" s="50">
        <f t="shared" si="1"/>
        <v>311961.7</v>
      </c>
      <c r="AE10" s="2"/>
      <c r="AF10" s="2"/>
      <c r="AM10" s="2"/>
      <c r="AR10" s="2"/>
      <c r="AT10" s="2"/>
      <c r="BA10" s="2"/>
      <c r="BB10" s="2"/>
      <c r="BD10" s="36"/>
      <c r="BE10" s="34"/>
      <c r="BF10" s="97"/>
      <c r="BG10" s="97"/>
      <c r="BH10" s="97"/>
      <c r="BI10" s="97"/>
      <c r="BJ10" s="97"/>
      <c r="BK10" s="97"/>
    </row>
    <row r="11" spans="1:63" ht="33.75" customHeight="1">
      <c r="A11" s="100"/>
      <c r="B11" s="99"/>
      <c r="C11" s="52" t="s">
        <v>85</v>
      </c>
      <c r="D11" s="51" t="s">
        <v>51</v>
      </c>
      <c r="E11" s="49">
        <f t="shared" si="0"/>
        <v>34261</v>
      </c>
      <c r="F11" s="49">
        <f>30000.4+4250-1076+921+165.6</f>
        <v>34261</v>
      </c>
      <c r="G11" s="49">
        <v>0</v>
      </c>
      <c r="H11" s="49">
        <v>0</v>
      </c>
      <c r="I11" s="49">
        <v>0</v>
      </c>
      <c r="J11" s="49">
        <f aca="true" t="shared" si="2" ref="J11:J21">K11+L11+M11+N11</f>
        <v>29106</v>
      </c>
      <c r="K11" s="36">
        <f>29086+20</f>
        <v>29106</v>
      </c>
      <c r="L11" s="49">
        <v>0</v>
      </c>
      <c r="M11" s="49">
        <v>0</v>
      </c>
      <c r="N11" s="49">
        <v>0</v>
      </c>
      <c r="O11" s="49">
        <f>P11+Q11+R11+S11</f>
        <v>35346</v>
      </c>
      <c r="P11" s="49">
        <v>35346</v>
      </c>
      <c r="Q11" s="49">
        <v>0</v>
      </c>
      <c r="R11" s="49">
        <v>0</v>
      </c>
      <c r="S11" s="49">
        <v>0</v>
      </c>
      <c r="T11" s="49">
        <f>U11+V11+W11+X11</f>
        <v>34433</v>
      </c>
      <c r="U11" s="49">
        <v>34433</v>
      </c>
      <c r="V11" s="49">
        <v>0</v>
      </c>
      <c r="W11" s="49">
        <v>0</v>
      </c>
      <c r="X11" s="49">
        <v>0</v>
      </c>
      <c r="Y11" s="49">
        <f>Z11+AA11+AB11+AC11</f>
        <v>34433</v>
      </c>
      <c r="Z11" s="49">
        <v>34433</v>
      </c>
      <c r="AA11" s="49">
        <v>0</v>
      </c>
      <c r="AB11" s="49">
        <v>0</v>
      </c>
      <c r="AC11" s="49">
        <v>0</v>
      </c>
      <c r="AD11" s="50">
        <f t="shared" si="1"/>
        <v>167579</v>
      </c>
      <c r="AE11" s="2"/>
      <c r="AF11" s="2"/>
      <c r="AK11" s="18"/>
      <c r="AM11" s="2"/>
      <c r="AR11" s="2"/>
      <c r="AS11" s="2"/>
      <c r="BA11" s="2"/>
      <c r="BB11" s="2"/>
      <c r="BD11" s="36"/>
      <c r="BE11" s="2"/>
      <c r="BF11" s="97"/>
      <c r="BG11" s="97"/>
      <c r="BH11" s="97"/>
      <c r="BI11" s="97"/>
      <c r="BJ11" s="97"/>
      <c r="BK11" s="97"/>
    </row>
    <row r="12" spans="1:63" s="9" customFormat="1" ht="24.75" customHeight="1">
      <c r="A12" s="132" t="s">
        <v>2</v>
      </c>
      <c r="B12" s="99" t="s">
        <v>57</v>
      </c>
      <c r="C12" s="52" t="s">
        <v>10</v>
      </c>
      <c r="D12" s="51" t="s">
        <v>51</v>
      </c>
      <c r="E12" s="49">
        <f t="shared" si="0"/>
        <v>34609.3</v>
      </c>
      <c r="F12" s="55">
        <v>34609.3</v>
      </c>
      <c r="G12" s="49">
        <v>0</v>
      </c>
      <c r="H12" s="49">
        <v>0</v>
      </c>
      <c r="I12" s="49">
        <v>0</v>
      </c>
      <c r="J12" s="49">
        <f t="shared" si="2"/>
        <v>43855</v>
      </c>
      <c r="K12" s="84">
        <f>34609.3+3176+6069.7</f>
        <v>43855</v>
      </c>
      <c r="L12" s="49">
        <v>0</v>
      </c>
      <c r="M12" s="49">
        <v>0</v>
      </c>
      <c r="N12" s="49">
        <v>0</v>
      </c>
      <c r="O12" s="49">
        <f>P12+G12+H12+I12</f>
        <v>36709.3</v>
      </c>
      <c r="P12" s="55">
        <f>34609.3+2100</f>
        <v>36709.3</v>
      </c>
      <c r="Q12" s="49">
        <v>0</v>
      </c>
      <c r="R12" s="49">
        <v>0</v>
      </c>
      <c r="S12" s="49">
        <v>0</v>
      </c>
      <c r="T12" s="49">
        <f>U12+L12+M12+N12</f>
        <v>45955</v>
      </c>
      <c r="U12" s="55">
        <f>43855+2100</f>
        <v>45955</v>
      </c>
      <c r="V12" s="49">
        <v>0</v>
      </c>
      <c r="W12" s="49">
        <v>0</v>
      </c>
      <c r="X12" s="49">
        <v>0</v>
      </c>
      <c r="Y12" s="49">
        <f>Z12+Q12+R12+S12</f>
        <v>45955</v>
      </c>
      <c r="Z12" s="55">
        <f>43855+2100</f>
        <v>45955</v>
      </c>
      <c r="AA12" s="49">
        <v>0</v>
      </c>
      <c r="AB12" s="49">
        <v>0</v>
      </c>
      <c r="AC12" s="49">
        <v>0</v>
      </c>
      <c r="AD12" s="50">
        <f t="shared" si="1"/>
        <v>207083.59999999998</v>
      </c>
      <c r="AE12" s="8"/>
      <c r="AF12" s="8"/>
      <c r="AG12" s="8"/>
      <c r="AI12" s="19"/>
      <c r="AM12" s="11"/>
      <c r="BA12" s="8"/>
      <c r="BD12" s="37"/>
      <c r="BF12" s="97"/>
      <c r="BG12" s="97"/>
      <c r="BH12" s="97"/>
      <c r="BI12" s="97"/>
      <c r="BJ12" s="97"/>
      <c r="BK12" s="97"/>
    </row>
    <row r="13" spans="1:63" ht="32.25" customHeight="1">
      <c r="A13" s="133"/>
      <c r="B13" s="99"/>
      <c r="C13" s="52" t="s">
        <v>85</v>
      </c>
      <c r="D13" s="51" t="s">
        <v>51</v>
      </c>
      <c r="E13" s="49">
        <f>F13+G13+H13+I13</f>
        <v>8476</v>
      </c>
      <c r="F13" s="49">
        <f>8446.3+29.7</f>
        <v>8476</v>
      </c>
      <c r="G13" s="49">
        <v>0</v>
      </c>
      <c r="H13" s="49">
        <v>0</v>
      </c>
      <c r="I13" s="49">
        <v>0</v>
      </c>
      <c r="J13" s="49">
        <f t="shared" si="2"/>
        <v>8600</v>
      </c>
      <c r="K13" s="36">
        <f>8633-33</f>
        <v>8600</v>
      </c>
      <c r="L13" s="49">
        <v>0</v>
      </c>
      <c r="M13" s="49">
        <v>0</v>
      </c>
      <c r="N13" s="49">
        <v>0</v>
      </c>
      <c r="O13" s="49">
        <f>P13+Q13+R13+S13</f>
        <v>9168</v>
      </c>
      <c r="P13" s="49">
        <v>9168</v>
      </c>
      <c r="Q13" s="49">
        <v>0</v>
      </c>
      <c r="R13" s="49">
        <v>0</v>
      </c>
      <c r="S13" s="49">
        <v>0</v>
      </c>
      <c r="T13" s="49">
        <f>U13+V13+W13+X13</f>
        <v>9168</v>
      </c>
      <c r="U13" s="49">
        <v>9168</v>
      </c>
      <c r="V13" s="49">
        <v>0</v>
      </c>
      <c r="W13" s="49">
        <v>0</v>
      </c>
      <c r="X13" s="49">
        <v>0</v>
      </c>
      <c r="Y13" s="49">
        <f>Z13+AA13+AB13+AC13</f>
        <v>9168</v>
      </c>
      <c r="Z13" s="49">
        <v>9168</v>
      </c>
      <c r="AA13" s="49">
        <v>0</v>
      </c>
      <c r="AB13" s="49">
        <v>0</v>
      </c>
      <c r="AC13" s="49">
        <v>0</v>
      </c>
      <c r="AD13" s="50">
        <f t="shared" si="1"/>
        <v>44580</v>
      </c>
      <c r="AE13" s="42"/>
      <c r="AJ13" s="2"/>
      <c r="AM13" s="10"/>
      <c r="BD13" s="36"/>
      <c r="BE13" s="2"/>
      <c r="BF13" s="97"/>
      <c r="BG13" s="97"/>
      <c r="BH13" s="97"/>
      <c r="BI13" s="97"/>
      <c r="BJ13" s="97"/>
      <c r="BK13" s="97"/>
    </row>
    <row r="14" spans="1:63" ht="24" customHeight="1">
      <c r="A14" s="98" t="s">
        <v>60</v>
      </c>
      <c r="B14" s="112" t="s">
        <v>56</v>
      </c>
      <c r="C14" s="52" t="s">
        <v>10</v>
      </c>
      <c r="D14" s="51" t="s">
        <v>51</v>
      </c>
      <c r="E14" s="49">
        <f t="shared" si="0"/>
        <v>12515.6</v>
      </c>
      <c r="F14" s="49">
        <v>12515.6</v>
      </c>
      <c r="G14" s="49">
        <v>0</v>
      </c>
      <c r="H14" s="49">
        <v>0</v>
      </c>
      <c r="I14" s="49">
        <v>0</v>
      </c>
      <c r="J14" s="49">
        <f t="shared" si="2"/>
        <v>12515.6</v>
      </c>
      <c r="K14" s="36">
        <v>12515.6</v>
      </c>
      <c r="L14" s="49">
        <v>0</v>
      </c>
      <c r="M14" s="49">
        <v>0</v>
      </c>
      <c r="N14" s="49">
        <v>0</v>
      </c>
      <c r="O14" s="49">
        <f>P14</f>
        <v>12515.6</v>
      </c>
      <c r="P14" s="49">
        <v>12515.6</v>
      </c>
      <c r="Q14" s="49">
        <v>0</v>
      </c>
      <c r="R14" s="49">
        <v>0</v>
      </c>
      <c r="S14" s="49">
        <v>0</v>
      </c>
      <c r="T14" s="49">
        <f>U14</f>
        <v>12515.6</v>
      </c>
      <c r="U14" s="49">
        <v>12515.6</v>
      </c>
      <c r="V14" s="49">
        <v>0</v>
      </c>
      <c r="W14" s="49">
        <v>0</v>
      </c>
      <c r="X14" s="49">
        <v>0</v>
      </c>
      <c r="Y14" s="49">
        <f>Z14</f>
        <v>12515.6</v>
      </c>
      <c r="Z14" s="49">
        <v>12515.6</v>
      </c>
      <c r="AA14" s="49">
        <v>0</v>
      </c>
      <c r="AB14" s="49">
        <v>0</v>
      </c>
      <c r="AC14" s="49">
        <v>0</v>
      </c>
      <c r="AD14" s="50">
        <f t="shared" si="1"/>
        <v>62578</v>
      </c>
      <c r="AE14" s="2"/>
      <c r="AK14" s="19"/>
      <c r="AM14" s="10"/>
      <c r="BD14" s="36"/>
      <c r="BF14" s="97"/>
      <c r="BG14" s="97"/>
      <c r="BH14" s="97"/>
      <c r="BI14" s="97"/>
      <c r="BJ14" s="97"/>
      <c r="BK14" s="97"/>
    </row>
    <row r="15" spans="1:63" ht="35.25" customHeight="1">
      <c r="A15" s="98"/>
      <c r="B15" s="124"/>
      <c r="C15" s="52" t="s">
        <v>85</v>
      </c>
      <c r="D15" s="51" t="s">
        <v>51</v>
      </c>
      <c r="E15" s="49">
        <f t="shared" si="0"/>
        <v>24010</v>
      </c>
      <c r="F15" s="49">
        <f>19587+4632+77.3-631+344.7</f>
        <v>24010</v>
      </c>
      <c r="G15" s="49">
        <v>0</v>
      </c>
      <c r="H15" s="49">
        <v>0</v>
      </c>
      <c r="I15" s="49">
        <v>0</v>
      </c>
      <c r="J15" s="49">
        <f t="shared" si="2"/>
        <v>31864</v>
      </c>
      <c r="K15" s="36">
        <f>29500+2446-82</f>
        <v>31864</v>
      </c>
      <c r="L15" s="49">
        <v>0</v>
      </c>
      <c r="M15" s="49">
        <v>0</v>
      </c>
      <c r="N15" s="49">
        <v>0</v>
      </c>
      <c r="O15" s="49">
        <f>P15+Q15+R15+S15</f>
        <v>32828</v>
      </c>
      <c r="P15" s="49">
        <v>32828</v>
      </c>
      <c r="Q15" s="49">
        <v>0</v>
      </c>
      <c r="R15" s="49">
        <v>0</v>
      </c>
      <c r="S15" s="49">
        <v>0</v>
      </c>
      <c r="T15" s="49">
        <f>U15+V15+W15+X15</f>
        <v>31407</v>
      </c>
      <c r="U15" s="49">
        <v>31407</v>
      </c>
      <c r="V15" s="49">
        <v>0</v>
      </c>
      <c r="W15" s="49">
        <v>0</v>
      </c>
      <c r="X15" s="49">
        <v>0</v>
      </c>
      <c r="Y15" s="49">
        <f>Z15+AA15+AB15+AC15</f>
        <v>31407</v>
      </c>
      <c r="Z15" s="49">
        <v>31407</v>
      </c>
      <c r="AA15" s="49">
        <v>0</v>
      </c>
      <c r="AB15" s="49">
        <v>0</v>
      </c>
      <c r="AC15" s="49">
        <v>0</v>
      </c>
      <c r="AD15" s="50">
        <f t="shared" si="1"/>
        <v>151516</v>
      </c>
      <c r="AJ15" s="18"/>
      <c r="AK15" s="2"/>
      <c r="BD15" s="36"/>
      <c r="BE15" s="2"/>
      <c r="BF15" s="97"/>
      <c r="BG15" s="97"/>
      <c r="BH15" s="97"/>
      <c r="BI15" s="97"/>
      <c r="BJ15" s="97"/>
      <c r="BK15" s="97"/>
    </row>
    <row r="16" spans="1:63" ht="28.5" customHeight="1">
      <c r="A16" s="98" t="s">
        <v>61</v>
      </c>
      <c r="B16" s="112" t="s">
        <v>82</v>
      </c>
      <c r="C16" s="52" t="s">
        <v>10</v>
      </c>
      <c r="D16" s="51" t="s">
        <v>51</v>
      </c>
      <c r="E16" s="49">
        <f t="shared" si="0"/>
        <v>9396.3</v>
      </c>
      <c r="F16" s="49">
        <v>9396.3</v>
      </c>
      <c r="G16" s="49">
        <v>0</v>
      </c>
      <c r="H16" s="49">
        <v>0</v>
      </c>
      <c r="I16" s="49">
        <v>0</v>
      </c>
      <c r="J16" s="49">
        <f t="shared" si="2"/>
        <v>9476.3</v>
      </c>
      <c r="K16" s="36">
        <f>9396.3+80</f>
        <v>9476.3</v>
      </c>
      <c r="L16" s="49">
        <v>0</v>
      </c>
      <c r="M16" s="49">
        <v>0</v>
      </c>
      <c r="N16" s="49">
        <v>0</v>
      </c>
      <c r="O16" s="49">
        <f>P16</f>
        <v>9396.3</v>
      </c>
      <c r="P16" s="49">
        <v>9396.3</v>
      </c>
      <c r="Q16" s="49">
        <v>0</v>
      </c>
      <c r="R16" s="49">
        <v>0</v>
      </c>
      <c r="S16" s="49">
        <v>0</v>
      </c>
      <c r="T16" s="49">
        <f>U16</f>
        <v>9396.3</v>
      </c>
      <c r="U16" s="49">
        <v>9396.3</v>
      </c>
      <c r="V16" s="49">
        <v>0</v>
      </c>
      <c r="W16" s="49">
        <v>0</v>
      </c>
      <c r="X16" s="49">
        <v>0</v>
      </c>
      <c r="Y16" s="49">
        <f>Z16</f>
        <v>9396.3</v>
      </c>
      <c r="Z16" s="49">
        <v>9396.3</v>
      </c>
      <c r="AA16" s="49">
        <v>0</v>
      </c>
      <c r="AB16" s="49">
        <v>0</v>
      </c>
      <c r="AC16" s="49">
        <v>0</v>
      </c>
      <c r="AD16" s="50">
        <f t="shared" si="1"/>
        <v>47061.5</v>
      </c>
      <c r="AH16" s="12"/>
      <c r="AK16" s="2"/>
      <c r="AL16" s="2"/>
      <c r="BD16" s="36"/>
      <c r="BF16" s="97"/>
      <c r="BG16" s="97"/>
      <c r="BH16" s="97"/>
      <c r="BI16" s="97"/>
      <c r="BJ16" s="97"/>
      <c r="BK16" s="97"/>
    </row>
    <row r="17" spans="1:63" ht="33.75" customHeight="1">
      <c r="A17" s="98"/>
      <c r="B17" s="112"/>
      <c r="C17" s="52" t="s">
        <v>85</v>
      </c>
      <c r="D17" s="51" t="s">
        <v>51</v>
      </c>
      <c r="E17" s="49">
        <f t="shared" si="0"/>
        <v>2072.5</v>
      </c>
      <c r="F17" s="49">
        <f>2072.5</f>
        <v>2072.5</v>
      </c>
      <c r="G17" s="49">
        <v>0</v>
      </c>
      <c r="H17" s="49">
        <v>0</v>
      </c>
      <c r="I17" s="49">
        <v>0</v>
      </c>
      <c r="J17" s="49">
        <f t="shared" si="2"/>
        <v>2100</v>
      </c>
      <c r="K17" s="36">
        <v>2100</v>
      </c>
      <c r="L17" s="49">
        <v>0</v>
      </c>
      <c r="M17" s="49">
        <v>0</v>
      </c>
      <c r="N17" s="49">
        <v>0</v>
      </c>
      <c r="O17" s="49">
        <f aca="true" t="shared" si="3" ref="O17:O29">P17+Q17+R17+S17</f>
        <v>2966</v>
      </c>
      <c r="P17" s="49">
        <v>2966</v>
      </c>
      <c r="Q17" s="49">
        <v>0</v>
      </c>
      <c r="R17" s="49">
        <v>0</v>
      </c>
      <c r="S17" s="49">
        <v>0</v>
      </c>
      <c r="T17" s="49">
        <f aca="true" t="shared" si="4" ref="T17:T29">U17+V17+W17+X17</f>
        <v>2795</v>
      </c>
      <c r="U17" s="49">
        <v>2795</v>
      </c>
      <c r="V17" s="49">
        <v>0</v>
      </c>
      <c r="W17" s="49">
        <v>0</v>
      </c>
      <c r="X17" s="49">
        <v>0</v>
      </c>
      <c r="Y17" s="49">
        <f aca="true" t="shared" si="5" ref="Y17:Y29">Z17+AA17+AB17+AC17</f>
        <v>2795</v>
      </c>
      <c r="Z17" s="49">
        <v>2795</v>
      </c>
      <c r="AA17" s="49">
        <v>0</v>
      </c>
      <c r="AB17" s="49">
        <v>0</v>
      </c>
      <c r="AC17" s="49">
        <v>0</v>
      </c>
      <c r="AD17" s="50">
        <f t="shared" si="1"/>
        <v>12728.5</v>
      </c>
      <c r="AE17" s="2"/>
      <c r="AH17" s="12"/>
      <c r="AZ17" s="2"/>
      <c r="BD17" s="36"/>
      <c r="BE17" s="2"/>
      <c r="BF17" s="97"/>
      <c r="BG17" s="97"/>
      <c r="BH17" s="97"/>
      <c r="BI17" s="97"/>
      <c r="BJ17" s="97"/>
      <c r="BK17" s="97"/>
    </row>
    <row r="18" spans="1:63" ht="23.25" customHeight="1">
      <c r="A18" s="98" t="s">
        <v>62</v>
      </c>
      <c r="B18" s="112" t="s">
        <v>84</v>
      </c>
      <c r="C18" s="52" t="s">
        <v>10</v>
      </c>
      <c r="D18" s="51" t="s">
        <v>51</v>
      </c>
      <c r="E18" s="49">
        <f t="shared" si="0"/>
        <v>15536.8</v>
      </c>
      <c r="F18" s="49">
        <f>20242.8-4706</f>
        <v>15536.8</v>
      </c>
      <c r="G18" s="49">
        <v>0</v>
      </c>
      <c r="H18" s="49">
        <v>0</v>
      </c>
      <c r="I18" s="49">
        <v>0</v>
      </c>
      <c r="J18" s="49">
        <f t="shared" si="2"/>
        <v>22360.8</v>
      </c>
      <c r="K18" s="36">
        <f>20242.8+2118</f>
        <v>22360.8</v>
      </c>
      <c r="L18" s="49">
        <v>0</v>
      </c>
      <c r="M18" s="49">
        <v>0</v>
      </c>
      <c r="N18" s="49">
        <v>0</v>
      </c>
      <c r="O18" s="49">
        <f t="shared" si="3"/>
        <v>20242.8</v>
      </c>
      <c r="P18" s="49">
        <v>20242.8</v>
      </c>
      <c r="Q18" s="49">
        <v>0</v>
      </c>
      <c r="R18" s="49">
        <v>0</v>
      </c>
      <c r="S18" s="49">
        <v>0</v>
      </c>
      <c r="T18" s="49">
        <f t="shared" si="4"/>
        <v>22360.8</v>
      </c>
      <c r="U18" s="49">
        <v>22360.8</v>
      </c>
      <c r="V18" s="49">
        <v>0</v>
      </c>
      <c r="W18" s="49">
        <v>0</v>
      </c>
      <c r="X18" s="49">
        <v>0</v>
      </c>
      <c r="Y18" s="49">
        <f t="shared" si="5"/>
        <v>22360.8</v>
      </c>
      <c r="Z18" s="49">
        <v>22360.8</v>
      </c>
      <c r="AA18" s="49">
        <v>0</v>
      </c>
      <c r="AB18" s="49">
        <v>0</v>
      </c>
      <c r="AC18" s="49">
        <v>0</v>
      </c>
      <c r="AD18" s="50">
        <f t="shared" si="1"/>
        <v>102862</v>
      </c>
      <c r="AH18" s="12"/>
      <c r="AR18" s="19"/>
      <c r="AS18" s="19"/>
      <c r="AZ18" s="2"/>
      <c r="BD18" s="36"/>
      <c r="BF18" s="97"/>
      <c r="BG18" s="97"/>
      <c r="BH18" s="97"/>
      <c r="BI18" s="97"/>
      <c r="BJ18" s="97"/>
      <c r="BK18" s="97"/>
    </row>
    <row r="19" spans="1:63" ht="35.25" customHeight="1">
      <c r="A19" s="98"/>
      <c r="B19" s="112"/>
      <c r="C19" s="52" t="s">
        <v>85</v>
      </c>
      <c r="D19" s="51" t="s">
        <v>51</v>
      </c>
      <c r="E19" s="49">
        <f t="shared" si="0"/>
        <v>11464.4</v>
      </c>
      <c r="F19" s="49">
        <f>6588.4+4876</f>
        <v>11464.4</v>
      </c>
      <c r="G19" s="49">
        <v>0</v>
      </c>
      <c r="H19" s="49">
        <v>0</v>
      </c>
      <c r="I19" s="49">
        <v>0</v>
      </c>
      <c r="J19" s="49">
        <f t="shared" si="2"/>
        <v>23521</v>
      </c>
      <c r="K19" s="36">
        <f>23333+188</f>
        <v>23521</v>
      </c>
      <c r="L19" s="49">
        <v>0</v>
      </c>
      <c r="M19" s="49">
        <v>0</v>
      </c>
      <c r="N19" s="49">
        <v>0</v>
      </c>
      <c r="O19" s="49">
        <f t="shared" si="3"/>
        <v>26981</v>
      </c>
      <c r="P19" s="49">
        <v>26981</v>
      </c>
      <c r="Q19" s="49">
        <v>0</v>
      </c>
      <c r="R19" s="49">
        <v>0</v>
      </c>
      <c r="S19" s="49">
        <v>0</v>
      </c>
      <c r="T19" s="49">
        <f t="shared" si="4"/>
        <v>26085</v>
      </c>
      <c r="U19" s="49">
        <v>26085</v>
      </c>
      <c r="V19" s="49">
        <v>0</v>
      </c>
      <c r="W19" s="49">
        <v>0</v>
      </c>
      <c r="X19" s="49">
        <v>0</v>
      </c>
      <c r="Y19" s="49">
        <f t="shared" si="5"/>
        <v>26085</v>
      </c>
      <c r="Z19" s="49">
        <v>26085</v>
      </c>
      <c r="AA19" s="49">
        <v>0</v>
      </c>
      <c r="AB19" s="49">
        <v>0</v>
      </c>
      <c r="AC19" s="49">
        <v>0</v>
      </c>
      <c r="AD19" s="50">
        <f t="shared" si="1"/>
        <v>114136.4</v>
      </c>
      <c r="AH19" s="12"/>
      <c r="AZ19" s="2"/>
      <c r="BD19" s="36"/>
      <c r="BE19" s="2"/>
      <c r="BF19" s="97"/>
      <c r="BG19" s="97"/>
      <c r="BH19" s="97"/>
      <c r="BI19" s="97"/>
      <c r="BJ19" s="97"/>
      <c r="BK19" s="97"/>
    </row>
    <row r="20" spans="1:63" s="9" customFormat="1" ht="97.5" customHeight="1">
      <c r="A20" s="54" t="s">
        <v>63</v>
      </c>
      <c r="B20" s="57" t="s">
        <v>77</v>
      </c>
      <c r="C20" s="52" t="s">
        <v>10</v>
      </c>
      <c r="D20" s="51" t="s">
        <v>51</v>
      </c>
      <c r="E20" s="49">
        <f t="shared" si="0"/>
        <v>6327</v>
      </c>
      <c r="F20" s="49">
        <f>2500-238+4065</f>
        <v>6327</v>
      </c>
      <c r="G20" s="49">
        <v>0</v>
      </c>
      <c r="H20" s="49">
        <v>0</v>
      </c>
      <c r="I20" s="49">
        <v>0</v>
      </c>
      <c r="J20" s="49">
        <f t="shared" si="2"/>
        <v>6259</v>
      </c>
      <c r="K20" s="36">
        <f>4065+1297+2097-1200</f>
        <v>6259</v>
      </c>
      <c r="L20" s="49">
        <v>0</v>
      </c>
      <c r="M20" s="49">
        <v>0</v>
      </c>
      <c r="N20" s="49">
        <v>0</v>
      </c>
      <c r="O20" s="49">
        <f t="shared" si="3"/>
        <v>6259</v>
      </c>
      <c r="P20" s="49">
        <v>6259</v>
      </c>
      <c r="Q20" s="49">
        <v>0</v>
      </c>
      <c r="R20" s="49">
        <v>0</v>
      </c>
      <c r="S20" s="49">
        <v>0</v>
      </c>
      <c r="T20" s="49">
        <f t="shared" si="4"/>
        <v>6259</v>
      </c>
      <c r="U20" s="49">
        <v>6259</v>
      </c>
      <c r="V20" s="49">
        <v>0</v>
      </c>
      <c r="W20" s="49">
        <v>0</v>
      </c>
      <c r="X20" s="49">
        <v>0</v>
      </c>
      <c r="Y20" s="49">
        <f t="shared" si="5"/>
        <v>6259</v>
      </c>
      <c r="Z20" s="49">
        <v>6259</v>
      </c>
      <c r="AA20" s="49">
        <v>0</v>
      </c>
      <c r="AB20" s="49">
        <v>0</v>
      </c>
      <c r="AC20" s="49">
        <v>0</v>
      </c>
      <c r="AD20" s="50">
        <f t="shared" si="1"/>
        <v>31363</v>
      </c>
      <c r="AE20" s="8"/>
      <c r="AF20" s="8"/>
      <c r="AI20" s="19"/>
      <c r="AK20" s="8"/>
      <c r="BD20" s="36"/>
      <c r="BF20" s="97"/>
      <c r="BG20" s="97"/>
      <c r="BH20" s="97"/>
      <c r="BI20" s="97"/>
      <c r="BJ20" s="97"/>
      <c r="BK20" s="97"/>
    </row>
    <row r="21" spans="1:63" s="9" customFormat="1" ht="77.25" customHeight="1">
      <c r="A21" s="54" t="s">
        <v>64</v>
      </c>
      <c r="B21" s="58" t="s">
        <v>83</v>
      </c>
      <c r="C21" s="52" t="s">
        <v>10</v>
      </c>
      <c r="D21" s="51" t="s">
        <v>51</v>
      </c>
      <c r="E21" s="49">
        <f t="shared" si="0"/>
        <v>732</v>
      </c>
      <c r="F21" s="59">
        <f>2006.7-18-1256.7</f>
        <v>732</v>
      </c>
      <c r="G21" s="59">
        <v>0</v>
      </c>
      <c r="H21" s="59">
        <v>0</v>
      </c>
      <c r="I21" s="59">
        <v>0</v>
      </c>
      <c r="J21" s="49">
        <f t="shared" si="2"/>
        <v>0</v>
      </c>
      <c r="K21" s="36">
        <f>800-800</f>
        <v>0</v>
      </c>
      <c r="L21" s="59">
        <v>0</v>
      </c>
      <c r="M21" s="59">
        <v>0</v>
      </c>
      <c r="N21" s="59">
        <v>0</v>
      </c>
      <c r="O21" s="49">
        <f t="shared" si="3"/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4"/>
        <v>0</v>
      </c>
      <c r="U21" s="49">
        <v>0</v>
      </c>
      <c r="V21" s="49">
        <v>0</v>
      </c>
      <c r="W21" s="49">
        <v>0</v>
      </c>
      <c r="X21" s="49">
        <v>0</v>
      </c>
      <c r="Y21" s="49">
        <f t="shared" si="5"/>
        <v>0</v>
      </c>
      <c r="Z21" s="49">
        <v>0</v>
      </c>
      <c r="AA21" s="49">
        <v>0</v>
      </c>
      <c r="AB21" s="49">
        <v>0</v>
      </c>
      <c r="AC21" s="49">
        <v>0</v>
      </c>
      <c r="AD21" s="50">
        <f t="shared" si="1"/>
        <v>732</v>
      </c>
      <c r="AE21" s="8"/>
      <c r="AF21" s="8"/>
      <c r="AI21" s="19"/>
      <c r="AK21" s="8"/>
      <c r="BD21" s="36"/>
      <c r="BF21" s="97"/>
      <c r="BG21" s="97"/>
      <c r="BH21" s="97"/>
      <c r="BI21" s="97"/>
      <c r="BJ21" s="97"/>
      <c r="BK21" s="97"/>
    </row>
    <row r="22" spans="1:63" ht="40.5" customHeight="1">
      <c r="A22" s="54" t="s">
        <v>65</v>
      </c>
      <c r="B22" s="57" t="s">
        <v>69</v>
      </c>
      <c r="C22" s="52" t="s">
        <v>85</v>
      </c>
      <c r="D22" s="51" t="s">
        <v>51</v>
      </c>
      <c r="E22" s="49">
        <f t="shared" si="0"/>
        <v>2184.3</v>
      </c>
      <c r="F22" s="49">
        <f>2184.3</f>
        <v>2184.3</v>
      </c>
      <c r="G22" s="49">
        <v>0</v>
      </c>
      <c r="H22" s="49">
        <v>0</v>
      </c>
      <c r="I22" s="49">
        <v>0</v>
      </c>
      <c r="J22" s="49">
        <f aca="true" t="shared" si="6" ref="J22:J27">K22+L22+M22+N22</f>
        <v>3283</v>
      </c>
      <c r="K22" s="36">
        <f>3549-266</f>
        <v>3283</v>
      </c>
      <c r="L22" s="49">
        <v>0</v>
      </c>
      <c r="M22" s="49">
        <v>0</v>
      </c>
      <c r="N22" s="49">
        <v>0</v>
      </c>
      <c r="O22" s="49">
        <f t="shared" si="3"/>
        <v>3308</v>
      </c>
      <c r="P22" s="49">
        <v>3308</v>
      </c>
      <c r="Q22" s="49">
        <v>0</v>
      </c>
      <c r="R22" s="49">
        <v>0</v>
      </c>
      <c r="S22" s="49">
        <v>0</v>
      </c>
      <c r="T22" s="49">
        <f t="shared" si="4"/>
        <v>3040</v>
      </c>
      <c r="U22" s="49">
        <v>3040</v>
      </c>
      <c r="V22" s="49">
        <v>0</v>
      </c>
      <c r="W22" s="49">
        <v>0</v>
      </c>
      <c r="X22" s="49">
        <v>0</v>
      </c>
      <c r="Y22" s="49">
        <f t="shared" si="5"/>
        <v>3040</v>
      </c>
      <c r="Z22" s="49">
        <v>3040</v>
      </c>
      <c r="AA22" s="49">
        <v>0</v>
      </c>
      <c r="AB22" s="49">
        <v>0</v>
      </c>
      <c r="AC22" s="49">
        <v>0</v>
      </c>
      <c r="AD22" s="50">
        <f t="shared" si="1"/>
        <v>14855.3</v>
      </c>
      <c r="AE22" s="2"/>
      <c r="AM22" s="2"/>
      <c r="BD22" s="36"/>
      <c r="BE22" s="2"/>
      <c r="BF22" s="97"/>
      <c r="BG22" s="97"/>
      <c r="BH22" s="97"/>
      <c r="BI22" s="97"/>
      <c r="BJ22" s="97"/>
      <c r="BK22" s="97"/>
    </row>
    <row r="23" spans="1:63" ht="43.5" customHeight="1">
      <c r="A23" s="54" t="s">
        <v>66</v>
      </c>
      <c r="B23" s="57" t="s">
        <v>76</v>
      </c>
      <c r="C23" s="52" t="s">
        <v>85</v>
      </c>
      <c r="D23" s="51" t="s">
        <v>51</v>
      </c>
      <c r="E23" s="49">
        <f t="shared" si="0"/>
        <v>6718</v>
      </c>
      <c r="F23" s="49">
        <f>6718</f>
        <v>6718</v>
      </c>
      <c r="G23" s="49">
        <v>0</v>
      </c>
      <c r="H23" s="49">
        <v>0</v>
      </c>
      <c r="I23" s="49">
        <v>0</v>
      </c>
      <c r="J23" s="49">
        <f t="shared" si="6"/>
        <v>6917</v>
      </c>
      <c r="K23" s="36">
        <v>6917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4"/>
        <v>0</v>
      </c>
      <c r="U23" s="49">
        <v>0</v>
      </c>
      <c r="V23" s="49">
        <v>0</v>
      </c>
      <c r="W23" s="49">
        <v>0</v>
      </c>
      <c r="X23" s="49">
        <v>0</v>
      </c>
      <c r="Y23" s="49">
        <f t="shared" si="5"/>
        <v>0</v>
      </c>
      <c r="Z23" s="49">
        <v>0</v>
      </c>
      <c r="AA23" s="49">
        <v>0</v>
      </c>
      <c r="AB23" s="49">
        <v>0</v>
      </c>
      <c r="AC23" s="49">
        <v>0</v>
      </c>
      <c r="AD23" s="50">
        <f t="shared" si="1"/>
        <v>13635</v>
      </c>
      <c r="AE23" s="2"/>
      <c r="AM23" s="2"/>
      <c r="AN23" s="2"/>
      <c r="BD23" s="36"/>
      <c r="BE23" s="2"/>
      <c r="BF23" s="97"/>
      <c r="BG23" s="97"/>
      <c r="BH23" s="97"/>
      <c r="BI23" s="97"/>
      <c r="BJ23" s="97"/>
      <c r="BK23" s="97"/>
    </row>
    <row r="24" spans="1:63" ht="36.75" customHeight="1">
      <c r="A24" s="54" t="s">
        <v>67</v>
      </c>
      <c r="B24" s="57" t="s">
        <v>54</v>
      </c>
      <c r="C24" s="52" t="s">
        <v>85</v>
      </c>
      <c r="D24" s="51" t="s">
        <v>51</v>
      </c>
      <c r="E24" s="49">
        <f t="shared" si="0"/>
        <v>25652.8</v>
      </c>
      <c r="F24" s="49">
        <f>25652.8</f>
        <v>25652.8</v>
      </c>
      <c r="G24" s="49">
        <v>0</v>
      </c>
      <c r="H24" s="49">
        <v>0</v>
      </c>
      <c r="I24" s="49">
        <v>0</v>
      </c>
      <c r="J24" s="49">
        <f t="shared" si="6"/>
        <v>26734</v>
      </c>
      <c r="K24" s="36">
        <v>26734</v>
      </c>
      <c r="L24" s="49">
        <v>0</v>
      </c>
      <c r="M24" s="49">
        <v>0</v>
      </c>
      <c r="N24" s="49">
        <v>0</v>
      </c>
      <c r="O24" s="49">
        <f t="shared" si="3"/>
        <v>29912</v>
      </c>
      <c r="P24" s="49">
        <v>29912</v>
      </c>
      <c r="Q24" s="49">
        <v>0</v>
      </c>
      <c r="R24" s="49">
        <v>0</v>
      </c>
      <c r="S24" s="49">
        <v>0</v>
      </c>
      <c r="T24" s="49">
        <f t="shared" si="4"/>
        <v>29653</v>
      </c>
      <c r="U24" s="49">
        <v>29653</v>
      </c>
      <c r="V24" s="49">
        <v>0</v>
      </c>
      <c r="W24" s="49">
        <v>0</v>
      </c>
      <c r="X24" s="49">
        <v>0</v>
      </c>
      <c r="Y24" s="49">
        <f t="shared" si="5"/>
        <v>29653</v>
      </c>
      <c r="Z24" s="49">
        <v>29653</v>
      </c>
      <c r="AA24" s="49">
        <v>0</v>
      </c>
      <c r="AB24" s="49">
        <v>0</v>
      </c>
      <c r="AC24" s="49">
        <v>0</v>
      </c>
      <c r="AD24" s="50">
        <f t="shared" si="1"/>
        <v>141604.8</v>
      </c>
      <c r="AE24" s="7"/>
      <c r="AM24" s="2"/>
      <c r="AN24" s="2"/>
      <c r="BD24" s="36"/>
      <c r="BE24" s="2"/>
      <c r="BF24" s="97"/>
      <c r="BG24" s="97"/>
      <c r="BH24" s="97"/>
      <c r="BI24" s="97"/>
      <c r="BJ24" s="97"/>
      <c r="BK24" s="97"/>
    </row>
    <row r="25" spans="1:64" ht="46.5" customHeight="1">
      <c r="A25" s="54" t="s">
        <v>68</v>
      </c>
      <c r="B25" s="57" t="s">
        <v>52</v>
      </c>
      <c r="C25" s="52" t="s">
        <v>85</v>
      </c>
      <c r="D25" s="51" t="s">
        <v>51</v>
      </c>
      <c r="E25" s="49">
        <f t="shared" si="0"/>
        <v>1660</v>
      </c>
      <c r="F25" s="49">
        <f>1660</f>
        <v>1660</v>
      </c>
      <c r="G25" s="49">
        <v>0</v>
      </c>
      <c r="H25" s="49">
        <v>0</v>
      </c>
      <c r="I25" s="49">
        <v>0</v>
      </c>
      <c r="J25" s="49">
        <f t="shared" si="6"/>
        <v>3757</v>
      </c>
      <c r="K25" s="36">
        <v>3757</v>
      </c>
      <c r="L25" s="49">
        <v>0</v>
      </c>
      <c r="M25" s="49">
        <v>0</v>
      </c>
      <c r="N25" s="49">
        <v>0</v>
      </c>
      <c r="O25" s="49">
        <f t="shared" si="3"/>
        <v>2931</v>
      </c>
      <c r="P25" s="49">
        <v>2931</v>
      </c>
      <c r="Q25" s="49">
        <v>0</v>
      </c>
      <c r="R25" s="49">
        <v>0</v>
      </c>
      <c r="S25" s="49">
        <v>0</v>
      </c>
      <c r="T25" s="49">
        <f t="shared" si="4"/>
        <v>2931</v>
      </c>
      <c r="U25" s="49">
        <v>2931</v>
      </c>
      <c r="V25" s="49">
        <v>0</v>
      </c>
      <c r="W25" s="49">
        <v>0</v>
      </c>
      <c r="X25" s="49">
        <v>0</v>
      </c>
      <c r="Y25" s="49">
        <f t="shared" si="5"/>
        <v>2931</v>
      </c>
      <c r="Z25" s="49">
        <v>2931</v>
      </c>
      <c r="AA25" s="49">
        <v>0</v>
      </c>
      <c r="AB25" s="49">
        <v>0</v>
      </c>
      <c r="AC25" s="49">
        <v>0</v>
      </c>
      <c r="AD25" s="50">
        <f t="shared" si="1"/>
        <v>14210</v>
      </c>
      <c r="AE25" s="2"/>
      <c r="AM25" s="2"/>
      <c r="BD25" s="36"/>
      <c r="BE25" s="2"/>
      <c r="BF25" s="97"/>
      <c r="BG25" s="97"/>
      <c r="BH25" s="97"/>
      <c r="BI25" s="97"/>
      <c r="BJ25" s="97"/>
      <c r="BK25" s="97"/>
      <c r="BL25" s="2"/>
    </row>
    <row r="26" spans="1:56" ht="121.5" customHeight="1">
      <c r="A26" s="54" t="s">
        <v>80</v>
      </c>
      <c r="B26" s="57" t="s">
        <v>53</v>
      </c>
      <c r="C26" s="52" t="s">
        <v>85</v>
      </c>
      <c r="D26" s="51" t="s">
        <v>51</v>
      </c>
      <c r="E26" s="49">
        <f t="shared" si="0"/>
        <v>26</v>
      </c>
      <c r="F26" s="49">
        <f>24+2</f>
        <v>26</v>
      </c>
      <c r="G26" s="49">
        <v>0</v>
      </c>
      <c r="H26" s="49">
        <v>0</v>
      </c>
      <c r="I26" s="49">
        <v>0</v>
      </c>
      <c r="J26" s="49">
        <f t="shared" si="6"/>
        <v>8</v>
      </c>
      <c r="K26" s="36">
        <v>8</v>
      </c>
      <c r="L26" s="49">
        <v>0</v>
      </c>
      <c r="M26" s="49">
        <v>0</v>
      </c>
      <c r="N26" s="49">
        <v>0</v>
      </c>
      <c r="O26" s="49">
        <f t="shared" si="3"/>
        <v>6</v>
      </c>
      <c r="P26" s="49">
        <v>6</v>
      </c>
      <c r="Q26" s="49">
        <v>0</v>
      </c>
      <c r="R26" s="49">
        <v>0</v>
      </c>
      <c r="S26" s="49">
        <v>0</v>
      </c>
      <c r="T26" s="49">
        <f t="shared" si="4"/>
        <v>6</v>
      </c>
      <c r="U26" s="49">
        <v>6</v>
      </c>
      <c r="V26" s="49">
        <v>0</v>
      </c>
      <c r="W26" s="49">
        <v>0</v>
      </c>
      <c r="X26" s="49">
        <v>0</v>
      </c>
      <c r="Y26" s="49">
        <f t="shared" si="5"/>
        <v>6</v>
      </c>
      <c r="Z26" s="49">
        <v>6</v>
      </c>
      <c r="AA26" s="49">
        <v>0</v>
      </c>
      <c r="AB26" s="49">
        <v>0</v>
      </c>
      <c r="AC26" s="49">
        <v>0</v>
      </c>
      <c r="AD26" s="50">
        <f t="shared" si="1"/>
        <v>52</v>
      </c>
      <c r="AE26" s="2"/>
      <c r="AM26" s="2"/>
      <c r="BA26" s="2"/>
      <c r="BD26" s="36"/>
    </row>
    <row r="27" spans="1:56" ht="146.25" customHeight="1">
      <c r="A27" s="54" t="s">
        <v>81</v>
      </c>
      <c r="B27" s="96" t="s">
        <v>99</v>
      </c>
      <c r="C27" s="60" t="s">
        <v>85</v>
      </c>
      <c r="D27" s="51">
        <v>2020</v>
      </c>
      <c r="E27" s="49">
        <f t="shared" si="0"/>
        <v>3123</v>
      </c>
      <c r="F27" s="49">
        <v>3123</v>
      </c>
      <c r="G27" s="49">
        <v>0</v>
      </c>
      <c r="H27" s="49">
        <v>0</v>
      </c>
      <c r="I27" s="49">
        <v>0</v>
      </c>
      <c r="J27" s="49">
        <f t="shared" si="6"/>
        <v>0</v>
      </c>
      <c r="K27" s="36">
        <v>0</v>
      </c>
      <c r="L27" s="49">
        <v>0</v>
      </c>
      <c r="M27" s="49">
        <v>0</v>
      </c>
      <c r="N27" s="49">
        <v>0</v>
      </c>
      <c r="O27" s="49">
        <f t="shared" si="3"/>
        <v>21965</v>
      </c>
      <c r="P27" s="49">
        <v>21965</v>
      </c>
      <c r="Q27" s="49">
        <v>0</v>
      </c>
      <c r="R27" s="49">
        <v>0</v>
      </c>
      <c r="S27" s="49">
        <v>0</v>
      </c>
      <c r="T27" s="49">
        <f t="shared" si="4"/>
        <v>0</v>
      </c>
      <c r="U27" s="49">
        <v>0</v>
      </c>
      <c r="V27" s="49">
        <v>0</v>
      </c>
      <c r="W27" s="49">
        <v>0</v>
      </c>
      <c r="X27" s="49">
        <v>0</v>
      </c>
      <c r="Y27" s="49">
        <f t="shared" si="5"/>
        <v>0</v>
      </c>
      <c r="Z27" s="49">
        <v>0</v>
      </c>
      <c r="AA27" s="49">
        <v>0</v>
      </c>
      <c r="AB27" s="49">
        <v>0</v>
      </c>
      <c r="AC27" s="49">
        <v>0</v>
      </c>
      <c r="AD27" s="50">
        <f t="shared" si="1"/>
        <v>25088</v>
      </c>
      <c r="AE27" s="2"/>
      <c r="AM27" s="2"/>
      <c r="BA27" s="2"/>
      <c r="BD27" s="36"/>
    </row>
    <row r="28" spans="1:56" ht="84.75" customHeight="1">
      <c r="A28" s="54" t="s">
        <v>126</v>
      </c>
      <c r="B28" s="96" t="s">
        <v>129</v>
      </c>
      <c r="C28" s="60" t="s">
        <v>85</v>
      </c>
      <c r="D28" s="51" t="s">
        <v>116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f>K28+L28+M28+N28</f>
        <v>600</v>
      </c>
      <c r="K28" s="49">
        <v>600</v>
      </c>
      <c r="L28" s="49">
        <v>0</v>
      </c>
      <c r="M28" s="49">
        <v>0</v>
      </c>
      <c r="N28" s="49">
        <v>0</v>
      </c>
      <c r="O28" s="49">
        <f>P28+Q28+R28+S28</f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4"/>
        <v>0</v>
      </c>
      <c r="U28" s="49">
        <v>0</v>
      </c>
      <c r="V28" s="49">
        <v>0</v>
      </c>
      <c r="W28" s="49">
        <v>0</v>
      </c>
      <c r="X28" s="49">
        <v>0</v>
      </c>
      <c r="Y28" s="49">
        <f t="shared" si="5"/>
        <v>0</v>
      </c>
      <c r="Z28" s="49">
        <v>0</v>
      </c>
      <c r="AA28" s="49">
        <v>0</v>
      </c>
      <c r="AB28" s="49">
        <v>0</v>
      </c>
      <c r="AC28" s="49">
        <v>0</v>
      </c>
      <c r="AD28" s="50">
        <f t="shared" si="1"/>
        <v>600</v>
      </c>
      <c r="AE28" s="2"/>
      <c r="AM28" s="2"/>
      <c r="BA28" s="2"/>
      <c r="BD28" s="36"/>
    </row>
    <row r="29" spans="1:56" ht="54.75" customHeight="1">
      <c r="A29" s="54" t="s">
        <v>128</v>
      </c>
      <c r="B29" s="96" t="s">
        <v>125</v>
      </c>
      <c r="C29" s="60" t="s">
        <v>10</v>
      </c>
      <c r="D29" s="51" t="s">
        <v>116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f>K29+L29+M29+N29</f>
        <v>2000</v>
      </c>
      <c r="K29" s="49">
        <f>2000</f>
        <v>2000</v>
      </c>
      <c r="L29" s="49">
        <v>0</v>
      </c>
      <c r="M29" s="49">
        <v>0</v>
      </c>
      <c r="N29" s="49">
        <v>0</v>
      </c>
      <c r="O29" s="49">
        <f t="shared" si="3"/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4"/>
        <v>0</v>
      </c>
      <c r="U29" s="49">
        <v>0</v>
      </c>
      <c r="V29" s="49">
        <v>0</v>
      </c>
      <c r="W29" s="49">
        <v>0</v>
      </c>
      <c r="X29" s="49">
        <v>0</v>
      </c>
      <c r="Y29" s="49">
        <f t="shared" si="5"/>
        <v>0</v>
      </c>
      <c r="Z29" s="49">
        <v>0</v>
      </c>
      <c r="AA29" s="49">
        <v>0</v>
      </c>
      <c r="AB29" s="49">
        <v>0</v>
      </c>
      <c r="AC29" s="49">
        <v>0</v>
      </c>
      <c r="AD29" s="50">
        <f t="shared" si="1"/>
        <v>2000</v>
      </c>
      <c r="AE29" s="2"/>
      <c r="AM29" s="2"/>
      <c r="BA29" s="2"/>
      <c r="BD29" s="36"/>
    </row>
    <row r="30" spans="1:57" s="43" customFormat="1" ht="25.5" customHeight="1">
      <c r="A30" s="54"/>
      <c r="B30" s="57" t="s">
        <v>11</v>
      </c>
      <c r="C30" s="52"/>
      <c r="D30" s="51"/>
      <c r="E30" s="49">
        <f t="shared" si="0"/>
        <v>327655.5</v>
      </c>
      <c r="F30" s="49">
        <f>F27+F26+F25+F24+F23+F22+F21+F20+F19+F18+F17+F16+F15+F14+F13+F12+F11+F10+F9+F8</f>
        <v>327655.5</v>
      </c>
      <c r="G30" s="49">
        <f aca="true" t="shared" si="7" ref="G30:S30">G27+G26+G25+G24+G23+G22+G21+G20+G19+G18+G17+G16+G15+G14+G13+G12+G11+G10+G9+G8</f>
        <v>0</v>
      </c>
      <c r="H30" s="49">
        <f t="shared" si="7"/>
        <v>0</v>
      </c>
      <c r="I30" s="49">
        <f t="shared" si="7"/>
        <v>0</v>
      </c>
      <c r="J30" s="49">
        <f>J27+J26+J25+J24+J23+J22+J21+J20+J19+J18+J17+J16+J15+J14+J13+J12+J11+J10+J9+J8+J29+J28</f>
        <v>375658</v>
      </c>
      <c r="K30" s="49">
        <f>K27+K26+K25+K24+K23+K22+K21+K20+K19+K18+K17+K16+K15+K14+K13+K12+K11+K10+K9+K8+K29+K28</f>
        <v>375658</v>
      </c>
      <c r="L30" s="49">
        <f t="shared" si="7"/>
        <v>0</v>
      </c>
      <c r="M30" s="49">
        <f t="shared" si="7"/>
        <v>0</v>
      </c>
      <c r="N30" s="49">
        <f t="shared" si="7"/>
        <v>0</v>
      </c>
      <c r="O30" s="49">
        <f t="shared" si="7"/>
        <v>396223</v>
      </c>
      <c r="P30" s="49">
        <f t="shared" si="7"/>
        <v>396223</v>
      </c>
      <c r="Q30" s="49">
        <f t="shared" si="7"/>
        <v>0</v>
      </c>
      <c r="R30" s="49">
        <f t="shared" si="7"/>
        <v>0</v>
      </c>
      <c r="S30" s="49">
        <f t="shared" si="7"/>
        <v>0</v>
      </c>
      <c r="T30" s="49">
        <f>U30+V30+W30+X30</f>
        <v>387169</v>
      </c>
      <c r="U30" s="49">
        <f>U27+U26+U25+U24+U23+U22+U21+U20+U19+U18+U17+U16+U15+U14+U13+U12+U11+U10+U9+U8+U29+U28</f>
        <v>387169</v>
      </c>
      <c r="V30" s="49">
        <f aca="true" t="shared" si="8" ref="V30:AC30">V27+V26+V25+V24+V23+V22+V21+V20+V19+V18+V17+V16+V15+V14+V13+V12+V11+V10+V9+V8+V29</f>
        <v>0</v>
      </c>
      <c r="W30" s="49">
        <f t="shared" si="8"/>
        <v>0</v>
      </c>
      <c r="X30" s="49">
        <f t="shared" si="8"/>
        <v>0</v>
      </c>
      <c r="Y30" s="49">
        <f t="shared" si="8"/>
        <v>387169</v>
      </c>
      <c r="Z30" s="49">
        <f t="shared" si="8"/>
        <v>387169</v>
      </c>
      <c r="AA30" s="49">
        <f t="shared" si="8"/>
        <v>0</v>
      </c>
      <c r="AB30" s="49">
        <f t="shared" si="8"/>
        <v>0</v>
      </c>
      <c r="AC30" s="49">
        <f t="shared" si="8"/>
        <v>0</v>
      </c>
      <c r="AD30" s="50">
        <f>Y30+T30+O30+J30+E30</f>
        <v>1873874.5</v>
      </c>
      <c r="AE30" s="30"/>
      <c r="AF30" s="30"/>
      <c r="AG30" s="30"/>
      <c r="AI30" s="44"/>
      <c r="AJ30" s="30"/>
      <c r="AM30" s="30"/>
      <c r="BD30" s="40"/>
      <c r="BE30" s="30"/>
    </row>
    <row r="31" spans="1:55" ht="24.75" customHeight="1">
      <c r="A31" s="120" t="s">
        <v>58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12"/>
      <c r="AF31" s="13"/>
      <c r="AG31" s="2"/>
      <c r="AH31" s="2"/>
      <c r="AJ31" s="5"/>
      <c r="AK31" s="3"/>
      <c r="AL31" s="5"/>
      <c r="AM31" s="5"/>
      <c r="AN31" s="5"/>
      <c r="AO31" s="3"/>
      <c r="BA31" s="2"/>
      <c r="BB31" s="2"/>
      <c r="BC31" s="2"/>
    </row>
    <row r="32" spans="1:55" ht="30" customHeight="1">
      <c r="A32" s="54" t="s">
        <v>3</v>
      </c>
      <c r="B32" s="57" t="s">
        <v>31</v>
      </c>
      <c r="C32" s="52" t="s">
        <v>38</v>
      </c>
      <c r="D32" s="51" t="s">
        <v>51</v>
      </c>
      <c r="E32" s="49">
        <f>F32</f>
        <v>9</v>
      </c>
      <c r="F32" s="49">
        <f>43-34</f>
        <v>9</v>
      </c>
      <c r="G32" s="49">
        <v>0</v>
      </c>
      <c r="H32" s="49">
        <v>0</v>
      </c>
      <c r="I32" s="49">
        <v>0</v>
      </c>
      <c r="J32" s="49">
        <f>K32</f>
        <v>19</v>
      </c>
      <c r="K32" s="49">
        <v>19</v>
      </c>
      <c r="L32" s="49">
        <v>0</v>
      </c>
      <c r="M32" s="49">
        <v>0</v>
      </c>
      <c r="N32" s="49">
        <v>0</v>
      </c>
      <c r="O32" s="49">
        <f>P32</f>
        <v>43</v>
      </c>
      <c r="P32" s="49">
        <v>43</v>
      </c>
      <c r="Q32" s="49">
        <v>0</v>
      </c>
      <c r="R32" s="49">
        <v>0</v>
      </c>
      <c r="S32" s="49">
        <v>0</v>
      </c>
      <c r="T32" s="49">
        <f>U32</f>
        <v>43</v>
      </c>
      <c r="U32" s="49">
        <v>43</v>
      </c>
      <c r="V32" s="49">
        <v>0</v>
      </c>
      <c r="W32" s="49">
        <v>0</v>
      </c>
      <c r="X32" s="49">
        <v>0</v>
      </c>
      <c r="Y32" s="49">
        <f>Z32</f>
        <v>43</v>
      </c>
      <c r="Z32" s="49">
        <v>43</v>
      </c>
      <c r="AA32" s="49">
        <v>0</v>
      </c>
      <c r="AB32" s="49">
        <v>0</v>
      </c>
      <c r="AC32" s="49">
        <v>0</v>
      </c>
      <c r="AD32" s="50">
        <f>Y32+T32+O32+J32+E32</f>
        <v>157</v>
      </c>
      <c r="AE32" s="12"/>
      <c r="AF32" s="13"/>
      <c r="AG32" s="2"/>
      <c r="AH32" s="2"/>
      <c r="AJ32" s="5"/>
      <c r="AK32" s="3"/>
      <c r="AL32" s="5"/>
      <c r="AM32" s="5"/>
      <c r="AN32" s="5"/>
      <c r="AO32" s="3"/>
      <c r="BA32" s="2"/>
      <c r="BB32" s="2"/>
      <c r="BC32" s="2"/>
    </row>
    <row r="33" spans="1:55" ht="33" customHeight="1">
      <c r="A33" s="54" t="s">
        <v>33</v>
      </c>
      <c r="B33" s="57" t="s">
        <v>32</v>
      </c>
      <c r="C33" s="52" t="s">
        <v>39</v>
      </c>
      <c r="D33" s="51" t="s">
        <v>51</v>
      </c>
      <c r="E33" s="49">
        <f>F33</f>
        <v>13.5</v>
      </c>
      <c r="F33" s="49">
        <f>68-54.5</f>
        <v>13.5</v>
      </c>
      <c r="G33" s="49">
        <v>0</v>
      </c>
      <c r="H33" s="49">
        <v>0</v>
      </c>
      <c r="I33" s="49">
        <v>0</v>
      </c>
      <c r="J33" s="49">
        <f>K33</f>
        <v>30</v>
      </c>
      <c r="K33" s="49">
        <v>30</v>
      </c>
      <c r="L33" s="49">
        <v>0</v>
      </c>
      <c r="M33" s="49">
        <v>0</v>
      </c>
      <c r="N33" s="49">
        <v>0</v>
      </c>
      <c r="O33" s="49">
        <f>P33</f>
        <v>68</v>
      </c>
      <c r="P33" s="49">
        <v>68</v>
      </c>
      <c r="Q33" s="49">
        <v>0</v>
      </c>
      <c r="R33" s="49">
        <v>0</v>
      </c>
      <c r="S33" s="49">
        <v>0</v>
      </c>
      <c r="T33" s="49">
        <f>U33</f>
        <v>68</v>
      </c>
      <c r="U33" s="49">
        <v>68</v>
      </c>
      <c r="V33" s="49">
        <v>0</v>
      </c>
      <c r="W33" s="49">
        <v>0</v>
      </c>
      <c r="X33" s="49">
        <v>0</v>
      </c>
      <c r="Y33" s="49">
        <f>Z33</f>
        <v>68</v>
      </c>
      <c r="Z33" s="49">
        <v>68</v>
      </c>
      <c r="AA33" s="49">
        <v>0</v>
      </c>
      <c r="AB33" s="49">
        <v>0</v>
      </c>
      <c r="AC33" s="49">
        <v>0</v>
      </c>
      <c r="AD33" s="50">
        <f>Y33+T33+O33+J33+E33</f>
        <v>247.5</v>
      </c>
      <c r="AE33" s="12"/>
      <c r="AF33" s="13"/>
      <c r="AG33" s="2"/>
      <c r="AH33" s="2"/>
      <c r="AJ33" s="5"/>
      <c r="AK33" s="3"/>
      <c r="AL33" s="5"/>
      <c r="AM33" s="5"/>
      <c r="AN33" s="5"/>
      <c r="AO33" s="3"/>
      <c r="BA33" s="2"/>
      <c r="BB33" s="2"/>
      <c r="BC33" s="2"/>
    </row>
    <row r="34" spans="1:53" ht="77.25" customHeight="1">
      <c r="A34" s="54" t="s">
        <v>34</v>
      </c>
      <c r="B34" s="57" t="s">
        <v>35</v>
      </c>
      <c r="C34" s="52" t="s">
        <v>10</v>
      </c>
      <c r="D34" s="51" t="s">
        <v>51</v>
      </c>
      <c r="E34" s="49">
        <f>F34</f>
        <v>87.5</v>
      </c>
      <c r="F34" s="49">
        <f>442-354.5</f>
        <v>87.5</v>
      </c>
      <c r="G34" s="49">
        <v>0</v>
      </c>
      <c r="H34" s="49">
        <v>0</v>
      </c>
      <c r="I34" s="49">
        <v>0</v>
      </c>
      <c r="J34" s="49">
        <f>K34</f>
        <v>197</v>
      </c>
      <c r="K34" s="49">
        <v>197</v>
      </c>
      <c r="L34" s="49">
        <v>0</v>
      </c>
      <c r="M34" s="49">
        <v>0</v>
      </c>
      <c r="N34" s="49">
        <v>0</v>
      </c>
      <c r="O34" s="49">
        <f>P34</f>
        <v>770</v>
      </c>
      <c r="P34" s="49">
        <v>770</v>
      </c>
      <c r="Q34" s="49">
        <v>0</v>
      </c>
      <c r="R34" s="49">
        <v>0</v>
      </c>
      <c r="S34" s="49">
        <v>0</v>
      </c>
      <c r="T34" s="49">
        <f>U34</f>
        <v>770</v>
      </c>
      <c r="U34" s="49">
        <v>770</v>
      </c>
      <c r="V34" s="49">
        <v>0</v>
      </c>
      <c r="W34" s="49">
        <v>0</v>
      </c>
      <c r="X34" s="49">
        <v>0</v>
      </c>
      <c r="Y34" s="49">
        <f>Z34</f>
        <v>770</v>
      </c>
      <c r="Z34" s="49">
        <v>770</v>
      </c>
      <c r="AA34" s="49">
        <v>0</v>
      </c>
      <c r="AB34" s="49">
        <v>0</v>
      </c>
      <c r="AC34" s="49">
        <v>0</v>
      </c>
      <c r="AD34" s="50">
        <f>Y34+T34+O34+J34+E34</f>
        <v>2594.5</v>
      </c>
      <c r="AE34" s="16"/>
      <c r="AF34" s="2"/>
      <c r="AG34" s="2"/>
      <c r="AH34" s="2"/>
      <c r="AJ34" s="5"/>
      <c r="AK34" s="3"/>
      <c r="AL34" s="5"/>
      <c r="AM34" s="5"/>
      <c r="AN34" s="14"/>
      <c r="AO34" s="3"/>
      <c r="AQ34" s="2"/>
      <c r="BA34" s="2"/>
    </row>
    <row r="35" spans="1:53" ht="62.25" customHeight="1">
      <c r="A35" s="54" t="s">
        <v>45</v>
      </c>
      <c r="B35" s="57" t="s">
        <v>113</v>
      </c>
      <c r="C35" s="52" t="s">
        <v>10</v>
      </c>
      <c r="D35" s="51" t="s">
        <v>51</v>
      </c>
      <c r="E35" s="49">
        <f>F35+G35</f>
        <v>1008</v>
      </c>
      <c r="F35" s="49">
        <f>60-15</f>
        <v>45</v>
      </c>
      <c r="G35" s="49">
        <v>963</v>
      </c>
      <c r="H35" s="49">
        <v>0</v>
      </c>
      <c r="I35" s="49">
        <v>0</v>
      </c>
      <c r="J35" s="49">
        <f>K35</f>
        <v>15</v>
      </c>
      <c r="K35" s="49">
        <f>60-45</f>
        <v>15</v>
      </c>
      <c r="L35" s="49">
        <v>0</v>
      </c>
      <c r="M35" s="49">
        <v>0</v>
      </c>
      <c r="N35" s="49">
        <v>0</v>
      </c>
      <c r="O35" s="49">
        <f>P35</f>
        <v>60</v>
      </c>
      <c r="P35" s="49">
        <f>60</f>
        <v>60</v>
      </c>
      <c r="Q35" s="49">
        <v>0</v>
      </c>
      <c r="R35" s="49">
        <v>0</v>
      </c>
      <c r="S35" s="49">
        <v>0</v>
      </c>
      <c r="T35" s="49">
        <f>U35</f>
        <v>60</v>
      </c>
      <c r="U35" s="49">
        <f>60</f>
        <v>60</v>
      </c>
      <c r="V35" s="49">
        <v>0</v>
      </c>
      <c r="W35" s="49">
        <v>0</v>
      </c>
      <c r="X35" s="49">
        <v>0</v>
      </c>
      <c r="Y35" s="49">
        <f>Z35</f>
        <v>60</v>
      </c>
      <c r="Z35" s="49">
        <f>60</f>
        <v>60</v>
      </c>
      <c r="AA35" s="49">
        <v>0</v>
      </c>
      <c r="AB35" s="49">
        <v>0</v>
      </c>
      <c r="AC35" s="49">
        <v>0</v>
      </c>
      <c r="AD35" s="50">
        <f>Y35+T35+O35+J35+E35</f>
        <v>1203</v>
      </c>
      <c r="AE35" s="16"/>
      <c r="AF35" s="2"/>
      <c r="AG35" s="2"/>
      <c r="AH35" s="2"/>
      <c r="AJ35" s="5"/>
      <c r="AK35" s="3"/>
      <c r="AL35" s="5"/>
      <c r="AM35" s="5"/>
      <c r="AN35" s="14"/>
      <c r="AO35" s="3"/>
      <c r="AQ35" s="2"/>
      <c r="BA35" s="2"/>
    </row>
    <row r="36" spans="1:53" ht="27.75" customHeight="1">
      <c r="A36" s="54"/>
      <c r="B36" s="57" t="s">
        <v>12</v>
      </c>
      <c r="C36" s="52"/>
      <c r="D36" s="51"/>
      <c r="E36" s="49">
        <f>F36+G36</f>
        <v>1118</v>
      </c>
      <c r="F36" s="49">
        <f>F35+F34+F33+F32</f>
        <v>155</v>
      </c>
      <c r="G36" s="49">
        <f>G35</f>
        <v>963</v>
      </c>
      <c r="H36" s="49">
        <f>H32+H33+H34</f>
        <v>0</v>
      </c>
      <c r="I36" s="49">
        <f>I32+I33+I34</f>
        <v>0</v>
      </c>
      <c r="J36" s="49">
        <f>K36</f>
        <v>261</v>
      </c>
      <c r="K36" s="49">
        <f>K35+K34+K33+K32</f>
        <v>261</v>
      </c>
      <c r="L36" s="49">
        <f>L32+L33+L34</f>
        <v>0</v>
      </c>
      <c r="M36" s="49">
        <f>M32+M33+M34</f>
        <v>0</v>
      </c>
      <c r="N36" s="49">
        <f>N32+N33+N34</f>
        <v>0</v>
      </c>
      <c r="O36" s="49">
        <f>P36</f>
        <v>941</v>
      </c>
      <c r="P36" s="49">
        <f>P35+P34+P33+P32</f>
        <v>941</v>
      </c>
      <c r="Q36" s="49">
        <f>Q32+Q33+Q34</f>
        <v>0</v>
      </c>
      <c r="R36" s="49">
        <f>R32+R33+R34</f>
        <v>0</v>
      </c>
      <c r="S36" s="49">
        <f>S32+S33+S34</f>
        <v>0</v>
      </c>
      <c r="T36" s="49">
        <f>U36</f>
        <v>941</v>
      </c>
      <c r="U36" s="49">
        <f>U35+U34+U33+U32</f>
        <v>941</v>
      </c>
      <c r="V36" s="49">
        <f>V32+V33+V34</f>
        <v>0</v>
      </c>
      <c r="W36" s="49">
        <f>W32+W33+W34</f>
        <v>0</v>
      </c>
      <c r="X36" s="49">
        <f>X32+X33+X34</f>
        <v>0</v>
      </c>
      <c r="Y36" s="49">
        <f>Z36</f>
        <v>941</v>
      </c>
      <c r="Z36" s="49">
        <f>Z35+Z34+Z33+Z32</f>
        <v>941</v>
      </c>
      <c r="AA36" s="49">
        <f>AA32+AA33+AA34</f>
        <v>0</v>
      </c>
      <c r="AB36" s="49">
        <f>AB32+AB33+AB34</f>
        <v>0</v>
      </c>
      <c r="AC36" s="49">
        <f>AC32+AC33+AC34</f>
        <v>0</v>
      </c>
      <c r="AD36" s="50">
        <f>Y36+T36+O36+J36+E36</f>
        <v>4202</v>
      </c>
      <c r="AE36" s="16"/>
      <c r="AF36" s="2"/>
      <c r="AG36" s="2"/>
      <c r="AH36" s="2"/>
      <c r="AJ36" s="5"/>
      <c r="AK36" s="5"/>
      <c r="AL36" s="5"/>
      <c r="AM36" s="5"/>
      <c r="AN36" s="14"/>
      <c r="AO36" s="3"/>
      <c r="AQ36" s="2"/>
      <c r="BA36" s="2"/>
    </row>
    <row r="37" spans="1:53" ht="30.75" customHeight="1">
      <c r="A37" s="114" t="s">
        <v>36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6"/>
      <c r="AE37" s="16"/>
      <c r="AF37" s="2"/>
      <c r="AG37" s="2"/>
      <c r="AH37" s="2"/>
      <c r="AJ37" s="5"/>
      <c r="AK37" s="3"/>
      <c r="AL37" s="5"/>
      <c r="AM37" s="5"/>
      <c r="AN37" s="14"/>
      <c r="AO37" s="3"/>
      <c r="AQ37" s="2"/>
      <c r="BA37" s="2"/>
    </row>
    <row r="38" spans="1:53" ht="45" customHeight="1">
      <c r="A38" s="54" t="s">
        <v>21</v>
      </c>
      <c r="B38" s="57" t="s">
        <v>18</v>
      </c>
      <c r="C38" s="52" t="s">
        <v>10</v>
      </c>
      <c r="D38" s="51" t="s">
        <v>51</v>
      </c>
      <c r="E38" s="49">
        <f>F38+G38+H38+I38</f>
        <v>1679</v>
      </c>
      <c r="F38" s="49">
        <f>1908-229</f>
        <v>1679</v>
      </c>
      <c r="G38" s="49">
        <v>0</v>
      </c>
      <c r="H38" s="49">
        <v>0</v>
      </c>
      <c r="I38" s="49">
        <v>0</v>
      </c>
      <c r="J38" s="49">
        <f>K38+L38+M38+N38</f>
        <v>3676</v>
      </c>
      <c r="K38" s="49">
        <f>4069-10-383</f>
        <v>3676</v>
      </c>
      <c r="L38" s="49">
        <v>0</v>
      </c>
      <c r="M38" s="49">
        <v>0</v>
      </c>
      <c r="N38" s="49">
        <v>0</v>
      </c>
      <c r="O38" s="49">
        <f>P38+Q38+R38+S38</f>
        <v>4110</v>
      </c>
      <c r="P38" s="49">
        <v>4110</v>
      </c>
      <c r="Q38" s="49">
        <v>0</v>
      </c>
      <c r="R38" s="49">
        <v>0</v>
      </c>
      <c r="S38" s="49">
        <v>0</v>
      </c>
      <c r="T38" s="49">
        <f>U38+V38+W38+X38</f>
        <v>4110</v>
      </c>
      <c r="U38" s="49">
        <v>4110</v>
      </c>
      <c r="V38" s="49">
        <v>0</v>
      </c>
      <c r="W38" s="49">
        <v>0</v>
      </c>
      <c r="X38" s="49">
        <v>0</v>
      </c>
      <c r="Y38" s="49">
        <f>Z38+AA38+AB38+AC38</f>
        <v>4110</v>
      </c>
      <c r="Z38" s="49">
        <v>4110</v>
      </c>
      <c r="AA38" s="49">
        <v>0</v>
      </c>
      <c r="AB38" s="49">
        <v>0</v>
      </c>
      <c r="AC38" s="49">
        <v>0</v>
      </c>
      <c r="AD38" s="50">
        <f>Y38+T38+O38+J38+E38</f>
        <v>17685</v>
      </c>
      <c r="AE38" s="2"/>
      <c r="AF38" s="15"/>
      <c r="AG38" s="2"/>
      <c r="AH38" s="2"/>
      <c r="AI38" s="32"/>
      <c r="AJ38" s="5"/>
      <c r="AK38" s="5"/>
      <c r="AL38" s="5"/>
      <c r="AM38" s="3"/>
      <c r="AN38" s="5"/>
      <c r="AO38" s="3"/>
      <c r="BA38" s="2"/>
    </row>
    <row r="39" spans="1:57" ht="45" customHeight="1">
      <c r="A39" s="54" t="s">
        <v>22</v>
      </c>
      <c r="B39" s="57" t="s">
        <v>74</v>
      </c>
      <c r="C39" s="52" t="s">
        <v>10</v>
      </c>
      <c r="D39" s="51" t="s">
        <v>51</v>
      </c>
      <c r="E39" s="49">
        <f>F39+G39+H39+I39</f>
        <v>8643</v>
      </c>
      <c r="F39" s="49">
        <f>10265-1622</f>
        <v>8643</v>
      </c>
      <c r="G39" s="49">
        <v>0</v>
      </c>
      <c r="H39" s="49">
        <v>0</v>
      </c>
      <c r="I39" s="49">
        <v>0</v>
      </c>
      <c r="J39" s="61">
        <f>K39+L39+M39+N39</f>
        <v>15090</v>
      </c>
      <c r="K39" s="49">
        <f>7337+5455+383+352+33+21+799+95+615</f>
        <v>15090</v>
      </c>
      <c r="L39" s="49">
        <v>0</v>
      </c>
      <c r="M39" s="49">
        <v>0</v>
      </c>
      <c r="N39" s="49">
        <v>0</v>
      </c>
      <c r="O39" s="49">
        <f>P39+Q39+R39+S39</f>
        <v>10994</v>
      </c>
      <c r="P39" s="49">
        <v>10994</v>
      </c>
      <c r="Q39" s="49">
        <v>0</v>
      </c>
      <c r="R39" s="49">
        <v>0</v>
      </c>
      <c r="S39" s="49">
        <v>0</v>
      </c>
      <c r="T39" s="49">
        <f>U39+V39+W39+X39</f>
        <v>8461</v>
      </c>
      <c r="U39" s="49">
        <v>8461</v>
      </c>
      <c r="V39" s="49">
        <v>0</v>
      </c>
      <c r="W39" s="49">
        <v>0</v>
      </c>
      <c r="X39" s="49">
        <v>0</v>
      </c>
      <c r="Y39" s="49">
        <f aca="true" t="shared" si="9" ref="Y39:Y51">Z39+AA39+AB39+AC39</f>
        <v>8461</v>
      </c>
      <c r="Z39" s="49">
        <v>8461</v>
      </c>
      <c r="AA39" s="49">
        <v>0</v>
      </c>
      <c r="AB39" s="49">
        <v>0</v>
      </c>
      <c r="AC39" s="49">
        <v>0</v>
      </c>
      <c r="AD39" s="50">
        <f aca="true" t="shared" si="10" ref="AD39:AD50">Y39+T39+O39+J39+E39</f>
        <v>51649</v>
      </c>
      <c r="AE39" s="2"/>
      <c r="AF39" s="15"/>
      <c r="AG39" s="2"/>
      <c r="AH39" s="2"/>
      <c r="AI39" s="32"/>
      <c r="AJ39" s="5"/>
      <c r="AK39" s="3"/>
      <c r="AL39" s="5"/>
      <c r="AM39" s="3"/>
      <c r="AN39" s="5"/>
      <c r="AO39" s="3"/>
      <c r="BA39" s="2"/>
      <c r="BE39" s="2"/>
    </row>
    <row r="40" spans="1:53" ht="44.25" customHeight="1">
      <c r="A40" s="54" t="s">
        <v>23</v>
      </c>
      <c r="B40" s="57" t="s">
        <v>30</v>
      </c>
      <c r="C40" s="52" t="s">
        <v>10</v>
      </c>
      <c r="D40" s="51" t="s">
        <v>51</v>
      </c>
      <c r="E40" s="49">
        <f>F40</f>
        <v>7188</v>
      </c>
      <c r="F40" s="49">
        <v>7188</v>
      </c>
      <c r="G40" s="49">
        <v>0</v>
      </c>
      <c r="H40" s="49">
        <v>0</v>
      </c>
      <c r="I40" s="49">
        <v>0</v>
      </c>
      <c r="J40" s="49">
        <f>K40</f>
        <v>3453</v>
      </c>
      <c r="K40" s="49">
        <v>3453</v>
      </c>
      <c r="L40" s="49">
        <v>0</v>
      </c>
      <c r="M40" s="49">
        <v>0</v>
      </c>
      <c r="N40" s="49">
        <v>0</v>
      </c>
      <c r="O40" s="49">
        <f>P40</f>
        <v>3544</v>
      </c>
      <c r="P40" s="49">
        <v>3544</v>
      </c>
      <c r="Q40" s="49">
        <v>0</v>
      </c>
      <c r="R40" s="49">
        <v>0</v>
      </c>
      <c r="S40" s="49">
        <v>0</v>
      </c>
      <c r="T40" s="49">
        <f>U40</f>
        <v>4059</v>
      </c>
      <c r="U40" s="49">
        <v>4059</v>
      </c>
      <c r="V40" s="49">
        <v>0</v>
      </c>
      <c r="W40" s="49">
        <v>0</v>
      </c>
      <c r="X40" s="49">
        <v>0</v>
      </c>
      <c r="Y40" s="49">
        <f t="shared" si="9"/>
        <v>4059</v>
      </c>
      <c r="Z40" s="49">
        <v>4059</v>
      </c>
      <c r="AA40" s="49">
        <v>0</v>
      </c>
      <c r="AB40" s="49">
        <v>0</v>
      </c>
      <c r="AC40" s="49">
        <v>0</v>
      </c>
      <c r="AD40" s="50">
        <f t="shared" si="10"/>
        <v>22303</v>
      </c>
      <c r="AE40" s="2"/>
      <c r="AF40" s="15"/>
      <c r="AG40" s="2"/>
      <c r="AH40" s="2"/>
      <c r="AI40" s="32"/>
      <c r="AJ40" s="5"/>
      <c r="AK40" s="3"/>
      <c r="AL40" s="5"/>
      <c r="AM40" s="3"/>
      <c r="AN40" s="5"/>
      <c r="AO40" s="3"/>
      <c r="BA40" s="2"/>
    </row>
    <row r="41" spans="1:53" ht="41.25" customHeight="1">
      <c r="A41" s="54" t="s">
        <v>24</v>
      </c>
      <c r="B41" s="57" t="s">
        <v>19</v>
      </c>
      <c r="C41" s="52" t="s">
        <v>10</v>
      </c>
      <c r="D41" s="51" t="s">
        <v>51</v>
      </c>
      <c r="E41" s="49">
        <f>F41+G41+H41+I41</f>
        <v>3078</v>
      </c>
      <c r="F41" s="49">
        <v>3078</v>
      </c>
      <c r="G41" s="49">
        <v>0</v>
      </c>
      <c r="H41" s="49">
        <v>0</v>
      </c>
      <c r="I41" s="49">
        <v>0</v>
      </c>
      <c r="J41" s="49">
        <f>K41+L41+M41+N41</f>
        <v>2955</v>
      </c>
      <c r="K41" s="49">
        <v>2955</v>
      </c>
      <c r="L41" s="49">
        <v>0</v>
      </c>
      <c r="M41" s="49">
        <v>0</v>
      </c>
      <c r="N41" s="49">
        <v>0</v>
      </c>
      <c r="O41" s="49">
        <f>P41+Q41+R41+S41</f>
        <v>3161</v>
      </c>
      <c r="P41" s="49">
        <v>3161</v>
      </c>
      <c r="Q41" s="49">
        <v>0</v>
      </c>
      <c r="R41" s="49">
        <v>0</v>
      </c>
      <c r="S41" s="49">
        <v>0</v>
      </c>
      <c r="T41" s="49">
        <f>U41+V41+W41+X41</f>
        <v>4180</v>
      </c>
      <c r="U41" s="49">
        <v>4180</v>
      </c>
      <c r="V41" s="49">
        <v>0</v>
      </c>
      <c r="W41" s="49">
        <v>0</v>
      </c>
      <c r="X41" s="49">
        <v>0</v>
      </c>
      <c r="Y41" s="49">
        <f t="shared" si="9"/>
        <v>4180</v>
      </c>
      <c r="Z41" s="49">
        <v>4180</v>
      </c>
      <c r="AA41" s="49">
        <v>0</v>
      </c>
      <c r="AB41" s="49">
        <v>0</v>
      </c>
      <c r="AC41" s="49">
        <v>0</v>
      </c>
      <c r="AD41" s="50">
        <f t="shared" si="10"/>
        <v>17554</v>
      </c>
      <c r="AE41" s="2"/>
      <c r="AF41" s="15"/>
      <c r="AG41" s="2"/>
      <c r="AH41" s="2"/>
      <c r="AI41" s="32"/>
      <c r="AJ41" s="5"/>
      <c r="AK41" s="3"/>
      <c r="AL41" s="5"/>
      <c r="AM41" s="3"/>
      <c r="AN41" s="5"/>
      <c r="AO41" s="3"/>
      <c r="BA41" s="2"/>
    </row>
    <row r="42" spans="1:53" ht="30" customHeight="1">
      <c r="A42" s="98" t="s">
        <v>25</v>
      </c>
      <c r="B42" s="134" t="s">
        <v>110</v>
      </c>
      <c r="C42" s="62" t="s">
        <v>10</v>
      </c>
      <c r="D42" s="63" t="s">
        <v>95</v>
      </c>
      <c r="E42" s="64">
        <f>F42+G42+H42</f>
        <v>0</v>
      </c>
      <c r="F42" s="64">
        <v>0</v>
      </c>
      <c r="G42" s="65">
        <v>0</v>
      </c>
      <c r="H42" s="65">
        <v>0</v>
      </c>
      <c r="I42" s="49">
        <v>0</v>
      </c>
      <c r="J42" s="49">
        <f>K42+L42+M42+N42</f>
        <v>1995</v>
      </c>
      <c r="K42" s="49">
        <f>7318-1776-2009-1538</f>
        <v>1995</v>
      </c>
      <c r="L42" s="49">
        <v>0</v>
      </c>
      <c r="M42" s="49">
        <v>0</v>
      </c>
      <c r="N42" s="49">
        <v>0</v>
      </c>
      <c r="O42" s="49">
        <f>P42+Q42+R42+S42</f>
        <v>8733</v>
      </c>
      <c r="P42" s="49">
        <v>8733</v>
      </c>
      <c r="Q42" s="49">
        <v>0</v>
      </c>
      <c r="R42" s="49">
        <v>0</v>
      </c>
      <c r="S42" s="49">
        <v>0</v>
      </c>
      <c r="T42" s="49">
        <f>U42+V42+W42+X42</f>
        <v>8733</v>
      </c>
      <c r="U42" s="49">
        <v>8733</v>
      </c>
      <c r="V42" s="49">
        <v>0</v>
      </c>
      <c r="W42" s="49">
        <v>0</v>
      </c>
      <c r="X42" s="49">
        <v>0</v>
      </c>
      <c r="Y42" s="49">
        <f t="shared" si="9"/>
        <v>8733</v>
      </c>
      <c r="Z42" s="49">
        <v>8733</v>
      </c>
      <c r="AA42" s="49">
        <v>0</v>
      </c>
      <c r="AB42" s="49">
        <v>0</v>
      </c>
      <c r="AC42" s="49">
        <v>0</v>
      </c>
      <c r="AD42" s="50">
        <f t="shared" si="10"/>
        <v>28194</v>
      </c>
      <c r="AE42" s="2"/>
      <c r="AF42" s="15"/>
      <c r="AG42" s="2"/>
      <c r="AH42" s="2"/>
      <c r="AI42" s="32"/>
      <c r="AJ42" s="5"/>
      <c r="AK42" s="3"/>
      <c r="AL42" s="5"/>
      <c r="AM42" s="3"/>
      <c r="AN42" s="5"/>
      <c r="AO42" s="3"/>
      <c r="BA42" s="2"/>
    </row>
    <row r="43" spans="1:53" ht="32.25" customHeight="1">
      <c r="A43" s="98"/>
      <c r="B43" s="134"/>
      <c r="C43" s="60" t="s">
        <v>85</v>
      </c>
      <c r="D43" s="63">
        <v>2020</v>
      </c>
      <c r="E43" s="64">
        <f>F43+G43+H43</f>
        <v>0</v>
      </c>
      <c r="F43" s="64">
        <f>1337-1337</f>
        <v>0</v>
      </c>
      <c r="G43" s="65">
        <v>0</v>
      </c>
      <c r="H43" s="65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50">
        <f t="shared" si="10"/>
        <v>0</v>
      </c>
      <c r="AE43" s="2"/>
      <c r="AF43" s="15"/>
      <c r="AG43" s="2"/>
      <c r="AH43" s="2"/>
      <c r="AI43" s="32"/>
      <c r="AJ43" s="5"/>
      <c r="AK43" s="3"/>
      <c r="AL43" s="5"/>
      <c r="AM43" s="3"/>
      <c r="AN43" s="5"/>
      <c r="AO43" s="3"/>
      <c r="BA43" s="2"/>
    </row>
    <row r="44" spans="1:53" ht="30" customHeight="1">
      <c r="A44" s="54" t="s">
        <v>26</v>
      </c>
      <c r="B44" s="57" t="s">
        <v>20</v>
      </c>
      <c r="C44" s="52" t="s">
        <v>10</v>
      </c>
      <c r="D44" s="51" t="s">
        <v>51</v>
      </c>
      <c r="E44" s="49">
        <f aca="true" t="shared" si="11" ref="E44:E51">F44+G44+H44+I44</f>
        <v>626</v>
      </c>
      <c r="F44" s="49">
        <f>629-3</f>
        <v>626</v>
      </c>
      <c r="G44" s="49">
        <v>0</v>
      </c>
      <c r="H44" s="49">
        <v>0</v>
      </c>
      <c r="I44" s="49">
        <v>0</v>
      </c>
      <c r="J44" s="49">
        <f aca="true" t="shared" si="12" ref="J44:J51">K44+L44+M44+N44</f>
        <v>798</v>
      </c>
      <c r="K44" s="49">
        <v>798</v>
      </c>
      <c r="L44" s="49">
        <v>0</v>
      </c>
      <c r="M44" s="49">
        <v>0</v>
      </c>
      <c r="N44" s="49">
        <v>0</v>
      </c>
      <c r="O44" s="49">
        <f>P44+Q44+R44+S44</f>
        <v>830</v>
      </c>
      <c r="P44" s="49">
        <v>830</v>
      </c>
      <c r="Q44" s="49">
        <v>0</v>
      </c>
      <c r="R44" s="49">
        <v>0</v>
      </c>
      <c r="S44" s="49">
        <v>0</v>
      </c>
      <c r="T44" s="49">
        <f aca="true" t="shared" si="13" ref="T44:T50">U44+V44+W44+X44</f>
        <v>830</v>
      </c>
      <c r="U44" s="49">
        <v>830</v>
      </c>
      <c r="V44" s="49">
        <v>0</v>
      </c>
      <c r="W44" s="49">
        <v>0</v>
      </c>
      <c r="X44" s="49">
        <v>0</v>
      </c>
      <c r="Y44" s="49">
        <f t="shared" si="9"/>
        <v>830</v>
      </c>
      <c r="Z44" s="49">
        <v>830</v>
      </c>
      <c r="AA44" s="49">
        <v>0</v>
      </c>
      <c r="AB44" s="49">
        <v>0</v>
      </c>
      <c r="AC44" s="49">
        <v>0</v>
      </c>
      <c r="AD44" s="50">
        <f t="shared" si="10"/>
        <v>3914</v>
      </c>
      <c r="AE44" s="2"/>
      <c r="AF44" s="15"/>
      <c r="AG44" s="2"/>
      <c r="AH44" s="2"/>
      <c r="AI44" s="32"/>
      <c r="AJ44" s="5"/>
      <c r="AK44" s="3"/>
      <c r="AL44" s="5"/>
      <c r="AM44" s="3"/>
      <c r="AN44" s="5"/>
      <c r="AO44" s="3"/>
      <c r="BA44" s="2"/>
    </row>
    <row r="45" spans="1:53" ht="30" customHeight="1">
      <c r="A45" s="54" t="s">
        <v>37</v>
      </c>
      <c r="B45" s="57" t="s">
        <v>111</v>
      </c>
      <c r="C45" s="52" t="s">
        <v>10</v>
      </c>
      <c r="D45" s="51" t="s">
        <v>51</v>
      </c>
      <c r="E45" s="49">
        <f t="shared" si="11"/>
        <v>218</v>
      </c>
      <c r="F45" s="49">
        <f>911-692-1</f>
        <v>218</v>
      </c>
      <c r="G45" s="49">
        <v>0</v>
      </c>
      <c r="H45" s="49">
        <v>0</v>
      </c>
      <c r="I45" s="49">
        <v>0</v>
      </c>
      <c r="J45" s="49">
        <f t="shared" si="12"/>
        <v>83</v>
      </c>
      <c r="K45" s="49">
        <f>476-393</f>
        <v>83</v>
      </c>
      <c r="L45" s="49">
        <v>0</v>
      </c>
      <c r="M45" s="49">
        <v>0</v>
      </c>
      <c r="N45" s="49">
        <v>0</v>
      </c>
      <c r="O45" s="49">
        <f>P45+Q45+R45+S45</f>
        <v>994</v>
      </c>
      <c r="P45" s="49">
        <v>994</v>
      </c>
      <c r="Q45" s="49">
        <v>0</v>
      </c>
      <c r="R45" s="49">
        <v>0</v>
      </c>
      <c r="S45" s="49">
        <v>0</v>
      </c>
      <c r="T45" s="49">
        <f t="shared" si="13"/>
        <v>994</v>
      </c>
      <c r="U45" s="49">
        <v>994</v>
      </c>
      <c r="V45" s="49">
        <v>0</v>
      </c>
      <c r="W45" s="49">
        <v>0</v>
      </c>
      <c r="X45" s="49">
        <v>0</v>
      </c>
      <c r="Y45" s="49">
        <f t="shared" si="9"/>
        <v>994</v>
      </c>
      <c r="Z45" s="49">
        <v>994</v>
      </c>
      <c r="AA45" s="49">
        <v>0</v>
      </c>
      <c r="AB45" s="49">
        <v>0</v>
      </c>
      <c r="AC45" s="49">
        <v>0</v>
      </c>
      <c r="AD45" s="50">
        <f t="shared" si="10"/>
        <v>3283</v>
      </c>
      <c r="AE45" s="2"/>
      <c r="AF45" s="15"/>
      <c r="AG45" s="2"/>
      <c r="AH45" s="2"/>
      <c r="AI45" s="32"/>
      <c r="AJ45" s="5"/>
      <c r="AK45" s="3"/>
      <c r="AL45" s="5"/>
      <c r="AM45" s="3"/>
      <c r="AN45" s="5"/>
      <c r="AO45" s="3"/>
      <c r="BA45" s="2"/>
    </row>
    <row r="46" spans="1:53" ht="67.5" customHeight="1">
      <c r="A46" s="54" t="s">
        <v>86</v>
      </c>
      <c r="B46" s="57" t="s">
        <v>98</v>
      </c>
      <c r="C46" s="52" t="s">
        <v>10</v>
      </c>
      <c r="D46" s="51">
        <v>2020</v>
      </c>
      <c r="E46" s="49">
        <f t="shared" si="11"/>
        <v>4091</v>
      </c>
      <c r="F46" s="49">
        <f>4162+5-353</f>
        <v>3814</v>
      </c>
      <c r="G46" s="49">
        <v>277</v>
      </c>
      <c r="H46" s="49">
        <v>0</v>
      </c>
      <c r="I46" s="49">
        <v>0</v>
      </c>
      <c r="J46" s="49">
        <f t="shared" si="12"/>
        <v>0</v>
      </c>
      <c r="K46" s="49">
        <v>0</v>
      </c>
      <c r="L46" s="49">
        <v>0</v>
      </c>
      <c r="M46" s="49">
        <v>0</v>
      </c>
      <c r="N46" s="49">
        <v>0</v>
      </c>
      <c r="O46" s="49">
        <f aca="true" t="shared" si="14" ref="O46:O51">P46+Q46+R46+S46</f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13"/>
        <v>0</v>
      </c>
      <c r="U46" s="49">
        <v>0</v>
      </c>
      <c r="V46" s="49">
        <v>0</v>
      </c>
      <c r="W46" s="49">
        <v>0</v>
      </c>
      <c r="X46" s="49">
        <v>0</v>
      </c>
      <c r="Y46" s="49">
        <f t="shared" si="9"/>
        <v>0</v>
      </c>
      <c r="Z46" s="49">
        <v>0</v>
      </c>
      <c r="AA46" s="49">
        <v>0</v>
      </c>
      <c r="AB46" s="49">
        <v>0</v>
      </c>
      <c r="AC46" s="49">
        <v>0</v>
      </c>
      <c r="AD46" s="50">
        <f t="shared" si="10"/>
        <v>4091</v>
      </c>
      <c r="AE46" s="2"/>
      <c r="AF46" s="15"/>
      <c r="AG46" s="2"/>
      <c r="AH46" s="2"/>
      <c r="AI46" s="32"/>
      <c r="AJ46" s="5"/>
      <c r="AK46" s="5"/>
      <c r="AL46" s="5"/>
      <c r="AM46" s="3"/>
      <c r="AN46" s="5"/>
      <c r="AO46" s="3"/>
      <c r="BA46" s="2"/>
    </row>
    <row r="47" spans="1:53" ht="81.75" customHeight="1">
      <c r="A47" s="54" t="s">
        <v>91</v>
      </c>
      <c r="B47" s="96" t="s">
        <v>127</v>
      </c>
      <c r="C47" s="66" t="s">
        <v>10</v>
      </c>
      <c r="D47" s="51">
        <v>2020</v>
      </c>
      <c r="E47" s="49">
        <f t="shared" si="11"/>
        <v>0</v>
      </c>
      <c r="F47" s="49">
        <f>6203-3597+326-2932</f>
        <v>0</v>
      </c>
      <c r="G47" s="49">
        <v>0</v>
      </c>
      <c r="H47" s="49">
        <v>0</v>
      </c>
      <c r="I47" s="49">
        <v>0</v>
      </c>
      <c r="J47" s="36">
        <f t="shared" si="12"/>
        <v>7425</v>
      </c>
      <c r="K47" s="36">
        <f>6709+393+2009-922-33-731</f>
        <v>7425</v>
      </c>
      <c r="L47" s="49">
        <v>0</v>
      </c>
      <c r="M47" s="49">
        <v>0</v>
      </c>
      <c r="N47" s="49">
        <v>0</v>
      </c>
      <c r="O47" s="49">
        <f t="shared" si="14"/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13"/>
        <v>5999</v>
      </c>
      <c r="U47" s="49">
        <v>5999</v>
      </c>
      <c r="V47" s="49">
        <v>0</v>
      </c>
      <c r="W47" s="49">
        <v>0</v>
      </c>
      <c r="X47" s="49">
        <v>0</v>
      </c>
      <c r="Y47" s="49">
        <f t="shared" si="9"/>
        <v>5999</v>
      </c>
      <c r="Z47" s="49">
        <v>5999</v>
      </c>
      <c r="AA47" s="49">
        <v>0</v>
      </c>
      <c r="AB47" s="49">
        <v>0</v>
      </c>
      <c r="AC47" s="49">
        <v>0</v>
      </c>
      <c r="AD47" s="50">
        <f t="shared" si="10"/>
        <v>19423</v>
      </c>
      <c r="AE47" s="2"/>
      <c r="AF47" s="15"/>
      <c r="AG47" s="2"/>
      <c r="AH47" s="2"/>
      <c r="AJ47" s="5"/>
      <c r="AK47" s="5"/>
      <c r="AL47" s="5"/>
      <c r="AM47" s="3"/>
      <c r="AN47" s="5"/>
      <c r="AO47" s="3"/>
      <c r="BA47" s="2"/>
    </row>
    <row r="48" spans="1:53" ht="31.5" customHeight="1">
      <c r="A48" s="54" t="s">
        <v>92</v>
      </c>
      <c r="B48" s="67" t="s">
        <v>97</v>
      </c>
      <c r="C48" s="66" t="s">
        <v>10</v>
      </c>
      <c r="D48" s="51">
        <v>2020</v>
      </c>
      <c r="E48" s="49">
        <f t="shared" si="11"/>
        <v>882</v>
      </c>
      <c r="F48" s="49">
        <f>1243-1086-1+15</f>
        <v>171</v>
      </c>
      <c r="G48" s="49">
        <v>711</v>
      </c>
      <c r="H48" s="49">
        <v>0</v>
      </c>
      <c r="I48" s="49">
        <v>0</v>
      </c>
      <c r="J48" s="36">
        <f t="shared" si="12"/>
        <v>49</v>
      </c>
      <c r="K48" s="36">
        <f>1284-1235</f>
        <v>49</v>
      </c>
      <c r="L48" s="49">
        <v>0</v>
      </c>
      <c r="M48" s="49">
        <v>0</v>
      </c>
      <c r="N48" s="49">
        <v>0</v>
      </c>
      <c r="O48" s="49">
        <f t="shared" si="14"/>
        <v>2650</v>
      </c>
      <c r="P48" s="49">
        <v>2650</v>
      </c>
      <c r="Q48" s="49">
        <v>0</v>
      </c>
      <c r="R48" s="49">
        <v>0</v>
      </c>
      <c r="S48" s="49">
        <v>0</v>
      </c>
      <c r="T48" s="49">
        <f t="shared" si="13"/>
        <v>2650</v>
      </c>
      <c r="U48" s="49">
        <v>2650</v>
      </c>
      <c r="V48" s="49">
        <v>0</v>
      </c>
      <c r="W48" s="49">
        <v>0</v>
      </c>
      <c r="X48" s="49">
        <v>0</v>
      </c>
      <c r="Y48" s="49">
        <f t="shared" si="9"/>
        <v>2650</v>
      </c>
      <c r="Z48" s="49">
        <v>2650</v>
      </c>
      <c r="AA48" s="49">
        <v>0</v>
      </c>
      <c r="AB48" s="49">
        <v>0</v>
      </c>
      <c r="AC48" s="49">
        <v>0</v>
      </c>
      <c r="AD48" s="50">
        <f t="shared" si="10"/>
        <v>8881</v>
      </c>
      <c r="AE48" s="2"/>
      <c r="AF48" s="15"/>
      <c r="AG48" s="2"/>
      <c r="AH48" s="2"/>
      <c r="AJ48" s="5"/>
      <c r="AK48" s="5"/>
      <c r="AL48" s="5"/>
      <c r="AM48" s="3"/>
      <c r="AN48" s="5"/>
      <c r="AO48" s="3"/>
      <c r="BA48" s="2"/>
    </row>
    <row r="49" spans="1:53" ht="105.75" customHeight="1">
      <c r="A49" s="54" t="s">
        <v>93</v>
      </c>
      <c r="B49" s="96" t="s">
        <v>94</v>
      </c>
      <c r="C49" s="60" t="s">
        <v>85</v>
      </c>
      <c r="D49" s="51">
        <v>2020</v>
      </c>
      <c r="E49" s="49">
        <f t="shared" si="11"/>
        <v>9140</v>
      </c>
      <c r="F49" s="49">
        <f>9551-411</f>
        <v>9140</v>
      </c>
      <c r="G49" s="49">
        <v>0</v>
      </c>
      <c r="H49" s="49">
        <v>0</v>
      </c>
      <c r="I49" s="49">
        <v>0</v>
      </c>
      <c r="J49" s="36">
        <f t="shared" si="12"/>
        <v>0</v>
      </c>
      <c r="K49" s="36">
        <v>0</v>
      </c>
      <c r="L49" s="49">
        <v>0</v>
      </c>
      <c r="M49" s="49">
        <v>0</v>
      </c>
      <c r="N49" s="49">
        <v>0</v>
      </c>
      <c r="O49" s="49">
        <f t="shared" si="14"/>
        <v>0</v>
      </c>
      <c r="P49" s="49">
        <v>0</v>
      </c>
      <c r="Q49" s="49">
        <v>0</v>
      </c>
      <c r="R49" s="49">
        <v>0</v>
      </c>
      <c r="S49" s="49">
        <v>0</v>
      </c>
      <c r="T49" s="49">
        <f t="shared" si="13"/>
        <v>0</v>
      </c>
      <c r="U49" s="49">
        <v>0</v>
      </c>
      <c r="V49" s="49">
        <v>0</v>
      </c>
      <c r="W49" s="49">
        <v>0</v>
      </c>
      <c r="X49" s="49">
        <v>0</v>
      </c>
      <c r="Y49" s="49">
        <f t="shared" si="9"/>
        <v>0</v>
      </c>
      <c r="Z49" s="49">
        <v>0</v>
      </c>
      <c r="AA49" s="49">
        <v>0</v>
      </c>
      <c r="AB49" s="49">
        <v>0</v>
      </c>
      <c r="AC49" s="49">
        <v>0</v>
      </c>
      <c r="AD49" s="50">
        <f t="shared" si="10"/>
        <v>9140</v>
      </c>
      <c r="AE49" s="2"/>
      <c r="AF49" s="15"/>
      <c r="AG49" s="2"/>
      <c r="AH49" s="2"/>
      <c r="AJ49" s="5"/>
      <c r="AK49" s="3"/>
      <c r="AL49" s="5"/>
      <c r="AM49" s="3"/>
      <c r="AN49" s="5"/>
      <c r="AO49" s="3"/>
      <c r="BA49" s="2"/>
    </row>
    <row r="50" spans="1:53" ht="31.5" customHeight="1">
      <c r="A50" s="54" t="s">
        <v>115</v>
      </c>
      <c r="B50" s="96" t="s">
        <v>114</v>
      </c>
      <c r="C50" s="60" t="s">
        <v>10</v>
      </c>
      <c r="D50" s="51" t="s">
        <v>116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36">
        <f t="shared" si="12"/>
        <v>200</v>
      </c>
      <c r="K50" s="36">
        <f>221-21</f>
        <v>200</v>
      </c>
      <c r="L50" s="49">
        <v>0</v>
      </c>
      <c r="M50" s="49">
        <v>0</v>
      </c>
      <c r="N50" s="49">
        <v>0</v>
      </c>
      <c r="O50" s="49">
        <f t="shared" si="14"/>
        <v>1564</v>
      </c>
      <c r="P50" s="49">
        <v>1564</v>
      </c>
      <c r="Q50" s="49">
        <v>0</v>
      </c>
      <c r="R50" s="49">
        <v>0</v>
      </c>
      <c r="S50" s="49">
        <v>0</v>
      </c>
      <c r="T50" s="49">
        <f t="shared" si="13"/>
        <v>1564</v>
      </c>
      <c r="U50" s="49">
        <v>1564</v>
      </c>
      <c r="V50" s="49">
        <v>0</v>
      </c>
      <c r="W50" s="49">
        <v>0</v>
      </c>
      <c r="X50" s="49">
        <v>0</v>
      </c>
      <c r="Y50" s="49">
        <f t="shared" si="9"/>
        <v>1564</v>
      </c>
      <c r="Z50" s="49">
        <v>1564</v>
      </c>
      <c r="AA50" s="49">
        <v>0</v>
      </c>
      <c r="AB50" s="49">
        <v>0</v>
      </c>
      <c r="AC50" s="49">
        <v>0</v>
      </c>
      <c r="AD50" s="50">
        <f t="shared" si="10"/>
        <v>4892</v>
      </c>
      <c r="AE50" s="2"/>
      <c r="AF50" s="15"/>
      <c r="AG50" s="2"/>
      <c r="AH50" s="2"/>
      <c r="AJ50" s="5"/>
      <c r="AK50" s="3"/>
      <c r="AL50" s="5"/>
      <c r="AM50" s="3"/>
      <c r="AN50" s="5"/>
      <c r="AO50" s="3"/>
      <c r="BA50" s="2"/>
    </row>
    <row r="51" spans="1:59" s="9" customFormat="1" ht="32.25" customHeight="1">
      <c r="A51" s="54"/>
      <c r="B51" s="57" t="s">
        <v>13</v>
      </c>
      <c r="C51" s="49"/>
      <c r="D51" s="51"/>
      <c r="E51" s="49">
        <f t="shared" si="11"/>
        <v>35545</v>
      </c>
      <c r="F51" s="49">
        <f>F38+F39+F40+F41+G42+F44+F45+F46+F47+F48+F49+F42+F43</f>
        <v>34557</v>
      </c>
      <c r="G51" s="49">
        <f>G46+G48</f>
        <v>988</v>
      </c>
      <c r="H51" s="49">
        <f>H46</f>
        <v>0</v>
      </c>
      <c r="I51" s="49">
        <f>I46</f>
        <v>0</v>
      </c>
      <c r="J51" s="36">
        <f t="shared" si="12"/>
        <v>35724</v>
      </c>
      <c r="K51" s="36">
        <f>K38+K39+K40+K41+K42+K44+K45+K46+K47+K48+K49+K50</f>
        <v>35724</v>
      </c>
      <c r="L51" s="49">
        <f>L38+L39+L40+L41+L42+L44+L45+L46+L47+L48+L49+L50</f>
        <v>0</v>
      </c>
      <c r="M51" s="49">
        <f>M38+M39+M40+M41+M42+M44+M45+M46+M47+M48+M49+M50</f>
        <v>0</v>
      </c>
      <c r="N51" s="49">
        <f>N38+N39+N40+N41+N42+N44+N45+N46+N47+N48+N49+N50</f>
        <v>0</v>
      </c>
      <c r="O51" s="49">
        <f t="shared" si="14"/>
        <v>36580</v>
      </c>
      <c r="P51" s="49">
        <f>P38+P39+P40+P41+P42+P44+P45+P46+P47+P48+P49+P50</f>
        <v>36580</v>
      </c>
      <c r="Q51" s="49">
        <f>Q38+Q39+Q40+Q41+Q42+Q44+Q45+Q46+Q47+Q48+Q49+Q50</f>
        <v>0</v>
      </c>
      <c r="R51" s="49">
        <f>R38+R39+R40+R41+R42+R44+R45+R46+R47+R48+R49+R50</f>
        <v>0</v>
      </c>
      <c r="S51" s="49">
        <f>S38+S39+S40+S41+S42+S44+S45+S46+S47+S48+S49+S50</f>
        <v>0</v>
      </c>
      <c r="T51" s="49">
        <f>U51+V51+W51+X51</f>
        <v>41580</v>
      </c>
      <c r="U51" s="49">
        <f>U38+U39+U40+U41+U42+U44+U45+U46+U47+U48+U49+U50</f>
        <v>41580</v>
      </c>
      <c r="V51" s="49">
        <f>V38+V39+V40+V41+V42+V44+V45+V46+V47+V48+V49+V50</f>
        <v>0</v>
      </c>
      <c r="W51" s="49">
        <f>W38+W39+W40+W41+W42+W44+W45+W46+W47+W48+W49+W50</f>
        <v>0</v>
      </c>
      <c r="X51" s="49">
        <f>X38+X39+X40+X41+X42+X44+X45+X46+X47+X48+X49+X50</f>
        <v>0</v>
      </c>
      <c r="Y51" s="49">
        <f t="shared" si="9"/>
        <v>41580</v>
      </c>
      <c r="Z51" s="49">
        <f>Z45+Z44+Z42+Z41+Z40+Z39+Z38+Z46+Z47+Z48+Z49+Z50+Z43</f>
        <v>41580</v>
      </c>
      <c r="AA51" s="49">
        <f>SUM(AA38:AA44)</f>
        <v>0</v>
      </c>
      <c r="AB51" s="49">
        <f>SUM(AB38:AB44)</f>
        <v>0</v>
      </c>
      <c r="AC51" s="49">
        <f>SUM(AC38:AC44)</f>
        <v>0</v>
      </c>
      <c r="AD51" s="50">
        <f>Y51+T51+O51+J51+E51</f>
        <v>191009</v>
      </c>
      <c r="AE51" s="8"/>
      <c r="AF51" s="8"/>
      <c r="AG51" s="8"/>
      <c r="AH51" s="8"/>
      <c r="AI51" s="19"/>
      <c r="AJ51" s="8"/>
      <c r="AK51" s="8"/>
      <c r="AM51" s="8"/>
      <c r="BA51" s="8"/>
      <c r="BD51" s="8"/>
      <c r="BE51" s="8"/>
      <c r="BG51" s="8"/>
    </row>
    <row r="52" spans="1:39" ht="28.5" customHeight="1">
      <c r="A52" s="117" t="s">
        <v>70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9"/>
      <c r="AF52" s="2"/>
      <c r="AM52" s="2"/>
    </row>
    <row r="53" spans="1:30" ht="36" customHeight="1">
      <c r="A53" s="98" t="s">
        <v>4</v>
      </c>
      <c r="B53" s="112" t="s">
        <v>27</v>
      </c>
      <c r="C53" s="52" t="s">
        <v>10</v>
      </c>
      <c r="D53" s="51" t="s">
        <v>51</v>
      </c>
      <c r="E53" s="49">
        <f>F53+G53+H53+I53</f>
        <v>5943</v>
      </c>
      <c r="F53" s="49">
        <f>3830+170+192-3638+129+1622</f>
        <v>2305</v>
      </c>
      <c r="G53" s="49">
        <f>3638</f>
        <v>3638</v>
      </c>
      <c r="H53" s="49">
        <v>0</v>
      </c>
      <c r="I53" s="49">
        <v>0</v>
      </c>
      <c r="J53" s="49">
        <f aca="true" t="shared" si="15" ref="J53:J58">K53+L53+M53+N53</f>
        <v>730</v>
      </c>
      <c r="K53" s="49">
        <f>902-172</f>
        <v>730</v>
      </c>
      <c r="L53" s="49">
        <v>0</v>
      </c>
      <c r="M53" s="49">
        <v>0</v>
      </c>
      <c r="N53" s="49">
        <v>0</v>
      </c>
      <c r="O53" s="49">
        <f aca="true" t="shared" si="16" ref="O53:O58">P53+Q53+R53+S53</f>
        <v>2146</v>
      </c>
      <c r="P53" s="49">
        <v>2146</v>
      </c>
      <c r="Q53" s="49">
        <v>0</v>
      </c>
      <c r="R53" s="49">
        <v>0</v>
      </c>
      <c r="S53" s="49">
        <v>0</v>
      </c>
      <c r="T53" s="49">
        <f>U53+V53+W53+X53</f>
        <v>2146</v>
      </c>
      <c r="U53" s="49">
        <v>2146</v>
      </c>
      <c r="V53" s="49">
        <v>0</v>
      </c>
      <c r="W53" s="49">
        <v>0</v>
      </c>
      <c r="X53" s="49">
        <v>0</v>
      </c>
      <c r="Y53" s="49">
        <f>Z53</f>
        <v>2146</v>
      </c>
      <c r="Z53" s="49">
        <v>2146</v>
      </c>
      <c r="AA53" s="49">
        <v>0</v>
      </c>
      <c r="AB53" s="49">
        <v>0</v>
      </c>
      <c r="AC53" s="49">
        <v>0</v>
      </c>
      <c r="AD53" s="50">
        <f aca="true" t="shared" si="17" ref="AD53:AD59">Y53+T53+O53+J53+E53</f>
        <v>13111</v>
      </c>
    </row>
    <row r="54" spans="1:63" ht="35.25" customHeight="1">
      <c r="A54" s="98"/>
      <c r="B54" s="112"/>
      <c r="C54" s="52" t="s">
        <v>85</v>
      </c>
      <c r="D54" s="51" t="s">
        <v>87</v>
      </c>
      <c r="E54" s="49">
        <f>F54</f>
        <v>362.1</v>
      </c>
      <c r="F54" s="49">
        <v>362.1</v>
      </c>
      <c r="G54" s="49">
        <v>0</v>
      </c>
      <c r="H54" s="49">
        <v>0</v>
      </c>
      <c r="I54" s="49">
        <v>0</v>
      </c>
      <c r="J54" s="49">
        <f t="shared" si="15"/>
        <v>356</v>
      </c>
      <c r="K54" s="36">
        <v>356</v>
      </c>
      <c r="L54" s="49">
        <v>0</v>
      </c>
      <c r="M54" s="49">
        <v>0</v>
      </c>
      <c r="N54" s="49">
        <v>0</v>
      </c>
      <c r="O54" s="49">
        <f t="shared" si="16"/>
        <v>393</v>
      </c>
      <c r="P54" s="49">
        <v>393</v>
      </c>
      <c r="Q54" s="49">
        <v>0</v>
      </c>
      <c r="R54" s="49">
        <v>0</v>
      </c>
      <c r="S54" s="49">
        <v>0</v>
      </c>
      <c r="T54" s="49">
        <f>U54+V54+W54+X54</f>
        <v>393</v>
      </c>
      <c r="U54" s="49">
        <v>393</v>
      </c>
      <c r="V54" s="49">
        <v>0</v>
      </c>
      <c r="W54" s="49">
        <v>0</v>
      </c>
      <c r="X54" s="49">
        <v>0</v>
      </c>
      <c r="Y54" s="49">
        <f>Z54</f>
        <v>393</v>
      </c>
      <c r="Z54" s="49">
        <v>393</v>
      </c>
      <c r="AA54" s="49">
        <v>0</v>
      </c>
      <c r="AB54" s="49">
        <v>0</v>
      </c>
      <c r="AC54" s="49">
        <v>0</v>
      </c>
      <c r="AD54" s="50">
        <f t="shared" si="17"/>
        <v>1897.1</v>
      </c>
      <c r="BE54" s="2"/>
      <c r="BF54" s="97"/>
      <c r="BG54" s="97"/>
      <c r="BH54" s="97"/>
      <c r="BI54" s="97"/>
      <c r="BJ54" s="97"/>
      <c r="BK54" s="97"/>
    </row>
    <row r="55" spans="1:63" ht="32.25" customHeight="1">
      <c r="A55" s="132" t="s">
        <v>14</v>
      </c>
      <c r="B55" s="135" t="s">
        <v>73</v>
      </c>
      <c r="C55" s="52" t="s">
        <v>10</v>
      </c>
      <c r="D55" s="51" t="s">
        <v>131</v>
      </c>
      <c r="E55" s="49">
        <f>F55</f>
        <v>0</v>
      </c>
      <c r="F55" s="49">
        <f>1000-129-871</f>
        <v>0</v>
      </c>
      <c r="G55" s="49">
        <v>0</v>
      </c>
      <c r="H55" s="49">
        <v>0</v>
      </c>
      <c r="I55" s="49">
        <v>0</v>
      </c>
      <c r="J55" s="49">
        <f t="shared" si="15"/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16"/>
        <v>0</v>
      </c>
      <c r="P55" s="49">
        <v>0</v>
      </c>
      <c r="Q55" s="49">
        <v>0</v>
      </c>
      <c r="R55" s="49">
        <v>0</v>
      </c>
      <c r="S55" s="49">
        <v>0</v>
      </c>
      <c r="T55" s="49">
        <f>U55</f>
        <v>0</v>
      </c>
      <c r="U55" s="49">
        <v>0</v>
      </c>
      <c r="V55" s="49">
        <v>0</v>
      </c>
      <c r="W55" s="49">
        <v>0</v>
      </c>
      <c r="X55" s="49">
        <v>0</v>
      </c>
      <c r="Y55" s="49">
        <f>Z55</f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f t="shared" si="17"/>
        <v>0</v>
      </c>
      <c r="AE55" s="2"/>
      <c r="BA55" s="2"/>
      <c r="BB55" s="2"/>
      <c r="BE55" s="2"/>
      <c r="BF55" s="97"/>
      <c r="BG55" s="97"/>
      <c r="BH55" s="97"/>
      <c r="BI55" s="97"/>
      <c r="BJ55" s="97"/>
      <c r="BK55" s="97"/>
    </row>
    <row r="56" spans="1:63" s="24" customFormat="1" ht="31.5" customHeight="1">
      <c r="A56" s="133"/>
      <c r="B56" s="137"/>
      <c r="C56" s="52" t="s">
        <v>85</v>
      </c>
      <c r="D56" s="51" t="s">
        <v>116</v>
      </c>
      <c r="E56" s="49">
        <f>F56</f>
        <v>0</v>
      </c>
      <c r="F56" s="49">
        <f>1000-129-871</f>
        <v>0</v>
      </c>
      <c r="G56" s="49">
        <v>0</v>
      </c>
      <c r="H56" s="49">
        <v>0</v>
      </c>
      <c r="I56" s="49">
        <v>0</v>
      </c>
      <c r="J56" s="49">
        <f t="shared" si="15"/>
        <v>306</v>
      </c>
      <c r="K56" s="36">
        <v>306</v>
      </c>
      <c r="L56" s="49">
        <v>0</v>
      </c>
      <c r="M56" s="49">
        <v>0</v>
      </c>
      <c r="N56" s="49">
        <v>0</v>
      </c>
      <c r="O56" s="49">
        <f t="shared" si="16"/>
        <v>0</v>
      </c>
      <c r="P56" s="49">
        <v>0</v>
      </c>
      <c r="Q56" s="49">
        <v>0</v>
      </c>
      <c r="R56" s="49">
        <v>0</v>
      </c>
      <c r="S56" s="49">
        <v>0</v>
      </c>
      <c r="T56" s="49">
        <f>U56</f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50">
        <f t="shared" si="17"/>
        <v>306</v>
      </c>
      <c r="AE56" s="81"/>
      <c r="AI56" s="82"/>
      <c r="BA56" s="81"/>
      <c r="BB56" s="81"/>
      <c r="BE56" s="81"/>
      <c r="BF56" s="83"/>
      <c r="BG56" s="83"/>
      <c r="BH56" s="83"/>
      <c r="BI56" s="83"/>
      <c r="BJ56" s="83"/>
      <c r="BK56" s="83"/>
    </row>
    <row r="57" spans="1:63" ht="39.75" customHeight="1">
      <c r="A57" s="98" t="s">
        <v>17</v>
      </c>
      <c r="B57" s="112" t="s">
        <v>44</v>
      </c>
      <c r="C57" s="52" t="s">
        <v>10</v>
      </c>
      <c r="D57" s="51" t="s">
        <v>51</v>
      </c>
      <c r="E57" s="49">
        <f>F57</f>
        <v>9323</v>
      </c>
      <c r="F57" s="49">
        <f>2469+300+996+2719+2100-132+871</f>
        <v>9323</v>
      </c>
      <c r="G57" s="49">
        <v>0</v>
      </c>
      <c r="H57" s="49">
        <v>0</v>
      </c>
      <c r="I57" s="49">
        <v>0</v>
      </c>
      <c r="J57" s="49">
        <f t="shared" si="15"/>
        <v>19398</v>
      </c>
      <c r="K57" s="49">
        <f>3946+1709+10000-39+110+25+515+172+2960</f>
        <v>19398</v>
      </c>
      <c r="L57" s="49">
        <v>0</v>
      </c>
      <c r="M57" s="49">
        <v>0</v>
      </c>
      <c r="N57" s="49">
        <v>0</v>
      </c>
      <c r="O57" s="49">
        <f t="shared" si="16"/>
        <v>7884</v>
      </c>
      <c r="P57" s="49">
        <v>7884</v>
      </c>
      <c r="Q57" s="49">
        <v>0</v>
      </c>
      <c r="R57" s="49">
        <v>0</v>
      </c>
      <c r="S57" s="49">
        <v>0</v>
      </c>
      <c r="T57" s="49">
        <f>U57+V57+W57+X57</f>
        <v>7884</v>
      </c>
      <c r="U57" s="49">
        <v>7884</v>
      </c>
      <c r="V57" s="49">
        <v>0</v>
      </c>
      <c r="W57" s="49">
        <v>0</v>
      </c>
      <c r="X57" s="49">
        <v>0</v>
      </c>
      <c r="Y57" s="49">
        <f>Z57</f>
        <v>7884</v>
      </c>
      <c r="Z57" s="49">
        <v>7884</v>
      </c>
      <c r="AA57" s="49">
        <v>0</v>
      </c>
      <c r="AB57" s="49">
        <v>0</v>
      </c>
      <c r="AC57" s="49">
        <v>0</v>
      </c>
      <c r="AD57" s="50">
        <f t="shared" si="17"/>
        <v>52373</v>
      </c>
      <c r="AE57" s="2"/>
      <c r="AF57" s="2"/>
      <c r="AH57" s="2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2"/>
      <c r="BA57" s="2"/>
      <c r="BE57" s="2"/>
      <c r="BF57" s="97"/>
      <c r="BG57" s="97"/>
      <c r="BH57" s="97"/>
      <c r="BI57" s="97"/>
      <c r="BJ57" s="97"/>
      <c r="BK57" s="97"/>
    </row>
    <row r="58" spans="1:63" ht="35.25" customHeight="1">
      <c r="A58" s="98"/>
      <c r="B58" s="112"/>
      <c r="C58" s="52" t="s">
        <v>85</v>
      </c>
      <c r="D58" s="51" t="s">
        <v>51</v>
      </c>
      <c r="E58" s="49">
        <f>F58+G58+H58+I58</f>
        <v>2397.9</v>
      </c>
      <c r="F58" s="49">
        <f>1927.2-32+502.7</f>
        <v>2397.9</v>
      </c>
      <c r="G58" s="49">
        <v>0</v>
      </c>
      <c r="H58" s="49">
        <v>0</v>
      </c>
      <c r="I58" s="49">
        <v>0</v>
      </c>
      <c r="J58" s="49">
        <f t="shared" si="15"/>
        <v>1979</v>
      </c>
      <c r="K58" s="36">
        <f>2059-80</f>
        <v>1979</v>
      </c>
      <c r="L58" s="49">
        <v>0</v>
      </c>
      <c r="M58" s="49">
        <v>0</v>
      </c>
      <c r="N58" s="49">
        <v>0</v>
      </c>
      <c r="O58" s="49">
        <f t="shared" si="16"/>
        <v>1623</v>
      </c>
      <c r="P58" s="49">
        <v>1623</v>
      </c>
      <c r="Q58" s="49">
        <v>0</v>
      </c>
      <c r="R58" s="49">
        <v>0</v>
      </c>
      <c r="S58" s="49">
        <v>0</v>
      </c>
      <c r="T58" s="49">
        <f>U58+V58+W58+X58</f>
        <v>1414</v>
      </c>
      <c r="U58" s="49">
        <v>1414</v>
      </c>
      <c r="V58" s="49">
        <v>0</v>
      </c>
      <c r="W58" s="49">
        <v>0</v>
      </c>
      <c r="X58" s="49">
        <v>0</v>
      </c>
      <c r="Y58" s="49">
        <f>Z58+AA58+AB58+AC58</f>
        <v>1414</v>
      </c>
      <c r="Z58" s="49">
        <v>1414</v>
      </c>
      <c r="AA58" s="49">
        <v>0</v>
      </c>
      <c r="AB58" s="49">
        <v>0</v>
      </c>
      <c r="AC58" s="49">
        <v>0</v>
      </c>
      <c r="AD58" s="50">
        <f t="shared" si="17"/>
        <v>8827.9</v>
      </c>
      <c r="AE58" s="2"/>
      <c r="AF58" s="2"/>
      <c r="AI58" s="111"/>
      <c r="AJ58" s="111"/>
      <c r="AK58" s="111"/>
      <c r="AL58" s="45"/>
      <c r="AM58" s="46"/>
      <c r="AN58" s="46"/>
      <c r="AO58" s="46"/>
      <c r="AP58" s="46"/>
      <c r="AQ58" s="46"/>
      <c r="AR58" s="46"/>
      <c r="AS58" s="2"/>
      <c r="BA58" s="2"/>
      <c r="BE58" s="2"/>
      <c r="BF58" s="97"/>
      <c r="BG58" s="97"/>
      <c r="BH58" s="97"/>
      <c r="BI58" s="97"/>
      <c r="BJ58" s="97"/>
      <c r="BK58" s="97"/>
    </row>
    <row r="59" spans="1:57" s="9" customFormat="1" ht="36.75" customHeight="1">
      <c r="A59" s="54"/>
      <c r="B59" s="57" t="s">
        <v>15</v>
      </c>
      <c r="C59" s="52"/>
      <c r="D59" s="51"/>
      <c r="E59" s="49">
        <f>F59+G59+H59+I59</f>
        <v>18026</v>
      </c>
      <c r="F59" s="49">
        <f>F53+F55+F57+F58+F54</f>
        <v>14388</v>
      </c>
      <c r="G59" s="49">
        <f>G53+G55+G57+G58</f>
        <v>3638</v>
      </c>
      <c r="H59" s="49">
        <f>H53+H55+H57+H58</f>
        <v>0</v>
      </c>
      <c r="I59" s="49">
        <f>I53+I55+I57+I58</f>
        <v>0</v>
      </c>
      <c r="J59" s="49">
        <f>J53+J55+J57+J58+J54+J56</f>
        <v>22769</v>
      </c>
      <c r="K59" s="49">
        <f>K53+K55+K57+K58+K54+K56</f>
        <v>22769</v>
      </c>
      <c r="L59" s="49">
        <f aca="true" t="shared" si="18" ref="L59:AC59">L53+L55+L57+L58+L54</f>
        <v>0</v>
      </c>
      <c r="M59" s="49">
        <f t="shared" si="18"/>
        <v>0</v>
      </c>
      <c r="N59" s="49">
        <f t="shared" si="18"/>
        <v>0</v>
      </c>
      <c r="O59" s="49">
        <f>O53+O55+O57+O58+O54</f>
        <v>12046</v>
      </c>
      <c r="P59" s="49">
        <f>P53+P55+P57+P58+P54</f>
        <v>12046</v>
      </c>
      <c r="Q59" s="49">
        <f>Q53+Q55+Q57+Q58+Q54</f>
        <v>0</v>
      </c>
      <c r="R59" s="49">
        <f>R53+R55+R57+R58+R54</f>
        <v>0</v>
      </c>
      <c r="S59" s="49">
        <f>S53+S55+S57+S58+S54</f>
        <v>0</v>
      </c>
      <c r="T59" s="49">
        <f t="shared" si="18"/>
        <v>11837</v>
      </c>
      <c r="U59" s="49">
        <f t="shared" si="18"/>
        <v>11837</v>
      </c>
      <c r="V59" s="49">
        <f t="shared" si="18"/>
        <v>0</v>
      </c>
      <c r="W59" s="49">
        <f t="shared" si="18"/>
        <v>0</v>
      </c>
      <c r="X59" s="49">
        <f t="shared" si="18"/>
        <v>0</v>
      </c>
      <c r="Y59" s="49">
        <f t="shared" si="18"/>
        <v>11837</v>
      </c>
      <c r="Z59" s="49">
        <f t="shared" si="18"/>
        <v>11837</v>
      </c>
      <c r="AA59" s="49">
        <f t="shared" si="18"/>
        <v>0</v>
      </c>
      <c r="AB59" s="49">
        <f t="shared" si="18"/>
        <v>0</v>
      </c>
      <c r="AC59" s="49">
        <f t="shared" si="18"/>
        <v>0</v>
      </c>
      <c r="AD59" s="50">
        <f t="shared" si="17"/>
        <v>76515</v>
      </c>
      <c r="AE59" s="27"/>
      <c r="AF59" s="27"/>
      <c r="AG59" s="27"/>
      <c r="AH59" s="27"/>
      <c r="AI59" s="33"/>
      <c r="AJ59" s="8"/>
      <c r="AL59" s="8"/>
      <c r="AS59" s="8"/>
      <c r="BA59" s="8"/>
      <c r="BB59" s="8"/>
      <c r="BE59" s="2"/>
    </row>
    <row r="60" spans="1:38" s="9" customFormat="1" ht="30.75" customHeight="1">
      <c r="A60" s="114" t="s">
        <v>71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6"/>
      <c r="AI60" s="31"/>
      <c r="AJ60" s="8"/>
      <c r="AL60" s="47"/>
    </row>
    <row r="61" spans="1:56" s="9" customFormat="1" ht="72" customHeight="1">
      <c r="A61" s="54" t="s">
        <v>16</v>
      </c>
      <c r="B61" s="57" t="s">
        <v>75</v>
      </c>
      <c r="C61" s="52" t="s">
        <v>10</v>
      </c>
      <c r="D61" s="51" t="s">
        <v>130</v>
      </c>
      <c r="E61" s="49">
        <f>F61+G61+H61+I61</f>
        <v>3575</v>
      </c>
      <c r="F61" s="49">
        <v>1723</v>
      </c>
      <c r="G61" s="49">
        <v>1852</v>
      </c>
      <c r="H61" s="49">
        <v>0</v>
      </c>
      <c r="I61" s="49">
        <v>0</v>
      </c>
      <c r="J61" s="49">
        <f>K61+L61+M61+N61</f>
        <v>6160</v>
      </c>
      <c r="K61" s="49">
        <f>1721</f>
        <v>1721</v>
      </c>
      <c r="L61" s="49">
        <f>2679+1760</f>
        <v>4439</v>
      </c>
      <c r="M61" s="49">
        <v>0</v>
      </c>
      <c r="N61" s="49">
        <v>0</v>
      </c>
      <c r="O61" s="49">
        <f>P61+Q61+R61+S61</f>
        <v>4457</v>
      </c>
      <c r="P61" s="49">
        <v>1178</v>
      </c>
      <c r="Q61" s="49">
        <v>3279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f>Z61+AA61+AB61+AC61</f>
        <v>0</v>
      </c>
      <c r="Z61" s="49">
        <v>0</v>
      </c>
      <c r="AA61" s="49">
        <v>0</v>
      </c>
      <c r="AB61" s="49">
        <v>0</v>
      </c>
      <c r="AC61" s="49">
        <v>0</v>
      </c>
      <c r="AD61" s="50">
        <f>E61+J61+O61+T61+Y61</f>
        <v>14192</v>
      </c>
      <c r="AE61" s="8"/>
      <c r="AI61" s="31"/>
      <c r="AJ61" s="8"/>
      <c r="AR61" s="8"/>
      <c r="BD61" s="8"/>
    </row>
    <row r="62" spans="1:56" s="9" customFormat="1" ht="37.5" customHeight="1">
      <c r="A62" s="54"/>
      <c r="B62" s="57" t="s">
        <v>132</v>
      </c>
      <c r="C62" s="52"/>
      <c r="D62" s="51"/>
      <c r="E62" s="49">
        <f aca="true" t="shared" si="19" ref="E62:N62">E61</f>
        <v>3575</v>
      </c>
      <c r="F62" s="49">
        <f t="shared" si="19"/>
        <v>1723</v>
      </c>
      <c r="G62" s="49">
        <f t="shared" si="19"/>
        <v>1852</v>
      </c>
      <c r="H62" s="49">
        <f t="shared" si="19"/>
        <v>0</v>
      </c>
      <c r="I62" s="49">
        <f t="shared" si="19"/>
        <v>0</v>
      </c>
      <c r="J62" s="49">
        <f t="shared" si="19"/>
        <v>6160</v>
      </c>
      <c r="K62" s="49">
        <f t="shared" si="19"/>
        <v>1721</v>
      </c>
      <c r="L62" s="49">
        <f t="shared" si="19"/>
        <v>4439</v>
      </c>
      <c r="M62" s="49">
        <f t="shared" si="19"/>
        <v>0</v>
      </c>
      <c r="N62" s="49">
        <f t="shared" si="19"/>
        <v>0</v>
      </c>
      <c r="O62" s="49">
        <f>P62+Q62+R62+S62</f>
        <v>4457</v>
      </c>
      <c r="P62" s="49">
        <f aca="true" t="shared" si="20" ref="P62:AD62">P61</f>
        <v>1178</v>
      </c>
      <c r="Q62" s="49">
        <f t="shared" si="20"/>
        <v>3279</v>
      </c>
      <c r="R62" s="49">
        <f t="shared" si="20"/>
        <v>0</v>
      </c>
      <c r="S62" s="49">
        <f t="shared" si="20"/>
        <v>0</v>
      </c>
      <c r="T62" s="49">
        <f t="shared" si="20"/>
        <v>0</v>
      </c>
      <c r="U62" s="49">
        <f t="shared" si="20"/>
        <v>0</v>
      </c>
      <c r="V62" s="49">
        <f t="shared" si="20"/>
        <v>0</v>
      </c>
      <c r="W62" s="49">
        <f t="shared" si="20"/>
        <v>0</v>
      </c>
      <c r="X62" s="49">
        <f t="shared" si="20"/>
        <v>0</v>
      </c>
      <c r="Y62" s="49">
        <f>Z62+AA62+AB62+AC62</f>
        <v>0</v>
      </c>
      <c r="Z62" s="49">
        <f t="shared" si="20"/>
        <v>0</v>
      </c>
      <c r="AA62" s="49">
        <f t="shared" si="20"/>
        <v>0</v>
      </c>
      <c r="AB62" s="49">
        <f t="shared" si="20"/>
        <v>0</v>
      </c>
      <c r="AC62" s="49">
        <f t="shared" si="20"/>
        <v>0</v>
      </c>
      <c r="AD62" s="50">
        <f t="shared" si="20"/>
        <v>14192</v>
      </c>
      <c r="AE62" s="8"/>
      <c r="AI62" s="31"/>
      <c r="AJ62" s="8"/>
      <c r="AR62" s="8"/>
      <c r="BD62" s="8"/>
    </row>
    <row r="63" spans="1:44" ht="30" customHeight="1">
      <c r="A63" s="114" t="s">
        <v>105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6"/>
      <c r="AR63" s="2"/>
    </row>
    <row r="64" spans="1:31" ht="44.25" customHeight="1">
      <c r="A64" s="98" t="s">
        <v>100</v>
      </c>
      <c r="B64" s="112" t="s">
        <v>117</v>
      </c>
      <c r="C64" s="52" t="s">
        <v>10</v>
      </c>
      <c r="D64" s="51" t="s">
        <v>51</v>
      </c>
      <c r="E64" s="49">
        <f aca="true" t="shared" si="21" ref="E64:E81">F64+G64+H64+I64</f>
        <v>7262</v>
      </c>
      <c r="F64" s="49">
        <f>1500+238+5524</f>
        <v>7262</v>
      </c>
      <c r="G64" s="49">
        <v>0</v>
      </c>
      <c r="H64" s="49">
        <v>0</v>
      </c>
      <c r="I64" s="49">
        <v>0</v>
      </c>
      <c r="J64" s="49">
        <f>K64</f>
        <v>1606</v>
      </c>
      <c r="K64" s="49">
        <f>2484+516-799-515-80</f>
        <v>1606</v>
      </c>
      <c r="L64" s="49">
        <v>0</v>
      </c>
      <c r="M64" s="49">
        <v>0</v>
      </c>
      <c r="N64" s="49">
        <v>0</v>
      </c>
      <c r="O64" s="49">
        <f aca="true" t="shared" si="22" ref="O64:O76">P64+Q64+R64+S64</f>
        <v>4004</v>
      </c>
      <c r="P64" s="49">
        <v>4004</v>
      </c>
      <c r="Q64" s="49">
        <v>0</v>
      </c>
      <c r="R64" s="49">
        <v>0</v>
      </c>
      <c r="S64" s="49">
        <v>0</v>
      </c>
      <c r="T64" s="49">
        <f aca="true" t="shared" si="23" ref="T64:T76">U64+V64+W64+X64</f>
        <v>4004</v>
      </c>
      <c r="U64" s="49">
        <v>4004</v>
      </c>
      <c r="V64" s="49">
        <v>0</v>
      </c>
      <c r="W64" s="49">
        <v>0</v>
      </c>
      <c r="X64" s="49">
        <v>0</v>
      </c>
      <c r="Y64" s="49">
        <f>Z64+AA64+AB64+AC64</f>
        <v>4004</v>
      </c>
      <c r="Z64" s="49">
        <v>4004</v>
      </c>
      <c r="AA64" s="49">
        <v>0</v>
      </c>
      <c r="AB64" s="49">
        <v>0</v>
      </c>
      <c r="AC64" s="49">
        <v>0</v>
      </c>
      <c r="AD64" s="50">
        <f aca="true" t="shared" si="24" ref="AD64:AD76">Y64+T64+O64+J64+E64</f>
        <v>20880</v>
      </c>
      <c r="AE64" s="2"/>
    </row>
    <row r="65" spans="1:63" ht="47.25" customHeight="1">
      <c r="A65" s="98"/>
      <c r="B65" s="112"/>
      <c r="C65" s="52" t="s">
        <v>85</v>
      </c>
      <c r="D65" s="51" t="s">
        <v>87</v>
      </c>
      <c r="E65" s="49">
        <f t="shared" si="21"/>
        <v>78</v>
      </c>
      <c r="F65" s="49">
        <v>78</v>
      </c>
      <c r="G65" s="49">
        <v>0</v>
      </c>
      <c r="H65" s="49">
        <v>0</v>
      </c>
      <c r="I65" s="49">
        <v>0</v>
      </c>
      <c r="J65" s="49">
        <f aca="true" t="shared" si="25" ref="J65:J75">K65+L65+M65+N65</f>
        <v>263</v>
      </c>
      <c r="K65" s="36">
        <v>263</v>
      </c>
      <c r="L65" s="49">
        <v>0</v>
      </c>
      <c r="M65" s="49">
        <v>0</v>
      </c>
      <c r="N65" s="49">
        <v>0</v>
      </c>
      <c r="O65" s="49">
        <f t="shared" si="22"/>
        <v>280</v>
      </c>
      <c r="P65" s="49">
        <v>280</v>
      </c>
      <c r="Q65" s="49">
        <v>0</v>
      </c>
      <c r="R65" s="49">
        <v>0</v>
      </c>
      <c r="S65" s="49">
        <v>0</v>
      </c>
      <c r="T65" s="49">
        <f t="shared" si="23"/>
        <v>280</v>
      </c>
      <c r="U65" s="49">
        <v>280</v>
      </c>
      <c r="V65" s="49">
        <v>0</v>
      </c>
      <c r="W65" s="49">
        <v>0</v>
      </c>
      <c r="X65" s="49">
        <v>0</v>
      </c>
      <c r="Y65" s="49">
        <f>Z65+AA65+AB65+AC65</f>
        <v>280</v>
      </c>
      <c r="Z65" s="49">
        <v>280</v>
      </c>
      <c r="AA65" s="49">
        <v>0</v>
      </c>
      <c r="AB65" s="49">
        <v>0</v>
      </c>
      <c r="AC65" s="49">
        <v>0</v>
      </c>
      <c r="AD65" s="50">
        <f t="shared" si="24"/>
        <v>1181</v>
      </c>
      <c r="BE65" s="2"/>
      <c r="BF65" s="97"/>
      <c r="BG65" s="97"/>
      <c r="BH65" s="97"/>
      <c r="BI65" s="97"/>
      <c r="BJ65" s="97"/>
      <c r="BK65" s="97"/>
    </row>
    <row r="66" spans="1:38" ht="40.5" customHeight="1">
      <c r="A66" s="54" t="s">
        <v>101</v>
      </c>
      <c r="B66" s="57" t="s">
        <v>88</v>
      </c>
      <c r="C66" s="52" t="s">
        <v>10</v>
      </c>
      <c r="D66" s="51" t="s">
        <v>87</v>
      </c>
      <c r="E66" s="49">
        <f t="shared" si="21"/>
        <v>550</v>
      </c>
      <c r="F66" s="49">
        <f>1500-950</f>
        <v>550</v>
      </c>
      <c r="G66" s="49">
        <v>0</v>
      </c>
      <c r="H66" s="49">
        <v>0</v>
      </c>
      <c r="I66" s="49">
        <v>0</v>
      </c>
      <c r="J66" s="49">
        <f t="shared" si="25"/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22"/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si="23"/>
        <v>0</v>
      </c>
      <c r="U66" s="49">
        <v>0</v>
      </c>
      <c r="V66" s="49">
        <v>0</v>
      </c>
      <c r="W66" s="49">
        <v>0</v>
      </c>
      <c r="X66" s="49">
        <v>0</v>
      </c>
      <c r="Y66" s="49">
        <f>Z66+AA66+AB66+AC66</f>
        <v>0</v>
      </c>
      <c r="Z66" s="49">
        <v>0</v>
      </c>
      <c r="AA66" s="49">
        <v>0</v>
      </c>
      <c r="AB66" s="49">
        <v>0</v>
      </c>
      <c r="AC66" s="49">
        <v>0</v>
      </c>
      <c r="AD66" s="50">
        <f t="shared" si="24"/>
        <v>550</v>
      </c>
      <c r="AI66" s="111"/>
      <c r="AJ66" s="111"/>
      <c r="AK66" s="111"/>
      <c r="AL66" s="111"/>
    </row>
    <row r="67" spans="1:30" ht="45.75" customHeight="1">
      <c r="A67" s="54" t="s">
        <v>102</v>
      </c>
      <c r="B67" s="57" t="s">
        <v>89</v>
      </c>
      <c r="C67" s="52" t="s">
        <v>10</v>
      </c>
      <c r="D67" s="51" t="s">
        <v>87</v>
      </c>
      <c r="E67" s="49">
        <f t="shared" si="21"/>
        <v>577</v>
      </c>
      <c r="F67" s="49">
        <f>620-43</f>
        <v>577</v>
      </c>
      <c r="G67" s="49">
        <v>0</v>
      </c>
      <c r="H67" s="49">
        <v>0</v>
      </c>
      <c r="I67" s="49">
        <v>0</v>
      </c>
      <c r="J67" s="49">
        <f t="shared" si="25"/>
        <v>500</v>
      </c>
      <c r="K67" s="49">
        <f>620-95-25</f>
        <v>500</v>
      </c>
      <c r="L67" s="49">
        <v>0</v>
      </c>
      <c r="M67" s="49">
        <v>0</v>
      </c>
      <c r="N67" s="49">
        <v>0</v>
      </c>
      <c r="O67" s="49">
        <f t="shared" si="22"/>
        <v>780</v>
      </c>
      <c r="P67" s="49">
        <v>780</v>
      </c>
      <c r="Q67" s="49">
        <v>0</v>
      </c>
      <c r="R67" s="49">
        <v>0</v>
      </c>
      <c r="S67" s="49">
        <v>0</v>
      </c>
      <c r="T67" s="49">
        <f t="shared" si="23"/>
        <v>780</v>
      </c>
      <c r="U67" s="49">
        <v>780</v>
      </c>
      <c r="V67" s="49">
        <v>0</v>
      </c>
      <c r="W67" s="49">
        <v>0</v>
      </c>
      <c r="X67" s="49">
        <v>0</v>
      </c>
      <c r="Y67" s="49">
        <f>Z67+AA67+AB67+AC67</f>
        <v>780</v>
      </c>
      <c r="Z67" s="49">
        <v>780</v>
      </c>
      <c r="AA67" s="49">
        <v>0</v>
      </c>
      <c r="AB67" s="49">
        <v>0</v>
      </c>
      <c r="AC67" s="49">
        <v>0</v>
      </c>
      <c r="AD67" s="50">
        <f t="shared" si="24"/>
        <v>3417</v>
      </c>
    </row>
    <row r="68" spans="1:30" ht="72.75" customHeight="1">
      <c r="A68" s="54" t="s">
        <v>104</v>
      </c>
      <c r="B68" s="56" t="s">
        <v>96</v>
      </c>
      <c r="C68" s="60" t="s">
        <v>85</v>
      </c>
      <c r="D68" s="51">
        <v>2020</v>
      </c>
      <c r="E68" s="49">
        <f t="shared" si="21"/>
        <v>1703.5</v>
      </c>
      <c r="F68" s="49">
        <f>1700+203.5-200</f>
        <v>1703.5</v>
      </c>
      <c r="G68" s="49">
        <v>0</v>
      </c>
      <c r="H68" s="49">
        <v>0</v>
      </c>
      <c r="I68" s="49">
        <v>0</v>
      </c>
      <c r="J68" s="49">
        <f t="shared" si="25"/>
        <v>9221</v>
      </c>
      <c r="K68" s="36">
        <f>1700+547+7280-306</f>
        <v>9221</v>
      </c>
      <c r="L68" s="49">
        <v>0</v>
      </c>
      <c r="M68" s="49">
        <v>0</v>
      </c>
      <c r="N68" s="49">
        <v>0</v>
      </c>
      <c r="O68" s="49">
        <f t="shared" si="22"/>
        <v>11234</v>
      </c>
      <c r="P68" s="49">
        <v>11234</v>
      </c>
      <c r="Q68" s="49">
        <v>0</v>
      </c>
      <c r="R68" s="49">
        <v>0</v>
      </c>
      <c r="S68" s="49">
        <v>0</v>
      </c>
      <c r="T68" s="49">
        <f t="shared" si="23"/>
        <v>2257</v>
      </c>
      <c r="U68" s="49">
        <v>2257</v>
      </c>
      <c r="V68" s="49">
        <v>0</v>
      </c>
      <c r="W68" s="49">
        <v>0</v>
      </c>
      <c r="X68" s="49">
        <v>0</v>
      </c>
      <c r="Y68" s="49">
        <f>Z68+AA68+AB68+AC68</f>
        <v>2257</v>
      </c>
      <c r="Z68" s="49">
        <v>2257</v>
      </c>
      <c r="AA68" s="49">
        <v>0</v>
      </c>
      <c r="AB68" s="49">
        <v>0</v>
      </c>
      <c r="AC68" s="49">
        <v>0</v>
      </c>
      <c r="AD68" s="50">
        <f t="shared" si="24"/>
        <v>26672.5</v>
      </c>
    </row>
    <row r="69" spans="1:30" ht="35.25" customHeight="1">
      <c r="A69" s="98" t="s">
        <v>103</v>
      </c>
      <c r="B69" s="135" t="s">
        <v>90</v>
      </c>
      <c r="C69" s="52" t="s">
        <v>10</v>
      </c>
      <c r="D69" s="51" t="s">
        <v>123</v>
      </c>
      <c r="E69" s="49">
        <f t="shared" si="21"/>
        <v>73</v>
      </c>
      <c r="F69" s="49">
        <v>4</v>
      </c>
      <c r="G69" s="49">
        <v>69</v>
      </c>
      <c r="H69" s="49">
        <v>0</v>
      </c>
      <c r="I69" s="49">
        <v>0</v>
      </c>
      <c r="J69" s="49">
        <f t="shared" si="25"/>
        <v>0</v>
      </c>
      <c r="K69" s="49">
        <f>615-615</f>
        <v>0</v>
      </c>
      <c r="L69" s="49">
        <v>0</v>
      </c>
      <c r="M69" s="49">
        <v>0</v>
      </c>
      <c r="N69" s="49">
        <v>0</v>
      </c>
      <c r="O69" s="49">
        <f t="shared" si="22"/>
        <v>1111</v>
      </c>
      <c r="P69" s="49">
        <v>56</v>
      </c>
      <c r="Q69" s="49">
        <v>1055</v>
      </c>
      <c r="R69" s="49">
        <v>0</v>
      </c>
      <c r="S69" s="49">
        <v>0</v>
      </c>
      <c r="T69" s="49">
        <f t="shared" si="23"/>
        <v>0</v>
      </c>
      <c r="U69" s="49">
        <v>0</v>
      </c>
      <c r="V69" s="49">
        <v>0</v>
      </c>
      <c r="W69" s="49">
        <v>0</v>
      </c>
      <c r="X69" s="49">
        <v>0</v>
      </c>
      <c r="Y69" s="49">
        <f aca="true" t="shared" si="26" ref="Y69:Y76">Z69+AA69+AB69+AC69</f>
        <v>0</v>
      </c>
      <c r="Z69" s="49">
        <v>0</v>
      </c>
      <c r="AA69" s="49">
        <v>0</v>
      </c>
      <c r="AB69" s="49">
        <v>0</v>
      </c>
      <c r="AC69" s="49">
        <v>0</v>
      </c>
      <c r="AD69" s="50">
        <f t="shared" si="24"/>
        <v>1184</v>
      </c>
    </row>
    <row r="70" spans="1:30" ht="35.25" customHeight="1">
      <c r="A70" s="98"/>
      <c r="B70" s="136"/>
      <c r="C70" s="68" t="s">
        <v>106</v>
      </c>
      <c r="D70" s="51" t="s">
        <v>116</v>
      </c>
      <c r="E70" s="49">
        <f t="shared" si="21"/>
        <v>0</v>
      </c>
      <c r="F70" s="49">
        <v>0</v>
      </c>
      <c r="G70" s="49">
        <v>0</v>
      </c>
      <c r="H70" s="49">
        <v>0</v>
      </c>
      <c r="I70" s="49">
        <v>0</v>
      </c>
      <c r="J70" s="49">
        <f t="shared" si="25"/>
        <v>238</v>
      </c>
      <c r="K70" s="49">
        <f>295-57</f>
        <v>238</v>
      </c>
      <c r="L70" s="49">
        <v>0</v>
      </c>
      <c r="M70" s="49">
        <v>0</v>
      </c>
      <c r="N70" s="49">
        <v>0</v>
      </c>
      <c r="O70" s="49">
        <f>P70+Q70+R70+S70</f>
        <v>0</v>
      </c>
      <c r="P70" s="49">
        <v>0</v>
      </c>
      <c r="Q70" s="49">
        <v>0</v>
      </c>
      <c r="R70" s="49">
        <v>0</v>
      </c>
      <c r="S70" s="49">
        <v>0</v>
      </c>
      <c r="T70" s="49">
        <f>U70+V70+W70+X70</f>
        <v>0</v>
      </c>
      <c r="U70" s="49">
        <v>0</v>
      </c>
      <c r="V70" s="49">
        <v>0</v>
      </c>
      <c r="W70" s="49">
        <v>0</v>
      </c>
      <c r="X70" s="49">
        <v>0</v>
      </c>
      <c r="Y70" s="49">
        <f t="shared" si="26"/>
        <v>0</v>
      </c>
      <c r="Z70" s="49">
        <v>0</v>
      </c>
      <c r="AA70" s="49">
        <v>0</v>
      </c>
      <c r="AB70" s="49">
        <v>0</v>
      </c>
      <c r="AC70" s="49">
        <v>0</v>
      </c>
      <c r="AD70" s="50">
        <f t="shared" si="24"/>
        <v>238</v>
      </c>
    </row>
    <row r="71" spans="1:30" ht="35.25" customHeight="1">
      <c r="A71" s="98"/>
      <c r="B71" s="136"/>
      <c r="C71" s="52" t="s">
        <v>107</v>
      </c>
      <c r="D71" s="51" t="s">
        <v>116</v>
      </c>
      <c r="E71" s="49">
        <f t="shared" si="21"/>
        <v>0</v>
      </c>
      <c r="F71" s="49">
        <v>0</v>
      </c>
      <c r="G71" s="49">
        <v>0</v>
      </c>
      <c r="H71" s="49">
        <v>0</v>
      </c>
      <c r="I71" s="49">
        <v>0</v>
      </c>
      <c r="J71" s="49">
        <f t="shared" si="25"/>
        <v>0</v>
      </c>
      <c r="K71" s="49">
        <v>0</v>
      </c>
      <c r="L71" s="49">
        <v>0</v>
      </c>
      <c r="M71" s="49">
        <v>0</v>
      </c>
      <c r="N71" s="49">
        <v>0</v>
      </c>
      <c r="O71" s="49">
        <f>P71+Q71+R71+S71</f>
        <v>0</v>
      </c>
      <c r="P71" s="49">
        <v>0</v>
      </c>
      <c r="Q71" s="49">
        <v>0</v>
      </c>
      <c r="R71" s="49">
        <v>0</v>
      </c>
      <c r="S71" s="49">
        <v>0</v>
      </c>
      <c r="T71" s="49">
        <f>U71+V71+W71+X71</f>
        <v>0</v>
      </c>
      <c r="U71" s="49">
        <v>0</v>
      </c>
      <c r="V71" s="49">
        <v>0</v>
      </c>
      <c r="W71" s="49">
        <v>0</v>
      </c>
      <c r="X71" s="49">
        <v>0</v>
      </c>
      <c r="Y71" s="49">
        <f t="shared" si="26"/>
        <v>0</v>
      </c>
      <c r="Z71" s="49">
        <v>0</v>
      </c>
      <c r="AA71" s="49">
        <v>0</v>
      </c>
      <c r="AB71" s="49">
        <v>0</v>
      </c>
      <c r="AC71" s="49">
        <v>0</v>
      </c>
      <c r="AD71" s="50">
        <f t="shared" si="24"/>
        <v>0</v>
      </c>
    </row>
    <row r="72" spans="1:30" ht="35.25" customHeight="1">
      <c r="A72" s="98"/>
      <c r="B72" s="137"/>
      <c r="C72" s="52" t="s">
        <v>108</v>
      </c>
      <c r="D72" s="51" t="s">
        <v>116</v>
      </c>
      <c r="E72" s="49">
        <f t="shared" si="21"/>
        <v>0</v>
      </c>
      <c r="F72" s="49">
        <v>0</v>
      </c>
      <c r="G72" s="49">
        <v>0</v>
      </c>
      <c r="H72" s="49">
        <v>0</v>
      </c>
      <c r="I72" s="49">
        <v>0</v>
      </c>
      <c r="J72" s="49">
        <f t="shared" si="25"/>
        <v>348</v>
      </c>
      <c r="K72" s="49">
        <v>348</v>
      </c>
      <c r="L72" s="49">
        <v>0</v>
      </c>
      <c r="M72" s="49">
        <v>0</v>
      </c>
      <c r="N72" s="49">
        <v>0</v>
      </c>
      <c r="O72" s="49">
        <f>P72+Q72+R72+S72</f>
        <v>0</v>
      </c>
      <c r="P72" s="49">
        <v>0</v>
      </c>
      <c r="Q72" s="49">
        <v>0</v>
      </c>
      <c r="R72" s="49">
        <v>0</v>
      </c>
      <c r="S72" s="49">
        <v>0</v>
      </c>
      <c r="T72" s="49">
        <f>U72+V72+W72+X72</f>
        <v>0</v>
      </c>
      <c r="U72" s="49">
        <v>0</v>
      </c>
      <c r="V72" s="49">
        <v>0</v>
      </c>
      <c r="W72" s="49">
        <v>0</v>
      </c>
      <c r="X72" s="49">
        <v>0</v>
      </c>
      <c r="Y72" s="49">
        <f t="shared" si="26"/>
        <v>0</v>
      </c>
      <c r="Z72" s="49">
        <v>0</v>
      </c>
      <c r="AA72" s="49">
        <v>0</v>
      </c>
      <c r="AB72" s="49">
        <v>0</v>
      </c>
      <c r="AC72" s="49">
        <v>0</v>
      </c>
      <c r="AD72" s="50">
        <f t="shared" si="24"/>
        <v>348</v>
      </c>
    </row>
    <row r="73" spans="1:30" ht="30.75" customHeight="1">
      <c r="A73" s="98"/>
      <c r="B73" s="135" t="s">
        <v>122</v>
      </c>
      <c r="C73" s="68" t="s">
        <v>106</v>
      </c>
      <c r="D73" s="51" t="s">
        <v>124</v>
      </c>
      <c r="E73" s="49">
        <f t="shared" si="21"/>
        <v>227.1</v>
      </c>
      <c r="F73" s="49">
        <v>0</v>
      </c>
      <c r="G73" s="49">
        <v>227.1</v>
      </c>
      <c r="H73" s="49">
        <v>0</v>
      </c>
      <c r="I73" s="49">
        <v>0</v>
      </c>
      <c r="J73" s="49">
        <f t="shared" si="25"/>
        <v>0</v>
      </c>
      <c r="K73" s="49">
        <v>0</v>
      </c>
      <c r="L73" s="49">
        <v>0</v>
      </c>
      <c r="M73" s="49">
        <v>0</v>
      </c>
      <c r="N73" s="49">
        <v>0</v>
      </c>
      <c r="O73" s="49">
        <f t="shared" si="22"/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23"/>
        <v>0</v>
      </c>
      <c r="U73" s="49">
        <v>0</v>
      </c>
      <c r="V73" s="49">
        <v>0</v>
      </c>
      <c r="W73" s="49">
        <v>0</v>
      </c>
      <c r="X73" s="49">
        <v>0</v>
      </c>
      <c r="Y73" s="49">
        <f t="shared" si="26"/>
        <v>0</v>
      </c>
      <c r="Z73" s="49">
        <v>0</v>
      </c>
      <c r="AA73" s="49">
        <v>0</v>
      </c>
      <c r="AB73" s="49">
        <v>0</v>
      </c>
      <c r="AC73" s="49">
        <v>0</v>
      </c>
      <c r="AD73" s="50">
        <f t="shared" si="24"/>
        <v>227.1</v>
      </c>
    </row>
    <row r="74" spans="1:30" ht="24" customHeight="1">
      <c r="A74" s="98"/>
      <c r="B74" s="136"/>
      <c r="C74" s="52" t="s">
        <v>107</v>
      </c>
      <c r="D74" s="51" t="s">
        <v>124</v>
      </c>
      <c r="E74" s="49">
        <f t="shared" si="21"/>
        <v>383.2</v>
      </c>
      <c r="F74" s="49">
        <v>0</v>
      </c>
      <c r="G74" s="49">
        <v>383.2</v>
      </c>
      <c r="H74" s="49">
        <v>0</v>
      </c>
      <c r="I74" s="49">
        <v>0</v>
      </c>
      <c r="J74" s="49">
        <f t="shared" si="25"/>
        <v>0</v>
      </c>
      <c r="K74" s="49">
        <v>0</v>
      </c>
      <c r="L74" s="49">
        <v>0</v>
      </c>
      <c r="M74" s="49">
        <v>0</v>
      </c>
      <c r="N74" s="49">
        <v>0</v>
      </c>
      <c r="O74" s="49">
        <f t="shared" si="22"/>
        <v>0</v>
      </c>
      <c r="P74" s="49">
        <v>0</v>
      </c>
      <c r="Q74" s="49">
        <v>0</v>
      </c>
      <c r="R74" s="49">
        <v>0</v>
      </c>
      <c r="S74" s="49">
        <v>0</v>
      </c>
      <c r="T74" s="49">
        <f t="shared" si="23"/>
        <v>0</v>
      </c>
      <c r="U74" s="49">
        <v>0</v>
      </c>
      <c r="V74" s="49">
        <v>0</v>
      </c>
      <c r="W74" s="49">
        <v>0</v>
      </c>
      <c r="X74" s="49">
        <v>0</v>
      </c>
      <c r="Y74" s="49">
        <f t="shared" si="26"/>
        <v>0</v>
      </c>
      <c r="Z74" s="49">
        <v>0</v>
      </c>
      <c r="AA74" s="49">
        <v>0</v>
      </c>
      <c r="AB74" s="49">
        <v>0</v>
      </c>
      <c r="AC74" s="49">
        <v>0</v>
      </c>
      <c r="AD74" s="50">
        <f t="shared" si="24"/>
        <v>383.2</v>
      </c>
    </row>
    <row r="75" spans="1:30" ht="25.5" customHeight="1">
      <c r="A75" s="98"/>
      <c r="B75" s="137"/>
      <c r="C75" s="52" t="s">
        <v>108</v>
      </c>
      <c r="D75" s="51" t="s">
        <v>124</v>
      </c>
      <c r="E75" s="49">
        <f t="shared" si="21"/>
        <v>176.1</v>
      </c>
      <c r="F75" s="49">
        <v>0</v>
      </c>
      <c r="G75" s="49">
        <v>176.1</v>
      </c>
      <c r="H75" s="49">
        <v>0</v>
      </c>
      <c r="I75" s="49">
        <v>0</v>
      </c>
      <c r="J75" s="49">
        <f t="shared" si="25"/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22"/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23"/>
        <v>0</v>
      </c>
      <c r="U75" s="49">
        <v>0</v>
      </c>
      <c r="V75" s="49">
        <v>0</v>
      </c>
      <c r="W75" s="49">
        <v>0</v>
      </c>
      <c r="X75" s="49">
        <v>0</v>
      </c>
      <c r="Y75" s="49">
        <f t="shared" si="26"/>
        <v>0</v>
      </c>
      <c r="Z75" s="49">
        <v>0</v>
      </c>
      <c r="AA75" s="49">
        <v>0</v>
      </c>
      <c r="AB75" s="49">
        <v>0</v>
      </c>
      <c r="AC75" s="49">
        <v>0</v>
      </c>
      <c r="AD75" s="50">
        <f t="shared" si="24"/>
        <v>176.1</v>
      </c>
    </row>
    <row r="76" spans="1:30" ht="53.25" customHeight="1">
      <c r="A76" s="54" t="s">
        <v>133</v>
      </c>
      <c r="B76" s="85" t="s">
        <v>135</v>
      </c>
      <c r="C76" s="52" t="s">
        <v>85</v>
      </c>
      <c r="D76" s="51" t="s">
        <v>134</v>
      </c>
      <c r="E76" s="49">
        <f t="shared" si="21"/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f t="shared" si="22"/>
        <v>5080</v>
      </c>
      <c r="P76" s="49">
        <v>5080</v>
      </c>
      <c r="Q76" s="49">
        <v>0</v>
      </c>
      <c r="R76" s="49">
        <v>0</v>
      </c>
      <c r="S76" s="49">
        <v>0</v>
      </c>
      <c r="T76" s="49">
        <f t="shared" si="23"/>
        <v>5091</v>
      </c>
      <c r="U76" s="49">
        <v>5091</v>
      </c>
      <c r="V76" s="49">
        <v>0</v>
      </c>
      <c r="W76" s="49">
        <v>0</v>
      </c>
      <c r="X76" s="49">
        <v>0</v>
      </c>
      <c r="Y76" s="49">
        <f t="shared" si="26"/>
        <v>5091</v>
      </c>
      <c r="Z76" s="49">
        <v>5091</v>
      </c>
      <c r="AA76" s="49">
        <v>0</v>
      </c>
      <c r="AB76" s="49">
        <v>0</v>
      </c>
      <c r="AC76" s="49">
        <v>0</v>
      </c>
      <c r="AD76" s="50">
        <f t="shared" si="24"/>
        <v>15262</v>
      </c>
    </row>
    <row r="77" spans="1:57" ht="49.5" customHeight="1">
      <c r="A77" s="54"/>
      <c r="B77" s="57" t="s">
        <v>112</v>
      </c>
      <c r="C77" s="52"/>
      <c r="D77" s="51"/>
      <c r="E77" s="49">
        <f t="shared" si="21"/>
        <v>10243.5</v>
      </c>
      <c r="F77" s="49">
        <f>F69+F68+F67+F66+F65+F64+F73+F74+F75</f>
        <v>10174.5</v>
      </c>
      <c r="G77" s="49">
        <f>G69+G68+G67+G66+G65+G64</f>
        <v>69</v>
      </c>
      <c r="H77" s="49">
        <f>H69+H68+H67+H66+H65+H64+H73+H74+H75</f>
        <v>0</v>
      </c>
      <c r="I77" s="49">
        <f>I69+I68+I67+I66+I65+I64+I73+I74+I75</f>
        <v>0</v>
      </c>
      <c r="J77" s="36">
        <f>J69+J68+J67+J66+J65+J64+J70+J71+J72</f>
        <v>12176</v>
      </c>
      <c r="K77" s="36">
        <f>K69+K68+K67+K66+K65+K64+K70+K71+K72</f>
        <v>12176</v>
      </c>
      <c r="L77" s="49">
        <f>L69+L68+L67+L66+L65+L64+L70+L71+L72</f>
        <v>0</v>
      </c>
      <c r="M77" s="49">
        <f>M69+M68+M67+M66+M65+M64+M70+M71+M72</f>
        <v>0</v>
      </c>
      <c r="N77" s="49">
        <f>N69+N68+N67+N66+N65+N64+N70+N71+N72</f>
        <v>0</v>
      </c>
      <c r="O77" s="49">
        <f>P77+Q77+R77+S77</f>
        <v>22489</v>
      </c>
      <c r="P77" s="49">
        <f>P69+P68+P67+P66+P65+P64+P70+P71+P72+P73+P74+P75+P76</f>
        <v>21434</v>
      </c>
      <c r="Q77" s="49">
        <f>Q69+Q68+Q67+Q66+Q65+Q64+Q73+Q74+Q75</f>
        <v>1055</v>
      </c>
      <c r="R77" s="49">
        <f>R69+R68+R67+R66+R65+R64+R73+R74+R75</f>
        <v>0</v>
      </c>
      <c r="S77" s="49">
        <f>S69+S68+S67+S66+S65+S64+S73+S74+S75</f>
        <v>0</v>
      </c>
      <c r="T77" s="49">
        <f>U77+V77+W77+X77</f>
        <v>12412</v>
      </c>
      <c r="U77" s="49">
        <f>U69+U68+U67+U66+U65+U64+U73+U74+U75+U76</f>
        <v>12412</v>
      </c>
      <c r="V77" s="49">
        <f aca="true" t="shared" si="27" ref="V77:AC77">V69+V68+V67+V66+V65+V64+V73+V74+V75+V76</f>
        <v>0</v>
      </c>
      <c r="W77" s="49">
        <f t="shared" si="27"/>
        <v>0</v>
      </c>
      <c r="X77" s="49">
        <f t="shared" si="27"/>
        <v>0</v>
      </c>
      <c r="Y77" s="49">
        <f>Y69+Y68+Y67+Y66+Y65+Y64+Y73+Y74+Y75+Y76</f>
        <v>12412</v>
      </c>
      <c r="Z77" s="49">
        <f t="shared" si="27"/>
        <v>12412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50">
        <f>Y77+T77+O77+J77+E77</f>
        <v>69732.5</v>
      </c>
      <c r="AE77" s="2"/>
      <c r="AF77" s="2"/>
      <c r="BE77" s="2"/>
    </row>
    <row r="78" spans="1:56" ht="43.5" customHeight="1">
      <c r="A78" s="54"/>
      <c r="B78" s="57" t="s">
        <v>120</v>
      </c>
      <c r="C78" s="52"/>
      <c r="D78" s="51"/>
      <c r="E78" s="49">
        <f>F78+G78+H78+I78</f>
        <v>786.4</v>
      </c>
      <c r="F78" s="49">
        <f>0</f>
        <v>0</v>
      </c>
      <c r="G78" s="49">
        <f>G75+G74+G73</f>
        <v>786.4</v>
      </c>
      <c r="H78" s="49">
        <f>H75+H74+H73</f>
        <v>0</v>
      </c>
      <c r="I78" s="49">
        <f>I75+I74+I73</f>
        <v>0</v>
      </c>
      <c r="J78" s="36">
        <f>K78+L78+M78+N78</f>
        <v>0</v>
      </c>
      <c r="K78" s="36">
        <f>K73+K74+K75</f>
        <v>0</v>
      </c>
      <c r="L78" s="49">
        <f aca="true" t="shared" si="28" ref="L78:AC78">L73+L74+L75</f>
        <v>0</v>
      </c>
      <c r="M78" s="49">
        <f t="shared" si="28"/>
        <v>0</v>
      </c>
      <c r="N78" s="49">
        <f t="shared" si="28"/>
        <v>0</v>
      </c>
      <c r="O78" s="49">
        <f t="shared" si="28"/>
        <v>0</v>
      </c>
      <c r="P78" s="49">
        <f t="shared" si="28"/>
        <v>0</v>
      </c>
      <c r="Q78" s="49">
        <f t="shared" si="28"/>
        <v>0</v>
      </c>
      <c r="R78" s="49">
        <f t="shared" si="28"/>
        <v>0</v>
      </c>
      <c r="S78" s="49">
        <f t="shared" si="28"/>
        <v>0</v>
      </c>
      <c r="T78" s="49">
        <f t="shared" si="28"/>
        <v>0</v>
      </c>
      <c r="U78" s="49">
        <f t="shared" si="28"/>
        <v>0</v>
      </c>
      <c r="V78" s="49">
        <f t="shared" si="28"/>
        <v>0</v>
      </c>
      <c r="W78" s="49">
        <f t="shared" si="28"/>
        <v>0</v>
      </c>
      <c r="X78" s="49">
        <f t="shared" si="28"/>
        <v>0</v>
      </c>
      <c r="Y78" s="49">
        <f t="shared" si="28"/>
        <v>0</v>
      </c>
      <c r="Z78" s="49">
        <f t="shared" si="28"/>
        <v>0</v>
      </c>
      <c r="AA78" s="49">
        <f t="shared" si="28"/>
        <v>0</v>
      </c>
      <c r="AB78" s="49">
        <f t="shared" si="28"/>
        <v>0</v>
      </c>
      <c r="AC78" s="49">
        <f t="shared" si="28"/>
        <v>0</v>
      </c>
      <c r="AD78" s="50">
        <f>AD75+AD74+AD73</f>
        <v>786.4</v>
      </c>
      <c r="BD78" s="2"/>
    </row>
    <row r="79" spans="1:65" s="9" customFormat="1" ht="60" customHeight="1">
      <c r="A79" s="69"/>
      <c r="B79" s="70" t="s">
        <v>118</v>
      </c>
      <c r="C79" s="71"/>
      <c r="D79" s="72"/>
      <c r="E79" s="73">
        <f>F79+G79+H79+I79</f>
        <v>396163</v>
      </c>
      <c r="F79" s="73">
        <f aca="true" t="shared" si="29" ref="F79:N79">F77+F62+F59+F51+F36+F30</f>
        <v>388653</v>
      </c>
      <c r="G79" s="73">
        <f t="shared" si="29"/>
        <v>7510</v>
      </c>
      <c r="H79" s="73">
        <f t="shared" si="29"/>
        <v>0</v>
      </c>
      <c r="I79" s="73">
        <f t="shared" si="29"/>
        <v>0</v>
      </c>
      <c r="J79" s="86">
        <f t="shared" si="29"/>
        <v>452748</v>
      </c>
      <c r="K79" s="86">
        <f t="shared" si="29"/>
        <v>448309</v>
      </c>
      <c r="L79" s="73">
        <f t="shared" si="29"/>
        <v>4439</v>
      </c>
      <c r="M79" s="73">
        <f t="shared" si="29"/>
        <v>0</v>
      </c>
      <c r="N79" s="73">
        <f t="shared" si="29"/>
        <v>0</v>
      </c>
      <c r="O79" s="73">
        <f>O77+O62+O59+O51+O36+O30</f>
        <v>472736</v>
      </c>
      <c r="P79" s="73">
        <f aca="true" t="shared" si="30" ref="P79:AC79">P77+P62+P59+P51+P36+P30</f>
        <v>468402</v>
      </c>
      <c r="Q79" s="73">
        <f t="shared" si="30"/>
        <v>4334</v>
      </c>
      <c r="R79" s="73">
        <f t="shared" si="30"/>
        <v>0</v>
      </c>
      <c r="S79" s="73">
        <f t="shared" si="30"/>
        <v>0</v>
      </c>
      <c r="T79" s="73">
        <f t="shared" si="30"/>
        <v>453939</v>
      </c>
      <c r="U79" s="73">
        <f t="shared" si="30"/>
        <v>453939</v>
      </c>
      <c r="V79" s="73">
        <f t="shared" si="30"/>
        <v>0</v>
      </c>
      <c r="W79" s="73">
        <f t="shared" si="30"/>
        <v>0</v>
      </c>
      <c r="X79" s="73">
        <f t="shared" si="30"/>
        <v>0</v>
      </c>
      <c r="Y79" s="73">
        <f>Y77+Y62+Y59+Y51+Y36+Y30</f>
        <v>453939</v>
      </c>
      <c r="Z79" s="73">
        <f>Z77+Z62+Z59+Z51+Z36+Z30</f>
        <v>453939</v>
      </c>
      <c r="AA79" s="73">
        <f t="shared" si="30"/>
        <v>0</v>
      </c>
      <c r="AB79" s="73">
        <f t="shared" si="30"/>
        <v>0</v>
      </c>
      <c r="AC79" s="73">
        <f t="shared" si="30"/>
        <v>0</v>
      </c>
      <c r="AD79" s="88">
        <f>AD77+AD62+AD59+AD51+AD36+AD30</f>
        <v>2229525</v>
      </c>
      <c r="AE79" s="8"/>
      <c r="AF79" s="8"/>
      <c r="AG79" s="8"/>
      <c r="AH79" s="8"/>
      <c r="AI79" s="31"/>
      <c r="AJ79" s="8"/>
      <c r="AK79" s="8"/>
      <c r="AL79" s="8"/>
      <c r="AR79" s="8"/>
      <c r="AS79" s="38"/>
      <c r="AT79" s="8"/>
      <c r="BD79" s="8"/>
      <c r="BE79" s="8"/>
      <c r="BF79" s="8"/>
      <c r="BH79" s="8"/>
      <c r="BK79" s="8"/>
      <c r="BM79" s="39"/>
    </row>
    <row r="80" spans="1:61" ht="48" customHeight="1">
      <c r="A80" s="54"/>
      <c r="B80" s="74" t="s">
        <v>119</v>
      </c>
      <c r="C80" s="52"/>
      <c r="D80" s="51"/>
      <c r="E80" s="49">
        <f>F80+G80+H80+I80</f>
        <v>786.4</v>
      </c>
      <c r="F80" s="49">
        <f aca="true" t="shared" si="31" ref="F80:AC80">F75+F74+F73</f>
        <v>0</v>
      </c>
      <c r="G80" s="49">
        <f t="shared" si="31"/>
        <v>786.4</v>
      </c>
      <c r="H80" s="49">
        <f t="shared" si="31"/>
        <v>0</v>
      </c>
      <c r="I80" s="49">
        <f t="shared" si="31"/>
        <v>0</v>
      </c>
      <c r="J80" s="36">
        <f>J75+J74+J73</f>
        <v>0</v>
      </c>
      <c r="K80" s="36">
        <v>0</v>
      </c>
      <c r="L80" s="49">
        <f t="shared" si="31"/>
        <v>0</v>
      </c>
      <c r="M80" s="49">
        <f t="shared" si="31"/>
        <v>0</v>
      </c>
      <c r="N80" s="49">
        <f t="shared" si="31"/>
        <v>0</v>
      </c>
      <c r="O80" s="49">
        <f t="shared" si="31"/>
        <v>0</v>
      </c>
      <c r="P80" s="49">
        <f t="shared" si="31"/>
        <v>0</v>
      </c>
      <c r="Q80" s="49">
        <f t="shared" si="31"/>
        <v>0</v>
      </c>
      <c r="R80" s="49">
        <f t="shared" si="31"/>
        <v>0</v>
      </c>
      <c r="S80" s="49">
        <f t="shared" si="31"/>
        <v>0</v>
      </c>
      <c r="T80" s="49">
        <f t="shared" si="31"/>
        <v>0</v>
      </c>
      <c r="U80" s="49">
        <f t="shared" si="31"/>
        <v>0</v>
      </c>
      <c r="V80" s="49">
        <f t="shared" si="31"/>
        <v>0</v>
      </c>
      <c r="W80" s="49">
        <f t="shared" si="31"/>
        <v>0</v>
      </c>
      <c r="X80" s="49">
        <f t="shared" si="31"/>
        <v>0</v>
      </c>
      <c r="Y80" s="49">
        <f t="shared" si="31"/>
        <v>0</v>
      </c>
      <c r="Z80" s="49">
        <f t="shared" si="31"/>
        <v>0</v>
      </c>
      <c r="AA80" s="49">
        <f t="shared" si="31"/>
        <v>0</v>
      </c>
      <c r="AB80" s="49">
        <f t="shared" si="31"/>
        <v>0</v>
      </c>
      <c r="AC80" s="49">
        <f t="shared" si="31"/>
        <v>0</v>
      </c>
      <c r="AD80" s="50">
        <f>AD75+AD74+AD73+K80</f>
        <v>786.4</v>
      </c>
      <c r="AE80" s="2"/>
      <c r="AF80" s="2"/>
      <c r="AJ80" s="2"/>
      <c r="AR80" s="2"/>
      <c r="BE80" s="2"/>
      <c r="BF80" s="2"/>
      <c r="BH80" s="2"/>
      <c r="BI80" s="2"/>
    </row>
    <row r="81" spans="1:56" s="9" customFormat="1" ht="64.5" customHeight="1" thickBot="1">
      <c r="A81" s="75"/>
      <c r="B81" s="76" t="s">
        <v>121</v>
      </c>
      <c r="C81" s="77"/>
      <c r="D81" s="78"/>
      <c r="E81" s="79">
        <f t="shared" si="21"/>
        <v>396949.4</v>
      </c>
      <c r="F81" s="79">
        <f>F80+F79</f>
        <v>388653</v>
      </c>
      <c r="G81" s="79">
        <f aca="true" t="shared" si="32" ref="G81:S81">G80+G79</f>
        <v>8296.4</v>
      </c>
      <c r="H81" s="79">
        <f t="shared" si="32"/>
        <v>0</v>
      </c>
      <c r="I81" s="79">
        <f t="shared" si="32"/>
        <v>0</v>
      </c>
      <c r="J81" s="87">
        <f t="shared" si="32"/>
        <v>452748</v>
      </c>
      <c r="K81" s="87">
        <f>K80+K79</f>
        <v>448309</v>
      </c>
      <c r="L81" s="79">
        <f t="shared" si="32"/>
        <v>4439</v>
      </c>
      <c r="M81" s="79">
        <f t="shared" si="32"/>
        <v>0</v>
      </c>
      <c r="N81" s="79">
        <f t="shared" si="32"/>
        <v>0</v>
      </c>
      <c r="O81" s="79">
        <f t="shared" si="32"/>
        <v>472736</v>
      </c>
      <c r="P81" s="79">
        <f t="shared" si="32"/>
        <v>468402</v>
      </c>
      <c r="Q81" s="79">
        <f t="shared" si="32"/>
        <v>4334</v>
      </c>
      <c r="R81" s="79">
        <f t="shared" si="32"/>
        <v>0</v>
      </c>
      <c r="S81" s="79">
        <f t="shared" si="32"/>
        <v>0</v>
      </c>
      <c r="T81" s="79">
        <f>T89+W81+U81+X81</f>
        <v>453939</v>
      </c>
      <c r="U81" s="79">
        <f>U59+U30+U51+U36+U62+U77</f>
        <v>453939</v>
      </c>
      <c r="V81" s="79">
        <v>0</v>
      </c>
      <c r="W81" s="79">
        <f>W62</f>
        <v>0</v>
      </c>
      <c r="X81" s="79">
        <f>X62</f>
        <v>0</v>
      </c>
      <c r="Y81" s="79">
        <f>Z81+AA81+AB81+AC81</f>
        <v>453939</v>
      </c>
      <c r="Z81" s="79">
        <f>Z59+Z30+Z51+Z36+Z62+Z77</f>
        <v>453939</v>
      </c>
      <c r="AA81" s="79">
        <v>0</v>
      </c>
      <c r="AB81" s="79">
        <f>AB62</f>
        <v>0</v>
      </c>
      <c r="AC81" s="79">
        <f>AC62</f>
        <v>0</v>
      </c>
      <c r="AD81" s="80" t="s">
        <v>109</v>
      </c>
      <c r="AE81" s="8"/>
      <c r="AF81" s="8"/>
      <c r="AI81" s="31"/>
      <c r="AJ81" s="31"/>
      <c r="AL81" s="8"/>
      <c r="AR81" s="8"/>
      <c r="AT81" s="8"/>
      <c r="BD81" s="8"/>
    </row>
    <row r="82" spans="1:45" ht="26.25" customHeight="1">
      <c r="A82" s="6"/>
      <c r="B82" s="113"/>
      <c r="C82" s="113"/>
      <c r="D82" s="113"/>
      <c r="E82" s="113"/>
      <c r="F82" s="113"/>
      <c r="G82" s="113"/>
      <c r="H82" s="113"/>
      <c r="I82" s="113"/>
      <c r="J82" s="113"/>
      <c r="K82" s="48"/>
      <c r="L82" s="48"/>
      <c r="M82" s="48"/>
      <c r="N82" s="48"/>
      <c r="O82" s="89"/>
      <c r="P82" s="89"/>
      <c r="Q82" s="89"/>
      <c r="R82" s="89"/>
      <c r="S82" s="89"/>
      <c r="T82" s="89"/>
      <c r="U82" s="90"/>
      <c r="V82" s="89"/>
      <c r="W82" s="89"/>
      <c r="X82" s="89"/>
      <c r="Y82" s="21"/>
      <c r="Z82" s="21"/>
      <c r="AA82" s="21"/>
      <c r="AB82" s="21"/>
      <c r="AC82" s="21"/>
      <c r="AD82" s="23"/>
      <c r="AE82" s="2"/>
      <c r="AJ82" s="2"/>
      <c r="AK82" s="19"/>
      <c r="AL82" s="2"/>
      <c r="AS82" s="2"/>
    </row>
    <row r="83" spans="1:31" ht="15" hidden="1">
      <c r="A83" s="6"/>
      <c r="B83" s="3"/>
      <c r="C83" s="3"/>
      <c r="D83" s="6"/>
      <c r="E83" s="3"/>
      <c r="F83" s="4"/>
      <c r="G83" s="4"/>
      <c r="H83" s="3"/>
      <c r="I83" s="5"/>
      <c r="J83" s="3"/>
      <c r="K83" s="5"/>
      <c r="L83" s="3"/>
      <c r="M83" s="3"/>
      <c r="N83" s="3"/>
      <c r="O83" s="21"/>
      <c r="P83" s="21"/>
      <c r="Q83" s="21"/>
      <c r="R83" s="21"/>
      <c r="S83" s="21"/>
      <c r="T83" s="23"/>
      <c r="U83" s="26"/>
      <c r="V83" s="91"/>
      <c r="W83" s="21"/>
      <c r="X83" s="21"/>
      <c r="Y83" s="23"/>
      <c r="Z83" s="25"/>
      <c r="AA83" s="21"/>
      <c r="AB83" s="21"/>
      <c r="AC83" s="21"/>
      <c r="AD83" s="23"/>
      <c r="AE83" s="2"/>
    </row>
    <row r="84" spans="1:30" ht="15" hidden="1">
      <c r="A84" s="6"/>
      <c r="B84" s="3"/>
      <c r="C84" s="3"/>
      <c r="D84" s="6"/>
      <c r="E84" s="3"/>
      <c r="F84" s="29"/>
      <c r="G84" s="29"/>
      <c r="H84" s="29"/>
      <c r="I84" s="29"/>
      <c r="J84" s="29"/>
      <c r="K84" s="29"/>
      <c r="L84" s="29"/>
      <c r="M84" s="29"/>
      <c r="N84" s="29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</row>
    <row r="85" spans="1:30" ht="15" hidden="1">
      <c r="A85" s="6"/>
      <c r="B85" s="3"/>
      <c r="C85" s="3"/>
      <c r="D85" s="6"/>
      <c r="E85" s="3"/>
      <c r="F85" s="28"/>
      <c r="G85" s="4"/>
      <c r="H85" s="28"/>
      <c r="I85" s="28"/>
      <c r="J85" s="28"/>
      <c r="K85" s="29"/>
      <c r="L85" s="28"/>
      <c r="M85" s="28"/>
      <c r="N85" s="28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21"/>
      <c r="AD85" s="23"/>
    </row>
    <row r="86" spans="1:30" ht="15" hidden="1">
      <c r="A86" s="6"/>
      <c r="B86" s="3"/>
      <c r="C86" s="3"/>
      <c r="D86" s="6"/>
      <c r="E86" s="4"/>
      <c r="F86" s="29"/>
      <c r="G86" s="5"/>
      <c r="H86" s="3"/>
      <c r="I86" s="3"/>
      <c r="J86" s="29"/>
      <c r="K86" s="29"/>
      <c r="L86" s="5"/>
      <c r="M86" s="3"/>
      <c r="N86" s="3"/>
      <c r="O86" s="21"/>
      <c r="P86" s="92"/>
      <c r="Q86" s="22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2"/>
    </row>
    <row r="87" spans="1:30" ht="15" hidden="1">
      <c r="A87" s="6"/>
      <c r="B87" s="3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23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5" hidden="1">
      <c r="A88" s="6"/>
      <c r="B88" s="3"/>
      <c r="C88" s="3"/>
      <c r="D88" s="6"/>
      <c r="E88" s="29"/>
      <c r="F88" s="3"/>
      <c r="G88" s="3"/>
      <c r="H88" s="3"/>
      <c r="I88" s="3"/>
      <c r="J88" s="29"/>
      <c r="K88" s="3"/>
      <c r="L88" s="3"/>
      <c r="M88" s="3"/>
      <c r="N88" s="3"/>
      <c r="O88" s="23"/>
      <c r="P88" s="21"/>
      <c r="Q88" s="22"/>
      <c r="R88" s="21"/>
      <c r="S88" s="21"/>
      <c r="T88" s="21"/>
      <c r="U88" s="21"/>
      <c r="V88" s="21"/>
      <c r="W88" s="21"/>
      <c r="X88" s="21"/>
      <c r="Y88" s="22"/>
      <c r="Z88" s="21"/>
      <c r="AA88" s="21"/>
      <c r="AB88" s="21"/>
      <c r="AC88" s="21"/>
      <c r="AD88" s="22"/>
    </row>
    <row r="89" spans="1:30" ht="15" hidden="1">
      <c r="A89" s="6"/>
      <c r="B89" s="3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1:30" ht="18.75" hidden="1">
      <c r="U90" s="94"/>
      <c r="AD90" s="81"/>
    </row>
    <row r="91" ht="15" hidden="1">
      <c r="U91" s="20"/>
    </row>
    <row r="92" spans="6:15" ht="15" hidden="1">
      <c r="F92" s="30"/>
      <c r="J92" s="30"/>
      <c r="O92" s="20"/>
    </row>
    <row r="93" spans="6:21" ht="15" hidden="1">
      <c r="F93" s="30"/>
      <c r="G93" s="2"/>
      <c r="K93" s="2"/>
      <c r="O93" s="81"/>
      <c r="P93" s="81"/>
      <c r="U93" s="20"/>
    </row>
    <row r="94" ht="15" hidden="1">
      <c r="AA94" s="82"/>
    </row>
    <row r="95" ht="15" hidden="1"/>
    <row r="96" ht="15" hidden="1"/>
    <row r="97" ht="15" hidden="1"/>
    <row r="98" spans="5:36" ht="15" hidden="1">
      <c r="E98" s="17"/>
      <c r="J98" s="1">
        <v>418868</v>
      </c>
      <c r="K98" s="2">
        <f>K68+K65+K58+K54+K25+K24+K23+K22+K19+K17+K15+K13+K11+K9</f>
        <v>176056</v>
      </c>
      <c r="L98" s="2">
        <f>L68+L65+L58+L54+L25+L24+L23+L22+L19+L17+L15+L13+L11+L9</f>
        <v>0</v>
      </c>
      <c r="M98" s="2">
        <f>M68+M65+M58+M54+M25+M24+M23+M22+M19+M17+M15+M13+M11+M9</f>
        <v>0</v>
      </c>
      <c r="N98" s="2">
        <f>N68+N65+N58+N54+N25+N24+N23+N22+N19+N17+N15+N13+N11+N9</f>
        <v>0</v>
      </c>
      <c r="O98" s="81">
        <f>P98</f>
        <v>199462</v>
      </c>
      <c r="P98" s="81">
        <f>P68+P65+P59+P54+P25+P24+P23+P22+P19+P17+P15+P13+P11+P9</f>
        <v>199462</v>
      </c>
      <c r="Q98" s="81">
        <f>Q68+Q65+Q59+Q54+Q25+Q24+Q23+Q22+Q19+Q17+Q15+Q13+Q11+Q9</f>
        <v>0</v>
      </c>
      <c r="R98" s="81">
        <f>R68+R65+R59+R54+R25+R24+R23+R22+R19+R17+R15+R13+R11+R9</f>
        <v>0</v>
      </c>
      <c r="S98" s="81">
        <f>S68+S65+S59+S54+S25+S24+S23+S22+S19+S17+S15+S13+S11+S9</f>
        <v>0</v>
      </c>
      <c r="T98" s="81">
        <f>T68+T65+T58+T54+T25+T24+T23+T22+T19+T17+T15+T13+T11+T9</f>
        <v>175926</v>
      </c>
      <c r="U98" s="81">
        <f>U68+U65+U58+U54+U25+U24+U23+U22+U19+U17+U15+U13+U11+U9</f>
        <v>175926</v>
      </c>
      <c r="AD98" s="95"/>
      <c r="AJ98" s="19"/>
    </row>
    <row r="99" spans="6:46" ht="15" hidden="1">
      <c r="F99" s="2"/>
      <c r="J99" s="17"/>
      <c r="AT99" s="2"/>
    </row>
    <row r="100" spans="6:36" ht="15" hidden="1">
      <c r="F100" s="2">
        <f>383540</f>
        <v>383540</v>
      </c>
      <c r="I100" s="2">
        <f>388653-F79</f>
        <v>0</v>
      </c>
      <c r="J100" s="17"/>
      <c r="AA100" s="81"/>
      <c r="AD100" s="95"/>
      <c r="AJ100" s="19"/>
    </row>
    <row r="101" spans="6:12" ht="15" hidden="1">
      <c r="F101" s="2">
        <f>F79-F100</f>
        <v>5113</v>
      </c>
      <c r="L101" s="2"/>
    </row>
    <row r="102" ht="15" hidden="1"/>
    <row r="103" ht="15">
      <c r="AA103" s="95"/>
    </row>
    <row r="104" spans="10:16" ht="15">
      <c r="J104" s="17"/>
      <c r="L104" s="2"/>
      <c r="P104" s="95"/>
    </row>
    <row r="105" spans="10:11" ht="15">
      <c r="J105" s="17"/>
      <c r="K105" s="17"/>
    </row>
    <row r="106" ht="15">
      <c r="J106" s="17"/>
    </row>
    <row r="107" ht="15">
      <c r="K107" s="2"/>
    </row>
    <row r="109" ht="15">
      <c r="J109" s="2"/>
    </row>
  </sheetData>
  <sheetProtection/>
  <mergeCells count="69">
    <mergeCell ref="A69:A75"/>
    <mergeCell ref="A63:AD63"/>
    <mergeCell ref="B57:B58"/>
    <mergeCell ref="B53:B54"/>
    <mergeCell ref="B69:B72"/>
    <mergeCell ref="B73:B75"/>
    <mergeCell ref="A60:AD60"/>
    <mergeCell ref="B55:B56"/>
    <mergeCell ref="A55:A56"/>
    <mergeCell ref="A6:AD6"/>
    <mergeCell ref="A8:A9"/>
    <mergeCell ref="C2:C4"/>
    <mergeCell ref="Y3:AC3"/>
    <mergeCell ref="A12:A13"/>
    <mergeCell ref="AI58:AK58"/>
    <mergeCell ref="B42:B43"/>
    <mergeCell ref="A42:A43"/>
    <mergeCell ref="AI57:AR57"/>
    <mergeCell ref="A53:A54"/>
    <mergeCell ref="AD3:AD4"/>
    <mergeCell ref="B12:B13"/>
    <mergeCell ref="B64:B65"/>
    <mergeCell ref="B16:B17"/>
    <mergeCell ref="B14:B15"/>
    <mergeCell ref="A1:AD1"/>
    <mergeCell ref="J3:N3"/>
    <mergeCell ref="B8:B9"/>
    <mergeCell ref="A7:AD7"/>
    <mergeCell ref="T3:X3"/>
    <mergeCell ref="AI66:AL66"/>
    <mergeCell ref="A14:A15"/>
    <mergeCell ref="A64:A65"/>
    <mergeCell ref="A57:A58"/>
    <mergeCell ref="B18:B19"/>
    <mergeCell ref="B82:J82"/>
    <mergeCell ref="A37:AD37"/>
    <mergeCell ref="A52:AD52"/>
    <mergeCell ref="A18:A19"/>
    <mergeCell ref="A31:AD31"/>
    <mergeCell ref="BF14:BK14"/>
    <mergeCell ref="A16:A17"/>
    <mergeCell ref="B10:B11"/>
    <mergeCell ref="A10:A11"/>
    <mergeCell ref="A2:A4"/>
    <mergeCell ref="O3:S3"/>
    <mergeCell ref="E3:I3"/>
    <mergeCell ref="D2:D4"/>
    <mergeCell ref="E2:AD2"/>
    <mergeCell ref="B2:B4"/>
    <mergeCell ref="BF54:BK54"/>
    <mergeCell ref="BF17:BK17"/>
    <mergeCell ref="BF18:BK18"/>
    <mergeCell ref="BF19:BK19"/>
    <mergeCell ref="BF20:BK20"/>
    <mergeCell ref="BF9:BK9"/>
    <mergeCell ref="BF10:BK10"/>
    <mergeCell ref="BF11:BK11"/>
    <mergeCell ref="BF12:BK12"/>
    <mergeCell ref="BF13:BK13"/>
    <mergeCell ref="BF55:BK55"/>
    <mergeCell ref="BF57:BK57"/>
    <mergeCell ref="BF58:BK58"/>
    <mergeCell ref="BF65:BK65"/>
    <mergeCell ref="BF15:BK16"/>
    <mergeCell ref="BF21:BK21"/>
    <mergeCell ref="BF22:BK22"/>
    <mergeCell ref="BF23:BK23"/>
    <mergeCell ref="BF24:BK24"/>
    <mergeCell ref="BF25:BK25"/>
  </mergeCells>
  <printOptions horizontalCentered="1" verticalCentered="1"/>
  <pageMargins left="0.2362204724409449" right="0.2362204724409449" top="0.7874015748031497" bottom="0.31496062992125984" header="0.11811023622047245" footer="0.2362204724409449"/>
  <pageSetup firstPageNumber="6" useFirstPageNumber="1" horizontalDpi="600" verticalDpi="600" orientation="landscape" pageOrder="overThenDown" paperSize="9" scale="59" r:id="rId1"/>
  <headerFooter differentFirst="1">
    <oddHeader>&amp;C&amp;"Times New Roman,обычный"&amp;12&amp;P</oddHeader>
    <firstHeader>&amp;C&amp;"Times New Roman,обычный"&amp;12&amp;P&amp;R&amp;"Times New Roman,обычный"Приложение 1 к постановлению 
администрации городского округа Тольятти
от__________№_________
Приложение № 1 к муниципальной программе
 "Тольятти - чистый город на 2020-2024 годы"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2022-01-20T11:31:46Z</cp:lastPrinted>
  <dcterms:created xsi:type="dcterms:W3CDTF">2009-09-03T06:56:12Z</dcterms:created>
  <dcterms:modified xsi:type="dcterms:W3CDTF">2022-01-20T12:03:58Z</dcterms:modified>
  <cp:category/>
  <cp:version/>
  <cp:contentType/>
  <cp:contentStatus/>
</cp:coreProperties>
</file>