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565" windowHeight="12315" activeTab="0"/>
  </bookViews>
  <sheets>
    <sheet name="финансы" sheetId="1" r:id="rId1"/>
  </sheets>
  <definedNames>
    <definedName name="_xlnm._FilterDatabase" localSheetId="0" hidden="1">'финансы'!$A$17:$AL$115</definedName>
    <definedName name="_xlnm.Print_Titles" localSheetId="0">'финансы'!$11:$13</definedName>
    <definedName name="_xlnm.Print_Area" localSheetId="0">'финансы'!$A$1:$AD$115</definedName>
  </definedNames>
  <calcPr fullCalcOnLoad="1" fullPrecision="0"/>
</workbook>
</file>

<file path=xl/comments1.xml><?xml version="1.0" encoding="utf-8"?>
<comments xmlns="http://schemas.openxmlformats.org/spreadsheetml/2006/main">
  <authors>
    <author>Юдина Юлия Валентиновна</author>
    <author>Макеева Юлия Викторовна</author>
  </authors>
  <commentList>
    <comment ref="V3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</t>
        </r>
      </text>
    </comment>
    <comment ref="V35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</t>
        </r>
      </text>
    </comment>
    <comment ref="AG68" authorId="1">
      <text>
        <r>
          <rPr>
            <b/>
            <sz val="9"/>
            <rFont val="Tahoma"/>
            <family val="2"/>
          </rPr>
          <t>Макеева Юлия Викторовна:</t>
        </r>
        <r>
          <rPr>
            <sz val="9"/>
            <rFont val="Tahoma"/>
            <family val="2"/>
          </rPr>
          <t xml:space="preserve">
принтер, сканер, мфу</t>
        </r>
      </text>
    </comment>
    <comment ref="AG69" authorId="1">
      <text>
        <r>
          <rPr>
            <b/>
            <sz val="9"/>
            <rFont val="Tahoma"/>
            <family val="2"/>
          </rPr>
          <t>Макеева Юлия Викторовна:</t>
        </r>
        <r>
          <rPr>
            <sz val="9"/>
            <rFont val="Tahoma"/>
            <family val="2"/>
          </rPr>
          <t xml:space="preserve">
оперативная память, мониторы</t>
        </r>
      </text>
    </comment>
    <comment ref="V77" authorId="0">
      <text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доп294-1
доп293-0,5
</t>
        </r>
      </text>
    </comment>
    <comment ref="G75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201-15,043
280-7,53
294 149</t>
        </r>
      </text>
    </comment>
    <comment ref="G68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201-2</t>
        </r>
      </text>
    </comment>
    <comment ref="G77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дом294 1</t>
        </r>
      </text>
    </comment>
    <comment ref="G56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201 55</t>
        </r>
      </text>
    </comment>
    <comment ref="G47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 65 принтр,</t>
        </r>
      </text>
    </comment>
    <comment ref="G53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201-81,2 расходники</t>
        </r>
      </text>
    </comment>
    <comment ref="G46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201-2
294- 112
</t>
        </r>
      </text>
    </comment>
    <comment ref="G36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201-80
</t>
        </r>
      </text>
    </comment>
    <comment ref="G35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294 5,1</t>
        </r>
      </text>
    </comment>
    <comment ref="G3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294-35</t>
        </r>
      </text>
    </comment>
    <comment ref="G48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201 105 ноут</t>
        </r>
      </text>
    </comment>
    <comment ref="L3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294-35</t>
        </r>
      </text>
    </comment>
    <comment ref="L35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294 5,1</t>
        </r>
      </text>
    </comment>
    <comment ref="L46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294- 112
</t>
        </r>
      </text>
    </comment>
    <comment ref="L75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280-15,043
294 149</t>
        </r>
      </text>
    </comment>
    <comment ref="L77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дом294 1</t>
        </r>
      </text>
    </comment>
    <comment ref="Q3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294-35</t>
        </r>
      </text>
    </comment>
    <comment ref="Q35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294 5,1</t>
        </r>
      </text>
    </comment>
    <comment ref="Q46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294- 112
</t>
        </r>
      </text>
    </comment>
    <comment ref="Q75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280-15,043
294 149</t>
        </r>
      </text>
    </comment>
    <comment ref="Q77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дом294 1</t>
        </r>
      </text>
    </comment>
    <comment ref="K30" authorId="1">
      <text>
        <r>
          <rPr>
            <b/>
            <sz val="9"/>
            <rFont val="Tahoma"/>
            <family val="2"/>
          </rPr>
          <t>Макеева Юлия Викторовна:</t>
        </r>
        <r>
          <rPr>
            <sz val="9"/>
            <rFont val="Tahoma"/>
            <family val="2"/>
          </rPr>
          <t xml:space="preserve">
-3т.р на 1С</t>
        </r>
      </text>
    </comment>
    <comment ref="K33" authorId="1">
      <text>
        <r>
          <rPr>
            <b/>
            <sz val="9"/>
            <rFont val="Tahoma"/>
            <family val="2"/>
          </rPr>
          <t>Макеева Юлия Викторовна:</t>
        </r>
        <r>
          <rPr>
            <sz val="9"/>
            <rFont val="Tahoma"/>
            <family val="2"/>
          </rPr>
          <t xml:space="preserve">
+255 от ДГХ</t>
        </r>
      </text>
    </comment>
    <comment ref="K49" authorId="1">
      <text>
        <r>
          <rPr>
            <b/>
            <sz val="9"/>
            <rFont val="Tahoma"/>
            <family val="2"/>
          </rPr>
          <t>454т.р.  +7шт.ед.</t>
        </r>
      </text>
    </comment>
    <comment ref="K47" authorId="1">
      <text>
        <r>
          <rPr>
            <b/>
            <sz val="9"/>
            <rFont val="Tahoma"/>
            <family val="2"/>
          </rPr>
          <t>220т.р. +7шт.ед.
47т.р. Портативный принтер</t>
        </r>
      </text>
    </comment>
    <comment ref="K56" authorId="1">
      <text>
        <r>
          <rPr>
            <b/>
            <sz val="9"/>
            <rFont val="Tahoma"/>
            <family val="2"/>
          </rPr>
          <t>126т.р.  +7шт.ед.</t>
        </r>
      </text>
    </comment>
  </commentList>
</comments>
</file>

<file path=xl/sharedStrings.xml><?xml version="1.0" encoding="utf-8"?>
<sst xmlns="http://schemas.openxmlformats.org/spreadsheetml/2006/main" count="319" uniqueCount="263">
  <si>
    <t>№ п/п</t>
  </si>
  <si>
    <t>Всего</t>
  </si>
  <si>
    <t>Итого по задаче 1</t>
  </si>
  <si>
    <t>Формирование электронного муниципалитета</t>
  </si>
  <si>
    <t>Итого по задаче 3</t>
  </si>
  <si>
    <t>Сопровождение и совершенствование информационных систем АИС ОГД и ИНГЕО</t>
  </si>
  <si>
    <t>Итого по задаче 5</t>
  </si>
  <si>
    <t>6.1</t>
  </si>
  <si>
    <t>3.1.1</t>
  </si>
  <si>
    <t>ДИТиС</t>
  </si>
  <si>
    <t>1</t>
  </si>
  <si>
    <t>1.1</t>
  </si>
  <si>
    <t>2</t>
  </si>
  <si>
    <t>Задача 2</t>
  </si>
  <si>
    <t>3.1</t>
  </si>
  <si>
    <t>3.1.5</t>
  </si>
  <si>
    <t>3.2</t>
  </si>
  <si>
    <t>4.1</t>
  </si>
  <si>
    <t>5.1</t>
  </si>
  <si>
    <t xml:space="preserve">Задача 1      </t>
  </si>
  <si>
    <t>ИТОГО</t>
  </si>
  <si>
    <t>Сроки реали зации</t>
  </si>
  <si>
    <t>Задача 6</t>
  </si>
  <si>
    <t>Итого по задаче 6</t>
  </si>
  <si>
    <t>Задача 7</t>
  </si>
  <si>
    <t>7.1</t>
  </si>
  <si>
    <t>Итого по задаче 7</t>
  </si>
  <si>
    <t>Оплата выделенных линии связи для IP телефонии</t>
  </si>
  <si>
    <t>Ремонт волоконно-оптического кабеля</t>
  </si>
  <si>
    <t>Тех.поддержка IP АТС</t>
  </si>
  <si>
    <t>ДИТиС
(МАУ "МФЦ")</t>
  </si>
  <si>
    <t>Продление лицензий на антивирусную защиту</t>
  </si>
  <si>
    <t>мз МАУ "МФЦ"</t>
  </si>
  <si>
    <t>Применение муниципальной информационной системы в сфере закупок товаров, работ, услуг</t>
  </si>
  <si>
    <t>Развитие, эксплуатация и сопровождение информационной системы размещения муниципальных закупок «АЦК – Муниципальный заказ»</t>
  </si>
  <si>
    <t>ДЭР</t>
  </si>
  <si>
    <t>мамы</t>
  </si>
  <si>
    <t>1.2</t>
  </si>
  <si>
    <t xml:space="preserve">Наименование целей, задач и мероприятий муниципальной программы  </t>
  </si>
  <si>
    <t xml:space="preserve">Ответственный 
исполнитель
</t>
  </si>
  <si>
    <t>Финансовое обеспечение реализации муниципальной программы, тыс. руб.</t>
  </si>
  <si>
    <t>местный бюджет</t>
  </si>
  <si>
    <t>областной бюджет</t>
  </si>
  <si>
    <t>федеральный бюджет</t>
  </si>
  <si>
    <t>внебюджетные средства</t>
  </si>
  <si>
    <t>Разработка, приобретение и эксплуатация  информационных систем</t>
  </si>
  <si>
    <t>1.1.1</t>
  </si>
  <si>
    <t>1.1.2</t>
  </si>
  <si>
    <t>1.2.2</t>
  </si>
  <si>
    <t>1.2.1</t>
  </si>
  <si>
    <t>Сопровождение и публикация интерактивных электронных форм заявлений</t>
  </si>
  <si>
    <t>Разработка и публикация интерактивных электронных форм заявлений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</si>
  <si>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</si>
  <si>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</si>
  <si>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</si>
  <si>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</si>
  <si>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</si>
  <si>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</si>
  <si>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</si>
  <si>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</si>
  <si>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</si>
  <si>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</si>
  <si>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</si>
  <si>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</t>
  </si>
  <si>
    <t>2.2.1</t>
  </si>
  <si>
    <t>Итого по задаче 2</t>
  </si>
  <si>
    <t>3</t>
  </si>
  <si>
    <t>Итого по задаче 4</t>
  </si>
  <si>
    <t>Задача 5</t>
  </si>
  <si>
    <t xml:space="preserve">Содержание и техническое обслуживание компьютерной техники </t>
  </si>
  <si>
    <t>2.3</t>
  </si>
  <si>
    <t>2.3.1</t>
  </si>
  <si>
    <t>2.3.2</t>
  </si>
  <si>
    <t>2.3.5</t>
  </si>
  <si>
    <t>Содержание, обслуживание, модернизация и  развитие муниципальной системы передачи данных</t>
  </si>
  <si>
    <t xml:space="preserve">Задача 3            </t>
  </si>
  <si>
    <t>3.1.2</t>
  </si>
  <si>
    <t>3.1.3</t>
  </si>
  <si>
    <t>3.3</t>
  </si>
  <si>
    <t>Задача 4</t>
  </si>
  <si>
    <t>Формирование современной базовой информационно-технологической инфраструктуры обработки и передачи информации</t>
  </si>
  <si>
    <t>ИТОГО по муниципальной программе</t>
  </si>
  <si>
    <t>дитис+мфц+гимц+мамы</t>
  </si>
  <si>
    <t xml:space="preserve">Организация и проведение мероприятий по защите информации в органах местного самоуправления городского округа Тольятти </t>
  </si>
  <si>
    <t xml:space="preserve">Настройка информационной системы размещения муниципальных закупок «АЦК – Муниципальный заказ»(восстановление системы после непредвиденных сбоев по вине пользователей системы)     </t>
  </si>
  <si>
    <t xml:space="preserve"> Финансовое обеспечение выполнения муниципального задания на оказание муниципальных услуг (выполнение работ) муниципальными учреждениями городского округа Тольятти, находящимися в  ведомственном подчинении ДИТиС</t>
  </si>
  <si>
    <t>2.1.11</t>
  </si>
  <si>
    <t>2.1.12</t>
  </si>
  <si>
    <t>Утилизация оборудования</t>
  </si>
  <si>
    <t>2.2.2</t>
  </si>
  <si>
    <t>2.2.3</t>
  </si>
  <si>
    <t>2.2.4</t>
  </si>
  <si>
    <t>2.2.5</t>
  </si>
  <si>
    <t>2.2.6</t>
  </si>
  <si>
    <t>Реформирование системы муниципального управления</t>
  </si>
  <si>
    <t>Создание, организация деятельности и развитие сети муниципального автономного  учреждения городского округа Тольятти  "Многофункциональный центр предоставления государственных и муниципальных услуг" в городском округе Тольятти</t>
  </si>
  <si>
    <t>ДИТиС 
(МАУ "МФЦ")</t>
  </si>
  <si>
    <t>2.1.13</t>
  </si>
  <si>
    <t>Приобретение ПО</t>
  </si>
  <si>
    <t>Организация предоставления государственных, муниципальных и иных услуг администрацией городского округа Тольятти и муниципальными учреждениями городского округа Тольятти в электронной форме</t>
  </si>
  <si>
    <t>Организация доступа граждан  к  информации о деятельности органов местного самоуправления через информационно-телекоммуникационную сеть "Интернет", использование интернет-технологий для функционального взаимодействия органов администрации городского округа Тольятти</t>
  </si>
  <si>
    <t>Обеспечение администрации услугами сотовой связи</t>
  </si>
  <si>
    <t>Цель: Обеспечение устойчивого уровня социально-экономического развития городского округа Тольятти и повышение качества жизни населения за счет внедрения информационно-коммуникационных технологий в деятельность органов местного самоуправления городского округа Тольятти, муниципальных предприятий и учреждений городского округа Тольятти</t>
  </si>
  <si>
    <t>3.1.6</t>
  </si>
  <si>
    <t>2.2.7</t>
  </si>
  <si>
    <t>2.2.8</t>
  </si>
  <si>
    <t>2.2.9</t>
  </si>
  <si>
    <t>2.1.14</t>
  </si>
  <si>
    <t>2.1.15</t>
  </si>
  <si>
    <t>2.2.10</t>
  </si>
  <si>
    <t>Приобретение серверного оборудования</t>
  </si>
  <si>
    <t>Онлайн-доступ к информационному сервису "МКД-расчёт"</t>
  </si>
  <si>
    <t>МФЦ на развитие, ГИМЦ рерг</t>
  </si>
  <si>
    <t>2.2.11</t>
  </si>
  <si>
    <t>2.3.7</t>
  </si>
  <si>
    <t>2.3.8</t>
  </si>
  <si>
    <t>2.3.9</t>
  </si>
  <si>
    <t>2.3.10</t>
  </si>
  <si>
    <t>2.3.11</t>
  </si>
  <si>
    <t>3.1.7</t>
  </si>
  <si>
    <t xml:space="preserve">Модификация прикладного ПО мобильного приложения (платформа Apple IOS, платформа Android) информационной системы «Открытый город» </t>
  </si>
  <si>
    <t>Развитие  сайта  «Открытый город» (сопровождение)</t>
  </si>
  <si>
    <t>Предоставление телекоммуникационных услуг для организации видеоконференций</t>
  </si>
  <si>
    <t>2.2.12</t>
  </si>
  <si>
    <t>Приобретение системы храниения даннанных</t>
  </si>
  <si>
    <t>Осуществление отдельных ежемесячных выплат   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или автономными учреждениями
городского округа Тольятти, находящимися в ведомственном подчинении  департамента информационных технологий и связи городского округа Тольятти</t>
  </si>
  <si>
    <t>Услуги спец. связи ( Хайком)</t>
  </si>
  <si>
    <t>Предоставление в аренду места в кабельной канализации связи</t>
  </si>
  <si>
    <t>Перечень мероприятий муниципальной программы "Развитие информационно - телекоммуникационной инфраструктуры городского округа Тольятти на 2022-2026 годы"</t>
  </si>
  <si>
    <t xml:space="preserve"> к муниципальной программе  "Развитие информационно-телекоммуникационной инфраструктуры городского округа Тольятти на 2022-2026 годы"</t>
  </si>
  <si>
    <t xml:space="preserve"> План на 2022 год</t>
  </si>
  <si>
    <t xml:space="preserve"> План на 2023 год</t>
  </si>
  <si>
    <t xml:space="preserve">  План на 2024 год</t>
  </si>
  <si>
    <t xml:space="preserve">  План на 2025 год</t>
  </si>
  <si>
    <t xml:space="preserve">  План на 2026 год</t>
  </si>
  <si>
    <t>2022-2026</t>
  </si>
  <si>
    <t>Совершенствование системы предоставления государственных и муниципальных услуг субъектам предпринимательской и инвестиционной деятельности</t>
  </si>
  <si>
    <t>Обновление и сопровождение системы электронного документооборота в администрации городского округа Тольятти</t>
  </si>
  <si>
    <t>Приобретение лицензий системы виртуализации Vmware</t>
  </si>
  <si>
    <t>Приобретение телекоммуникационного оборудования</t>
  </si>
  <si>
    <t>Приобретение ИБП для серверов</t>
  </si>
  <si>
    <t>Приобретение оборудования для  ликвидации ЧС</t>
  </si>
  <si>
    <t>Услуги городской связи (внутризоновая, междугородняя, телеграммы) (доступ к телефонной сети общего пользования (2 номера) (секретка)</t>
  </si>
  <si>
    <t>Защита персональных данных, конфиденциальной информации и иных сведений, не составляющих государственную тайну</t>
  </si>
  <si>
    <t>Передача неисключительных (пользовательских) прав использования программного обеспечения защиты информации от несанкционированного доступа Dallas Lock 8.0</t>
  </si>
  <si>
    <t>Оказание услуг по аттестации государственных и муниципальных информационных систем</t>
  </si>
  <si>
    <t>Защита информации, содержащей сведения, составляющие государственную тайну</t>
  </si>
  <si>
    <t xml:space="preserve">Приобретение лицензий  геоинформационного сервиса «ТехноКад-Муниципалитет»" </t>
  </si>
  <si>
    <t>Сопровождение ИС "ESTIMATE"</t>
  </si>
  <si>
    <t>Сопровождение ИС "Адепт-Проект"</t>
  </si>
  <si>
    <t>Сопровождение ИС "Парус Бюджет 8"</t>
  </si>
  <si>
    <t>Сопровождение ИС "1С-Предприятие"</t>
  </si>
  <si>
    <t>Сопровождение ИС "Консультант+"</t>
  </si>
  <si>
    <t>Сопровождение и техобслуживание ИС "Гранд-Смета"</t>
  </si>
  <si>
    <t>Сопровождение ИС "NORMA CS"</t>
  </si>
  <si>
    <t>Сопровождение ИС "Астрал-Отчет"</t>
  </si>
  <si>
    <t xml:space="preserve">Приобретение ПО для видеоконференцсвязи </t>
  </si>
  <si>
    <t>2.2.14</t>
  </si>
  <si>
    <t>Приобретение батарей для ИБП- серверов</t>
  </si>
  <si>
    <t>Приобретение переферийного оборудования</t>
  </si>
  <si>
    <t>Услуги Интернет</t>
  </si>
  <si>
    <t>Услуги по аренде места в проходном коллекторе</t>
  </si>
  <si>
    <t>4.2</t>
  </si>
  <si>
    <t>7</t>
  </si>
  <si>
    <t>7.2</t>
  </si>
  <si>
    <t>3.1.4</t>
  </si>
  <si>
    <t>3.1.8</t>
  </si>
  <si>
    <t>3.1.9</t>
  </si>
  <si>
    <t>Техническая поддержка защищенной сети VipNet</t>
  </si>
  <si>
    <t>Передача простых (неисключительных) лицензий (прав) на обновление программного обеспечения – средств криптографической защиты информации</t>
  </si>
  <si>
    <t>Техническая поддержка программного продукта DallasLock 8.0</t>
  </si>
  <si>
    <t>Передача неисключительных (пользовательских) прав использования программного обеспечения защиты информации (сетевой сканер безопасности)</t>
  </si>
  <si>
    <t>Передача неисключительных (пользовательских) прав использования программного обеспечения анализа и контроля защищенности компьютерных систем</t>
  </si>
  <si>
    <t>3.1.10</t>
  </si>
  <si>
    <t>Предоставление субсидий муниципальному автономному учреждению городского округа Тольятти "Многофункциональный центр предоставления государственных и муниципальных услуг"  на финансовое обеспечение выполнения  им муниципального задания на  оказание муниципальных услуг (выполнение работ)</t>
  </si>
  <si>
    <t xml:space="preserve">  Обеспечение социальных гарантий работникам муниципальных учреждений городского округа Тольятти, находящихся в  ведомственном подчинении ДИТиС</t>
  </si>
  <si>
    <t>к постановлению администрации  городского округа Тольятти</t>
  </si>
  <si>
    <t>от_________________________№________________</t>
  </si>
  <si>
    <t>04220</t>
  </si>
  <si>
    <t>04221</t>
  </si>
  <si>
    <t>04222</t>
  </si>
  <si>
    <t>04229</t>
  </si>
  <si>
    <t>04223</t>
  </si>
  <si>
    <t>04226</t>
  </si>
  <si>
    <t>04230</t>
  </si>
  <si>
    <t>04224</t>
  </si>
  <si>
    <t>04225</t>
  </si>
  <si>
    <t>мфц</t>
  </si>
  <si>
    <t xml:space="preserve">иные </t>
  </si>
  <si>
    <t>дитис</t>
  </si>
  <si>
    <t>2.2.15</t>
  </si>
  <si>
    <t xml:space="preserve">                        Приложение № 1 </t>
  </si>
  <si>
    <t>Приобретение МФУ, поточных сканеров</t>
  </si>
  <si>
    <t>Приобретение ноутбуков</t>
  </si>
  <si>
    <t>Приобретение компьютерной техники (системный блок, монитор,мышь,клавиатура)</t>
  </si>
  <si>
    <t>Приобретение ПК в сборе</t>
  </si>
  <si>
    <t>Ремонт IP-телефонов</t>
  </si>
  <si>
    <t>Приобретение комплектующих, запчастей (камера, колонки, флеш, картриджи, блок питания, розетки, вилки, инжектор, кабель, жесткий диск, сетевые карты, коммутатор, память и пр.)</t>
  </si>
  <si>
    <t>Приобретение телефонных аппаратов</t>
  </si>
  <si>
    <t>Приобретение дополнительного ОЗУ (оперативная память для ПК) и SSD-дисков</t>
  </si>
  <si>
    <t xml:space="preserve">Приобретение блоков питания к IP- телефон.аппаратам </t>
  </si>
  <si>
    <t>2.1.16</t>
  </si>
  <si>
    <t>2.2.16</t>
  </si>
  <si>
    <t>2.2.17</t>
  </si>
  <si>
    <t>2.2.18</t>
  </si>
  <si>
    <t>2.3.3</t>
  </si>
  <si>
    <t>2.3.4</t>
  </si>
  <si>
    <t>2.3.6</t>
  </si>
  <si>
    <t>3.1.11</t>
  </si>
  <si>
    <t>Приобретение лицензий ЕРИАС</t>
  </si>
  <si>
    <t>3.3.1</t>
  </si>
  <si>
    <t>3.3.2</t>
  </si>
  <si>
    <t>Проведение комплекса мероприятий на объектах информатизации – автоматизированных системах (АС) для защиты сведений, составляющих государственную тайну</t>
  </si>
  <si>
    <t>Проведению комплекса мероприятий на объектах информатизации – выделенных помещений (ВП) для защиты сведений, составляющих государственную тайну.</t>
  </si>
  <si>
    <t>2.2.19</t>
  </si>
  <si>
    <t>2.2.20</t>
  </si>
  <si>
    <t>Приобретение сетевого хранилища</t>
  </si>
  <si>
    <t>2.2.13</t>
  </si>
  <si>
    <t>Приобретение сервера 2шт</t>
  </si>
  <si>
    <t>2.2.21</t>
  </si>
  <si>
    <t>Приобретение коммутаторов</t>
  </si>
  <si>
    <t>Приобретение, ремонт, обслуживание и содержание компьютерного оборудования, оргтехники и средств связи, а также прочие работы, услуги, связанные с эксплуатацией данного оборудования</t>
  </si>
  <si>
    <t>Приложение</t>
  </si>
  <si>
    <t>2.1.17</t>
  </si>
  <si>
    <t>2.1.18</t>
  </si>
  <si>
    <t>2.1.19</t>
  </si>
  <si>
    <t>Приобретение лицензий  "1С-Бухгалтерия" для перехода администрации  с "Парус-8"</t>
  </si>
  <si>
    <t>Внедрение ИС  "1С-Бухгалтерия" в администрации</t>
  </si>
  <si>
    <t>Внедрение ИС  "1С-Бухгалтерия" Зарплата, Кадры</t>
  </si>
  <si>
    <t>Услуги международной связи</t>
  </si>
  <si>
    <t>Представление прав использования Крипто Про</t>
  </si>
  <si>
    <t xml:space="preserve">Предоставление права на  использование программного обеспечения XSpider  </t>
  </si>
  <si>
    <t xml:space="preserve"> Предоставлению неисключительного
права на использование программы поиска и
гарантированного уничтожения информации на дисках TERRIER</t>
  </si>
  <si>
    <t>Комплект обновления ПАК VipNet Coordinator   ПРИОБРЕТЕНИЕ</t>
  </si>
  <si>
    <t>УСЛУГИ Cертификат активации сервиса совместной техподдержки ПАК VipNet Coordinator (сюда же вошла установка и настройка)</t>
  </si>
  <si>
    <t>3.1.12</t>
  </si>
  <si>
    <t>в т.ч.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</si>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</sst>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#,##0.000"/>
    <numFmt numFmtId="192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4" fontId="54" fillId="4" borderId="10" xfId="0" applyNumberFormat="1" applyFont="1" applyFill="1" applyBorder="1" applyAlignment="1">
      <alignment vertical="center"/>
    </xf>
    <xf numFmtId="0" fontId="55" fillId="4" borderId="10" xfId="0" applyFont="1" applyFill="1" applyBorder="1" applyAlignment="1">
      <alignment vertical="center" wrapText="1"/>
    </xf>
    <xf numFmtId="0" fontId="55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6" fillId="33" borderId="0" xfId="0" applyFont="1" applyFill="1" applyAlignment="1">
      <alignment/>
    </xf>
    <xf numFmtId="4" fontId="55" fillId="4" borderId="10" xfId="0" applyNumberFormat="1" applyFont="1" applyFill="1" applyBorder="1" applyAlignment="1">
      <alignment vertical="center"/>
    </xf>
    <xf numFmtId="4" fontId="55" fillId="4" borderId="10" xfId="0" applyNumberFormat="1" applyFont="1" applyFill="1" applyBorder="1" applyAlignment="1">
      <alignment vertical="center" wrapText="1"/>
    </xf>
    <xf numFmtId="4" fontId="54" fillId="4" borderId="10" xfId="0" applyNumberFormat="1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horizontal="right" vertical="center" wrapText="1"/>
    </xf>
    <xf numFmtId="4" fontId="57" fillId="0" borderId="10" xfId="0" applyNumberFormat="1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4" fontId="55" fillId="0" borderId="0" xfId="0" applyNumberFormat="1" applyFont="1" applyFill="1" applyAlignment="1">
      <alignment/>
    </xf>
    <xf numFmtId="0" fontId="55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11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49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4" fontId="56" fillId="0" borderId="0" xfId="0" applyNumberFormat="1" applyFont="1" applyFill="1" applyAlignment="1">
      <alignment/>
    </xf>
    <xf numFmtId="0" fontId="56" fillId="0" borderId="0" xfId="0" applyFont="1" applyFill="1" applyAlignment="1">
      <alignment horizontal="right"/>
    </xf>
    <xf numFmtId="0" fontId="56" fillId="0" borderId="10" xfId="0" applyFont="1" applyFill="1" applyBorder="1" applyAlignment="1">
      <alignment/>
    </xf>
    <xf numFmtId="0" fontId="56" fillId="0" borderId="10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4" fontId="58" fillId="0" borderId="10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/>
    </xf>
    <xf numFmtId="0" fontId="55" fillId="0" borderId="13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14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 horizontal="left"/>
    </xf>
    <xf numFmtId="49" fontId="55" fillId="4" borderId="10" xfId="0" applyNumberFormat="1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/>
    </xf>
    <xf numFmtId="0" fontId="55" fillId="4" borderId="10" xfId="0" applyNumberFormat="1" applyFont="1" applyFill="1" applyBorder="1" applyAlignment="1">
      <alignment/>
    </xf>
    <xf numFmtId="0" fontId="55" fillId="4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/>
    </xf>
    <xf numFmtId="49" fontId="57" fillId="0" borderId="10" xfId="0" applyNumberFormat="1" applyFont="1" applyFill="1" applyBorder="1" applyAlignment="1">
      <alignment horizontal="left" vertical="center"/>
    </xf>
    <xf numFmtId="4" fontId="54" fillId="4" borderId="10" xfId="0" applyNumberFormat="1" applyFont="1" applyFill="1" applyBorder="1" applyAlignment="1">
      <alignment horizontal="right" vertical="center"/>
    </xf>
    <xf numFmtId="0" fontId="57" fillId="4" borderId="10" xfId="0" applyNumberFormat="1" applyFont="1" applyFill="1" applyBorder="1" applyAlignment="1">
      <alignment/>
    </xf>
    <xf numFmtId="0" fontId="55" fillId="4" borderId="10" xfId="0" applyFont="1" applyFill="1" applyBorder="1" applyAlignment="1">
      <alignment horizontal="left" vertical="center" wrapText="1"/>
    </xf>
    <xf numFmtId="0" fontId="55" fillId="4" borderId="10" xfId="0" applyFont="1" applyFill="1" applyBorder="1" applyAlignment="1">
      <alignment horizontal="center"/>
    </xf>
    <xf numFmtId="0" fontId="55" fillId="4" borderId="10" xfId="0" applyFont="1" applyFill="1" applyBorder="1" applyAlignment="1">
      <alignment horizontal="center" wrapText="1"/>
    </xf>
    <xf numFmtId="0" fontId="55" fillId="4" borderId="0" xfId="0" applyFont="1" applyFill="1" applyBorder="1" applyAlignment="1">
      <alignment/>
    </xf>
    <xf numFmtId="4" fontId="55" fillId="4" borderId="10" xfId="0" applyNumberFormat="1" applyFont="1" applyFill="1" applyBorder="1" applyAlignment="1">
      <alignment horizontal="right" vertical="center"/>
    </xf>
    <xf numFmtId="49" fontId="57" fillId="4" borderId="10" xfId="0" applyNumberFormat="1" applyFont="1" applyFill="1" applyBorder="1" applyAlignment="1">
      <alignment wrapText="1"/>
    </xf>
    <xf numFmtId="49" fontId="57" fillId="0" borderId="10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vertical="center" wrapText="1"/>
    </xf>
    <xf numFmtId="0" fontId="57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49" fontId="55" fillId="0" borderId="10" xfId="0" applyNumberFormat="1" applyFont="1" applyFill="1" applyBorder="1" applyAlignment="1">
      <alignment horizontal="left" vertical="center" wrapText="1"/>
    </xf>
    <xf numFmtId="49" fontId="57" fillId="0" borderId="0" xfId="0" applyNumberFormat="1" applyFont="1" applyFill="1" applyAlignment="1">
      <alignment horizontal="center"/>
    </xf>
    <xf numFmtId="182" fontId="55" fillId="0" borderId="0" xfId="0" applyNumberFormat="1" applyFont="1" applyFill="1" applyAlignment="1">
      <alignment/>
    </xf>
    <xf numFmtId="0" fontId="55" fillId="0" borderId="0" xfId="0" applyFont="1" applyFill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 quotePrefix="1">
      <alignment/>
    </xf>
    <xf numFmtId="182" fontId="55" fillId="0" borderId="10" xfId="0" applyNumberFormat="1" applyFont="1" applyFill="1" applyBorder="1" applyAlignment="1" quotePrefix="1">
      <alignment/>
    </xf>
    <xf numFmtId="0" fontId="55" fillId="0" borderId="10" xfId="0" applyFont="1" applyFill="1" applyBorder="1" applyAlignment="1" quotePrefix="1">
      <alignment horizontal="center" wrapText="1"/>
    </xf>
    <xf numFmtId="4" fontId="57" fillId="0" borderId="10" xfId="0" applyNumberFormat="1" applyFont="1" applyFill="1" applyBorder="1" applyAlignment="1">
      <alignment horizontal="right" vertical="center"/>
    </xf>
    <xf numFmtId="182" fontId="55" fillId="0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 wrapText="1"/>
    </xf>
    <xf numFmtId="191" fontId="55" fillId="0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/>
    </xf>
    <xf numFmtId="191" fontId="57" fillId="0" borderId="10" xfId="0" applyNumberFormat="1" applyFont="1" applyFill="1" applyBorder="1" applyAlignment="1">
      <alignment horizontal="right" vertical="center"/>
    </xf>
    <xf numFmtId="49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4" fontId="59" fillId="0" borderId="10" xfId="0" applyNumberFormat="1" applyFont="1" applyFill="1" applyBorder="1" applyAlignment="1">
      <alignment wrapText="1"/>
    </xf>
    <xf numFmtId="191" fontId="59" fillId="0" borderId="10" xfId="0" applyNumberFormat="1" applyFont="1" applyFill="1" applyBorder="1" applyAlignment="1">
      <alignment/>
    </xf>
    <xf numFmtId="4" fontId="59" fillId="0" borderId="10" xfId="0" applyNumberFormat="1" applyFont="1" applyFill="1" applyBorder="1" applyAlignment="1">
      <alignment/>
    </xf>
    <xf numFmtId="4" fontId="59" fillId="0" borderId="10" xfId="0" applyNumberFormat="1" applyFont="1" applyFill="1" applyBorder="1" applyAlignment="1">
      <alignment horizontal="right" vertical="center"/>
    </xf>
    <xf numFmtId="0" fontId="59" fillId="0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 horizontal="center"/>
    </xf>
    <xf numFmtId="4" fontId="57" fillId="0" borderId="10" xfId="0" applyNumberFormat="1" applyFont="1" applyFill="1" applyBorder="1" applyAlignment="1">
      <alignment wrapText="1"/>
    </xf>
    <xf numFmtId="191" fontId="57" fillId="0" borderId="10" xfId="0" applyNumberFormat="1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 horizontal="right" vertical="top" wrapText="1"/>
    </xf>
    <xf numFmtId="4" fontId="60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4" fontId="57" fillId="0" borderId="10" xfId="0" applyNumberFormat="1" applyFont="1" applyFill="1" applyBorder="1" applyAlignment="1">
      <alignment vertical="center"/>
    </xf>
    <xf numFmtId="191" fontId="54" fillId="4" borderId="10" xfId="0" applyNumberFormat="1" applyFont="1" applyFill="1" applyBorder="1" applyAlignment="1">
      <alignment vertical="center"/>
    </xf>
    <xf numFmtId="191" fontId="54" fillId="4" borderId="10" xfId="0" applyNumberFormat="1" applyFont="1" applyFill="1" applyBorder="1" applyAlignment="1">
      <alignment vertical="center" wrapText="1"/>
    </xf>
    <xf numFmtId="4" fontId="61" fillId="4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91" fontId="55" fillId="4" borderId="10" xfId="0" applyNumberFormat="1" applyFont="1" applyFill="1" applyBorder="1" applyAlignment="1">
      <alignment vertical="center" wrapText="1"/>
    </xf>
    <xf numFmtId="3" fontId="54" fillId="4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4" borderId="10" xfId="0" applyNumberFormat="1" applyFont="1" applyFill="1" applyBorder="1" applyAlignment="1">
      <alignment vertical="center" wrapText="1"/>
    </xf>
    <xf numFmtId="4" fontId="6" fillId="4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1" fillId="4" borderId="10" xfId="0" applyNumberFormat="1" applyFont="1" applyFill="1" applyBorder="1" applyAlignment="1">
      <alignment vertical="center" wrapText="1"/>
    </xf>
    <xf numFmtId="3" fontId="54" fillId="4" borderId="10" xfId="0" applyNumberFormat="1" applyFont="1" applyFill="1" applyBorder="1" applyAlignment="1">
      <alignment vertical="center"/>
    </xf>
    <xf numFmtId="183" fontId="54" fillId="4" borderId="10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/>
    </xf>
    <xf numFmtId="4" fontId="57" fillId="0" borderId="10" xfId="0" applyNumberFormat="1" applyFont="1" applyFill="1" applyBorder="1" applyAlignment="1">
      <alignment vertical="center"/>
    </xf>
    <xf numFmtId="4" fontId="55" fillId="34" borderId="0" xfId="0" applyNumberFormat="1" applyFont="1" applyFill="1" applyAlignment="1">
      <alignment/>
    </xf>
    <xf numFmtId="4" fontId="54" fillId="34" borderId="10" xfId="0" applyNumberFormat="1" applyFont="1" applyFill="1" applyBorder="1" applyAlignment="1">
      <alignment vertical="center"/>
    </xf>
    <xf numFmtId="0" fontId="55" fillId="34" borderId="10" xfId="0" applyFont="1" applyFill="1" applyBorder="1" applyAlignment="1" quotePrefix="1">
      <alignment/>
    </xf>
    <xf numFmtId="4" fontId="55" fillId="34" borderId="10" xfId="0" applyNumberFormat="1" applyFont="1" applyFill="1" applyBorder="1" applyAlignment="1">
      <alignment/>
    </xf>
    <xf numFmtId="4" fontId="59" fillId="34" borderId="10" xfId="0" applyNumberFormat="1" applyFont="1" applyFill="1" applyBorder="1" applyAlignment="1">
      <alignment/>
    </xf>
    <xf numFmtId="191" fontId="57" fillId="34" borderId="10" xfId="0" applyNumberFormat="1" applyFont="1" applyFill="1" applyBorder="1" applyAlignment="1">
      <alignment/>
    </xf>
    <xf numFmtId="4" fontId="5" fillId="4" borderId="14" xfId="0" applyNumberFormat="1" applyFont="1" applyFill="1" applyBorder="1" applyAlignment="1">
      <alignment vertical="center" wrapText="1"/>
    </xf>
    <xf numFmtId="4" fontId="5" fillId="4" borderId="10" xfId="0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56" fillId="0" borderId="0" xfId="0" applyNumberFormat="1" applyFont="1" applyFill="1" applyBorder="1" applyAlignment="1">
      <alignment horizontal="right" vertical="top" wrapText="1"/>
    </xf>
    <xf numFmtId="4" fontId="56" fillId="0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/>
    </xf>
    <xf numFmtId="4" fontId="57" fillId="34" borderId="10" xfId="0" applyNumberFormat="1" applyFont="1" applyFill="1" applyBorder="1" applyAlignment="1">
      <alignment vertical="center" wrapText="1"/>
    </xf>
    <xf numFmtId="4" fontId="55" fillId="34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1" fillId="0" borderId="10" xfId="0" applyNumberFormat="1" applyFont="1" applyFill="1" applyBorder="1" applyAlignment="1">
      <alignment vertical="center"/>
    </xf>
    <xf numFmtId="4" fontId="61" fillId="0" borderId="10" xfId="0" applyNumberFormat="1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vertical="center"/>
    </xf>
    <xf numFmtId="183" fontId="54" fillId="0" borderId="10" xfId="0" applyNumberFormat="1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 wrapText="1"/>
    </xf>
    <xf numFmtId="0" fontId="55" fillId="4" borderId="14" xfId="0" applyFont="1" applyFill="1" applyBorder="1" applyAlignment="1">
      <alignment horizontal="center" vertical="center" wrapText="1"/>
    </xf>
    <xf numFmtId="49" fontId="55" fillId="4" borderId="13" xfId="0" applyNumberFormat="1" applyFont="1" applyFill="1" applyBorder="1" applyAlignment="1">
      <alignment horizontal="center" vertical="center" wrapText="1"/>
    </xf>
    <xf numFmtId="49" fontId="55" fillId="4" borderId="14" xfId="0" applyNumberFormat="1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left" vertical="center" wrapText="1"/>
    </xf>
    <xf numFmtId="0" fontId="55" fillId="4" borderId="14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/>
    </xf>
    <xf numFmtId="4" fontId="56" fillId="0" borderId="0" xfId="0" applyNumberFormat="1" applyFont="1" applyFill="1" applyBorder="1" applyAlignment="1">
      <alignment horizontal="right" vertical="top" wrapText="1"/>
    </xf>
    <xf numFmtId="4" fontId="56" fillId="0" borderId="0" xfId="0" applyNumberFormat="1" applyFont="1" applyFill="1" applyBorder="1" applyAlignment="1">
      <alignment horizontal="left" vertical="top" wrapText="1"/>
    </xf>
    <xf numFmtId="4" fontId="56" fillId="0" borderId="0" xfId="0" applyNumberFormat="1" applyFont="1" applyFill="1" applyBorder="1" applyAlignment="1">
      <alignment horizontal="center" vertical="top" wrapText="1"/>
    </xf>
    <xf numFmtId="4" fontId="60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vertical="center" wrapText="1"/>
    </xf>
    <xf numFmtId="0" fontId="57" fillId="0" borderId="16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4" fontId="57" fillId="0" borderId="1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5" fillId="0" borderId="0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3"/>
  <sheetViews>
    <sheetView tabSelected="1" view="pageBreakPreview" zoomScale="66" zoomScaleNormal="66" zoomScaleSheetLayoutView="66" zoomScalePageLayoutView="0" workbookViewId="0" topLeftCell="A1">
      <selection activeCell="C17" sqref="C17"/>
    </sheetView>
  </sheetViews>
  <sheetFormatPr defaultColWidth="9.140625" defaultRowHeight="15" outlineLevelRow="1" outlineLevelCol="1"/>
  <cols>
    <col min="1" max="1" width="8.28125" style="14" customWidth="1"/>
    <col min="2" max="2" width="32.8515625" style="15" customWidth="1"/>
    <col min="3" max="3" width="16.28125" style="15" customWidth="1"/>
    <col min="4" max="4" width="10.421875" style="16" customWidth="1"/>
    <col min="5" max="5" width="15.421875" style="17" customWidth="1"/>
    <col min="6" max="6" width="16.140625" style="17" customWidth="1"/>
    <col min="7" max="7" width="12.8515625" style="17" customWidth="1"/>
    <col min="8" max="8" width="8.28125" style="17" customWidth="1"/>
    <col min="9" max="9" width="8.421875" style="17" customWidth="1"/>
    <col min="10" max="10" width="14.57421875" style="17" customWidth="1" outlineLevel="1"/>
    <col min="11" max="11" width="15.28125" style="119" customWidth="1" outlineLevel="1"/>
    <col min="12" max="12" width="11.7109375" style="17" customWidth="1" outlineLevel="1"/>
    <col min="13" max="13" width="9.140625" style="17" customWidth="1" outlineLevel="1"/>
    <col min="14" max="14" width="9.28125" style="17" customWidth="1" outlineLevel="1"/>
    <col min="15" max="15" width="15.140625" style="15" customWidth="1" outlineLevel="1"/>
    <col min="16" max="16" width="14.140625" style="15" customWidth="1" outlineLevel="1"/>
    <col min="17" max="17" width="10.57421875" style="15" customWidth="1" outlineLevel="1"/>
    <col min="18" max="18" width="7.7109375" style="15" customWidth="1" outlineLevel="1"/>
    <col min="19" max="19" width="10.8515625" style="15" customWidth="1" outlineLevel="1"/>
    <col min="20" max="20" width="14.00390625" style="15" customWidth="1" outlineLevel="1"/>
    <col min="21" max="21" width="15.8515625" style="15" customWidth="1" outlineLevel="1"/>
    <col min="22" max="22" width="11.57421875" style="15" customWidth="1" outlineLevel="1"/>
    <col min="23" max="23" width="9.28125" style="15" customWidth="1" outlineLevel="1"/>
    <col min="24" max="24" width="8.8515625" style="15" customWidth="1" outlineLevel="1"/>
    <col min="25" max="25" width="15.28125" style="15" customWidth="1" outlineLevel="1"/>
    <col min="26" max="26" width="15.57421875" style="15" customWidth="1" outlineLevel="1"/>
    <col min="27" max="27" width="10.140625" style="15" customWidth="1" outlineLevel="1"/>
    <col min="28" max="28" width="9.28125" style="15" customWidth="1" outlineLevel="1"/>
    <col min="29" max="29" width="9.7109375" style="15" customWidth="1" outlineLevel="1"/>
    <col min="30" max="30" width="16.140625" style="15" customWidth="1"/>
    <col min="31" max="31" width="18.28125" style="21" customWidth="1"/>
    <col min="32" max="32" width="17.28125" style="18" customWidth="1"/>
    <col min="33" max="33" width="15.28125" style="15" bestFit="1" customWidth="1"/>
    <col min="34" max="34" width="16.00390625" style="15" customWidth="1"/>
    <col min="35" max="16384" width="9.140625" style="15" customWidth="1"/>
  </cols>
  <sheetData>
    <row r="1" spans="11:31" ht="18.75" outlineLevel="1">
      <c r="K1" s="17"/>
      <c r="Y1" s="3"/>
      <c r="Z1" s="3"/>
      <c r="AA1" s="149" t="s">
        <v>222</v>
      </c>
      <c r="AB1" s="149"/>
      <c r="AC1" s="149"/>
      <c r="AD1" s="149"/>
      <c r="AE1" s="149"/>
    </row>
    <row r="2" spans="11:31" ht="18.75" outlineLevel="1">
      <c r="K2" s="17"/>
      <c r="Y2" s="5" t="s">
        <v>176</v>
      </c>
      <c r="Z2" s="4"/>
      <c r="AA2" s="4"/>
      <c r="AB2" s="4"/>
      <c r="AC2" s="19"/>
      <c r="AD2" s="19"/>
      <c r="AE2" s="20"/>
    </row>
    <row r="3" spans="11:31" ht="28.5" customHeight="1" outlineLevel="1">
      <c r="K3" s="17"/>
      <c r="Y3" s="3"/>
      <c r="Z3" s="3" t="s">
        <v>177</v>
      </c>
      <c r="AA3" s="3"/>
      <c r="AB3" s="3"/>
      <c r="AE3" s="15"/>
    </row>
    <row r="4" ht="4.5" customHeight="1" outlineLevel="1">
      <c r="K4" s="17"/>
    </row>
    <row r="5" ht="9" customHeight="1" outlineLevel="1">
      <c r="K5" s="17"/>
    </row>
    <row r="6" spans="1:32" s="23" customFormat="1" ht="18.75" outlineLevel="1">
      <c r="A6" s="22"/>
      <c r="D6" s="24"/>
      <c r="E6" s="25"/>
      <c r="F6" s="25"/>
      <c r="G6" s="25"/>
      <c r="H6" s="25"/>
      <c r="I6" s="25"/>
      <c r="J6" s="25"/>
      <c r="K6" s="150"/>
      <c r="L6" s="150"/>
      <c r="M6" s="150"/>
      <c r="N6" s="150"/>
      <c r="P6" s="151"/>
      <c r="Q6" s="151"/>
      <c r="R6" s="151"/>
      <c r="S6" s="151"/>
      <c r="U6" s="130"/>
      <c r="V6" s="26"/>
      <c r="W6" s="26"/>
      <c r="X6" s="26"/>
      <c r="Y6" s="26"/>
      <c r="Z6" s="149" t="s">
        <v>191</v>
      </c>
      <c r="AA6" s="149"/>
      <c r="AB6" s="149"/>
      <c r="AC6" s="149"/>
      <c r="AD6" s="149"/>
      <c r="AE6" s="27"/>
      <c r="AF6" s="28"/>
    </row>
    <row r="7" spans="1:32" s="23" customFormat="1" ht="18.75" customHeight="1" outlineLevel="1">
      <c r="A7" s="22"/>
      <c r="D7" s="24"/>
      <c r="E7" s="25"/>
      <c r="F7" s="25"/>
      <c r="G7" s="25"/>
      <c r="H7" s="25"/>
      <c r="I7" s="25"/>
      <c r="J7" s="25"/>
      <c r="K7" s="150"/>
      <c r="L7" s="150"/>
      <c r="M7" s="150"/>
      <c r="N7" s="150"/>
      <c r="P7" s="151"/>
      <c r="Q7" s="151"/>
      <c r="R7" s="151"/>
      <c r="S7" s="151"/>
      <c r="U7" s="130"/>
      <c r="V7" s="26"/>
      <c r="W7" s="26"/>
      <c r="X7" s="152" t="s">
        <v>129</v>
      </c>
      <c r="Y7" s="152"/>
      <c r="Z7" s="152"/>
      <c r="AA7" s="152"/>
      <c r="AB7" s="152"/>
      <c r="AC7" s="152"/>
      <c r="AD7" s="152"/>
      <c r="AE7" s="29"/>
      <c r="AF7" s="28"/>
    </row>
    <row r="8" spans="1:32" s="23" customFormat="1" ht="41.25" customHeight="1" outlineLevel="1">
      <c r="A8" s="22"/>
      <c r="D8" s="24"/>
      <c r="E8" s="25"/>
      <c r="F8" s="25"/>
      <c r="G8" s="25"/>
      <c r="H8" s="25"/>
      <c r="I8" s="25"/>
      <c r="J8" s="25"/>
      <c r="K8" s="116"/>
      <c r="L8" s="88"/>
      <c r="M8" s="88"/>
      <c r="N8" s="88"/>
      <c r="P8" s="131"/>
      <c r="Q8" s="131"/>
      <c r="R8" s="131"/>
      <c r="S8" s="131"/>
      <c r="U8" s="130"/>
      <c r="V8" s="26"/>
      <c r="X8" s="152"/>
      <c r="Y8" s="152"/>
      <c r="Z8" s="152"/>
      <c r="AA8" s="152"/>
      <c r="AB8" s="152"/>
      <c r="AC8" s="152"/>
      <c r="AD8" s="152"/>
      <c r="AE8" s="29"/>
      <c r="AF8" s="28"/>
    </row>
    <row r="9" spans="1:32" s="23" customFormat="1" ht="27" customHeight="1">
      <c r="A9" s="153" t="s">
        <v>128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29"/>
      <c r="AF9" s="28"/>
    </row>
    <row r="10" spans="1:32" s="23" customFormat="1" ht="19.5" customHeigh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117"/>
      <c r="L10" s="90"/>
      <c r="M10" s="90"/>
      <c r="N10" s="90"/>
      <c r="O10" s="90"/>
      <c r="P10" s="132"/>
      <c r="Q10" s="132"/>
      <c r="R10" s="132"/>
      <c r="S10" s="132"/>
      <c r="T10" s="132"/>
      <c r="U10" s="132"/>
      <c r="V10" s="90"/>
      <c r="W10" s="90"/>
      <c r="X10" s="90"/>
      <c r="Y10" s="90"/>
      <c r="Z10" s="90"/>
      <c r="AA10" s="90"/>
      <c r="AB10" s="90"/>
      <c r="AC10" s="90"/>
      <c r="AD10" s="90"/>
      <c r="AE10" s="29"/>
      <c r="AF10" s="28"/>
    </row>
    <row r="11" spans="1:30" ht="15.75" customHeight="1">
      <c r="A11" s="155" t="s">
        <v>0</v>
      </c>
      <c r="B11" s="156" t="s">
        <v>38</v>
      </c>
      <c r="C11" s="156" t="s">
        <v>39</v>
      </c>
      <c r="D11" s="156" t="s">
        <v>21</v>
      </c>
      <c r="E11" s="157" t="s">
        <v>40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</row>
    <row r="12" spans="1:30" ht="26.25" customHeight="1">
      <c r="A12" s="155"/>
      <c r="B12" s="156"/>
      <c r="C12" s="156"/>
      <c r="D12" s="156"/>
      <c r="E12" s="157" t="s">
        <v>130</v>
      </c>
      <c r="F12" s="157"/>
      <c r="G12" s="157"/>
      <c r="H12" s="157"/>
      <c r="I12" s="157"/>
      <c r="J12" s="157" t="s">
        <v>131</v>
      </c>
      <c r="K12" s="157"/>
      <c r="L12" s="157"/>
      <c r="M12" s="157"/>
      <c r="N12" s="157"/>
      <c r="O12" s="157" t="s">
        <v>132</v>
      </c>
      <c r="P12" s="157"/>
      <c r="Q12" s="157"/>
      <c r="R12" s="157"/>
      <c r="S12" s="157"/>
      <c r="T12" s="157" t="s">
        <v>133</v>
      </c>
      <c r="U12" s="157"/>
      <c r="V12" s="157"/>
      <c r="W12" s="157"/>
      <c r="X12" s="157"/>
      <c r="Y12" s="157" t="s">
        <v>134</v>
      </c>
      <c r="Z12" s="157"/>
      <c r="AA12" s="157"/>
      <c r="AB12" s="157"/>
      <c r="AC12" s="157"/>
      <c r="AD12" s="164" t="s">
        <v>20</v>
      </c>
    </row>
    <row r="13" spans="1:32" ht="61.5" customHeight="1">
      <c r="A13" s="155"/>
      <c r="B13" s="156"/>
      <c r="C13" s="156"/>
      <c r="D13" s="156"/>
      <c r="E13" s="141" t="s">
        <v>1</v>
      </c>
      <c r="F13" s="141" t="s">
        <v>41</v>
      </c>
      <c r="G13" s="141" t="s">
        <v>42</v>
      </c>
      <c r="H13" s="30" t="s">
        <v>43</v>
      </c>
      <c r="I13" s="30" t="s">
        <v>44</v>
      </c>
      <c r="J13" s="141" t="s">
        <v>1</v>
      </c>
      <c r="K13" s="141" t="s">
        <v>41</v>
      </c>
      <c r="L13" s="141" t="s">
        <v>42</v>
      </c>
      <c r="M13" s="30" t="s">
        <v>43</v>
      </c>
      <c r="N13" s="30" t="s">
        <v>44</v>
      </c>
      <c r="O13" s="141" t="s">
        <v>1</v>
      </c>
      <c r="P13" s="141" t="s">
        <v>41</v>
      </c>
      <c r="Q13" s="30" t="s">
        <v>42</v>
      </c>
      <c r="R13" s="30" t="s">
        <v>43</v>
      </c>
      <c r="S13" s="30" t="s">
        <v>44</v>
      </c>
      <c r="T13" s="141" t="s">
        <v>1</v>
      </c>
      <c r="U13" s="141" t="s">
        <v>41</v>
      </c>
      <c r="V13" s="30" t="s">
        <v>42</v>
      </c>
      <c r="W13" s="30" t="s">
        <v>43</v>
      </c>
      <c r="X13" s="30" t="s">
        <v>44</v>
      </c>
      <c r="Y13" s="141" t="s">
        <v>1</v>
      </c>
      <c r="Z13" s="141" t="s">
        <v>41</v>
      </c>
      <c r="AA13" s="30" t="s">
        <v>42</v>
      </c>
      <c r="AB13" s="30" t="s">
        <v>43</v>
      </c>
      <c r="AC13" s="30" t="s">
        <v>44</v>
      </c>
      <c r="AD13" s="164"/>
      <c r="AE13" s="31"/>
      <c r="AF13" s="32"/>
    </row>
    <row r="14" spans="1:32" ht="18" customHeight="1">
      <c r="A14" s="142" t="s">
        <v>10</v>
      </c>
      <c r="B14" s="142" t="s">
        <v>12</v>
      </c>
      <c r="C14" s="142" t="s">
        <v>66</v>
      </c>
      <c r="D14" s="142" t="s">
        <v>237</v>
      </c>
      <c r="E14" s="142" t="s">
        <v>238</v>
      </c>
      <c r="F14" s="142" t="s">
        <v>239</v>
      </c>
      <c r="G14" s="142" t="s">
        <v>163</v>
      </c>
      <c r="H14" s="142" t="s">
        <v>240</v>
      </c>
      <c r="I14" s="142" t="s">
        <v>241</v>
      </c>
      <c r="J14" s="142" t="s">
        <v>242</v>
      </c>
      <c r="K14" s="142" t="s">
        <v>243</v>
      </c>
      <c r="L14" s="142" t="s">
        <v>244</v>
      </c>
      <c r="M14" s="142" t="s">
        <v>245</v>
      </c>
      <c r="N14" s="142" t="s">
        <v>246</v>
      </c>
      <c r="O14" s="142" t="s">
        <v>247</v>
      </c>
      <c r="P14" s="142" t="s">
        <v>248</v>
      </c>
      <c r="Q14" s="142" t="s">
        <v>249</v>
      </c>
      <c r="R14" s="142" t="s">
        <v>250</v>
      </c>
      <c r="S14" s="142" t="s">
        <v>251</v>
      </c>
      <c r="T14" s="142" t="s">
        <v>252</v>
      </c>
      <c r="U14" s="142" t="s">
        <v>253</v>
      </c>
      <c r="V14" s="142" t="s">
        <v>254</v>
      </c>
      <c r="W14" s="142" t="s">
        <v>255</v>
      </c>
      <c r="X14" s="142" t="s">
        <v>256</v>
      </c>
      <c r="Y14" s="142" t="s">
        <v>257</v>
      </c>
      <c r="Z14" s="142" t="s">
        <v>258</v>
      </c>
      <c r="AA14" s="142" t="s">
        <v>259</v>
      </c>
      <c r="AB14" s="142" t="s">
        <v>260</v>
      </c>
      <c r="AC14" s="142" t="s">
        <v>261</v>
      </c>
      <c r="AD14" s="142" t="s">
        <v>262</v>
      </c>
      <c r="AE14" s="173"/>
      <c r="AF14" s="174"/>
    </row>
    <row r="15" spans="1:32" s="34" customFormat="1" ht="51" customHeight="1">
      <c r="A15" s="33"/>
      <c r="B15" s="158" t="s">
        <v>102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F15" s="35"/>
    </row>
    <row r="16" spans="1:32" s="38" customFormat="1" ht="21.75" customHeight="1">
      <c r="A16" s="33" t="s">
        <v>10</v>
      </c>
      <c r="B16" s="93" t="s">
        <v>19</v>
      </c>
      <c r="C16" s="165" t="s">
        <v>3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8"/>
      <c r="AE16" s="36"/>
      <c r="AF16" s="37"/>
    </row>
    <row r="17" spans="1:31" ht="154.5" customHeight="1">
      <c r="A17" s="91" t="s">
        <v>11</v>
      </c>
      <c r="B17" s="94" t="s">
        <v>99</v>
      </c>
      <c r="C17" s="94" t="s">
        <v>9</v>
      </c>
      <c r="D17" s="92" t="s">
        <v>135</v>
      </c>
      <c r="E17" s="11">
        <f aca="true" t="shared" si="0" ref="E17:P17">SUM(E18:E19)</f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0</v>
      </c>
      <c r="N17" s="11">
        <f t="shared" si="0"/>
        <v>0</v>
      </c>
      <c r="O17" s="11">
        <f t="shared" si="0"/>
        <v>0</v>
      </c>
      <c r="P17" s="11">
        <f t="shared" si="0"/>
        <v>0</v>
      </c>
      <c r="Q17" s="11">
        <f>SUM(Q18:Q19)</f>
        <v>0</v>
      </c>
      <c r="R17" s="11">
        <f>SUM(R18:R19)</f>
        <v>0</v>
      </c>
      <c r="S17" s="11">
        <f>SUM(S18:S19)</f>
        <v>0</v>
      </c>
      <c r="T17" s="11">
        <v>0</v>
      </c>
      <c r="U17" s="11">
        <f>SUM(U18:U19)</f>
        <v>0</v>
      </c>
      <c r="V17" s="11">
        <f>SUM(V18:V19)</f>
        <v>0</v>
      </c>
      <c r="W17" s="11">
        <f>SUM(W18:W19)</f>
        <v>0</v>
      </c>
      <c r="X17" s="11">
        <f>SUM(X18:X19)</f>
        <v>0</v>
      </c>
      <c r="Y17" s="11">
        <v>250</v>
      </c>
      <c r="Z17" s="11">
        <v>250</v>
      </c>
      <c r="AA17" s="11">
        <f>SUM(AA18:AA19)</f>
        <v>0</v>
      </c>
      <c r="AB17" s="11">
        <f>SUM(AB18:AB19)</f>
        <v>0</v>
      </c>
      <c r="AC17" s="11">
        <f>SUM(AC18:AC19)</f>
        <v>0</v>
      </c>
      <c r="AD17" s="11">
        <f aca="true" t="shared" si="1" ref="AD17:AD22">Y17+T17+O17+J17+E17</f>
        <v>250</v>
      </c>
      <c r="AE17" s="39" t="s">
        <v>178</v>
      </c>
    </row>
    <row r="18" spans="1:32" s="44" customFormat="1" ht="58.5" customHeight="1" hidden="1" outlineLevel="1">
      <c r="A18" s="40" t="s">
        <v>46</v>
      </c>
      <c r="B18" s="2" t="s">
        <v>50</v>
      </c>
      <c r="C18" s="2"/>
      <c r="D18" s="41"/>
      <c r="E18" s="8">
        <f>SUM(F18:I18)</f>
        <v>0</v>
      </c>
      <c r="F18" s="1">
        <v>0</v>
      </c>
      <c r="G18" s="8">
        <v>0</v>
      </c>
      <c r="H18" s="8">
        <v>0</v>
      </c>
      <c r="I18" s="8">
        <v>0</v>
      </c>
      <c r="J18" s="8">
        <f>SUM(K18:N18)</f>
        <v>0</v>
      </c>
      <c r="K18" s="12">
        <v>0</v>
      </c>
      <c r="L18" s="8">
        <v>0</v>
      </c>
      <c r="M18" s="1">
        <v>0</v>
      </c>
      <c r="N18" s="1">
        <v>0</v>
      </c>
      <c r="O18" s="8">
        <f>SUM(P18:S18)</f>
        <v>0</v>
      </c>
      <c r="P18" s="12">
        <v>0</v>
      </c>
      <c r="Q18" s="12">
        <v>0</v>
      </c>
      <c r="R18" s="12">
        <v>0</v>
      </c>
      <c r="S18" s="12">
        <v>0</v>
      </c>
      <c r="T18" s="11">
        <f>SUM(U18:X18)</f>
        <v>0</v>
      </c>
      <c r="U18" s="12">
        <v>0</v>
      </c>
      <c r="V18" s="1">
        <v>0</v>
      </c>
      <c r="W18" s="1">
        <v>0</v>
      </c>
      <c r="X18" s="1">
        <v>0</v>
      </c>
      <c r="Y18" s="8">
        <f>SUM(Z18:AC18)</f>
        <v>50</v>
      </c>
      <c r="Z18" s="1">
        <v>50</v>
      </c>
      <c r="AA18" s="1">
        <v>0</v>
      </c>
      <c r="AB18" s="1">
        <v>0</v>
      </c>
      <c r="AC18" s="1">
        <v>0</v>
      </c>
      <c r="AD18" s="1">
        <f t="shared" si="1"/>
        <v>50</v>
      </c>
      <c r="AE18" s="42"/>
      <c r="AF18" s="43"/>
    </row>
    <row r="19" spans="1:32" s="44" customFormat="1" ht="57.75" customHeight="1" hidden="1" outlineLevel="1">
      <c r="A19" s="40" t="s">
        <v>47</v>
      </c>
      <c r="B19" s="2" t="s">
        <v>51</v>
      </c>
      <c r="C19" s="2"/>
      <c r="D19" s="41"/>
      <c r="E19" s="8">
        <f>SUM(F19:I19)</f>
        <v>0</v>
      </c>
      <c r="F19" s="1">
        <v>0</v>
      </c>
      <c r="G19" s="8">
        <v>0</v>
      </c>
      <c r="H19" s="8">
        <v>0</v>
      </c>
      <c r="I19" s="8">
        <v>0</v>
      </c>
      <c r="J19" s="8">
        <f>SUM(K19:N19)</f>
        <v>0</v>
      </c>
      <c r="K19" s="12">
        <v>0</v>
      </c>
      <c r="L19" s="8">
        <v>0</v>
      </c>
      <c r="M19" s="1">
        <v>0</v>
      </c>
      <c r="N19" s="1">
        <v>0</v>
      </c>
      <c r="O19" s="8">
        <f>SUM(P19:S19)</f>
        <v>0</v>
      </c>
      <c r="P19" s="12">
        <v>0</v>
      </c>
      <c r="Q19" s="12">
        <v>0</v>
      </c>
      <c r="R19" s="12">
        <v>0</v>
      </c>
      <c r="S19" s="12">
        <v>0</v>
      </c>
      <c r="T19" s="11">
        <f>SUM(U19:X19)</f>
        <v>0</v>
      </c>
      <c r="U19" s="12">
        <v>0</v>
      </c>
      <c r="V19" s="1">
        <v>0</v>
      </c>
      <c r="W19" s="1">
        <v>0</v>
      </c>
      <c r="X19" s="1">
        <v>0</v>
      </c>
      <c r="Y19" s="8">
        <f>SUM(Z19:AC19)</f>
        <v>200</v>
      </c>
      <c r="Z19" s="1">
        <v>200</v>
      </c>
      <c r="AA19" s="1">
        <v>0</v>
      </c>
      <c r="AB19" s="1">
        <v>0</v>
      </c>
      <c r="AC19" s="1">
        <v>0</v>
      </c>
      <c r="AD19" s="1">
        <f t="shared" si="1"/>
        <v>200</v>
      </c>
      <c r="AE19" s="42"/>
      <c r="AF19" s="43"/>
    </row>
    <row r="20" spans="1:31" ht="195" customHeight="1" collapsed="1">
      <c r="A20" s="91" t="s">
        <v>37</v>
      </c>
      <c r="B20" s="94" t="s">
        <v>100</v>
      </c>
      <c r="C20" s="94" t="s">
        <v>9</v>
      </c>
      <c r="D20" s="92" t="s">
        <v>135</v>
      </c>
      <c r="E20" s="11">
        <f aca="true" t="shared" si="2" ref="E20:N20">SUM(E21:E22)</f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>SUM(K21:K22)</f>
        <v>0</v>
      </c>
      <c r="L20" s="11">
        <f t="shared" si="2"/>
        <v>0</v>
      </c>
      <c r="M20" s="11">
        <f t="shared" si="2"/>
        <v>0</v>
      </c>
      <c r="N20" s="11">
        <f t="shared" si="2"/>
        <v>0</v>
      </c>
      <c r="O20" s="11">
        <f aca="true" t="shared" si="3" ref="O20:X20">SUM(O21:O22)</f>
        <v>0</v>
      </c>
      <c r="P20" s="11">
        <f t="shared" si="3"/>
        <v>0</v>
      </c>
      <c r="Q20" s="11">
        <f t="shared" si="3"/>
        <v>0</v>
      </c>
      <c r="R20" s="11">
        <f t="shared" si="3"/>
        <v>0</v>
      </c>
      <c r="S20" s="11">
        <f t="shared" si="3"/>
        <v>0</v>
      </c>
      <c r="T20" s="11">
        <f t="shared" si="3"/>
        <v>0</v>
      </c>
      <c r="U20" s="11">
        <f t="shared" si="3"/>
        <v>0</v>
      </c>
      <c r="V20" s="11">
        <f t="shared" si="3"/>
        <v>0</v>
      </c>
      <c r="W20" s="11">
        <f t="shared" si="3"/>
        <v>0</v>
      </c>
      <c r="X20" s="11">
        <f t="shared" si="3"/>
        <v>0</v>
      </c>
      <c r="Y20" s="11">
        <v>338</v>
      </c>
      <c r="Z20" s="11">
        <v>338</v>
      </c>
      <c r="AA20" s="11">
        <f>SUM(AA21:AA22)</f>
        <v>0</v>
      </c>
      <c r="AB20" s="11">
        <f>SUM(AB21:AB22)</f>
        <v>0</v>
      </c>
      <c r="AC20" s="11">
        <f>SUM(AC21:AC22)</f>
        <v>0</v>
      </c>
      <c r="AD20" s="11">
        <f t="shared" si="1"/>
        <v>338</v>
      </c>
      <c r="AE20" s="45" t="s">
        <v>179</v>
      </c>
    </row>
    <row r="21" spans="1:32" s="44" customFormat="1" ht="39" customHeight="1" hidden="1" outlineLevel="1">
      <c r="A21" s="40" t="s">
        <v>49</v>
      </c>
      <c r="B21" s="2" t="s">
        <v>121</v>
      </c>
      <c r="C21" s="2"/>
      <c r="D21" s="41"/>
      <c r="E21" s="8">
        <f>SUM(F21:I21)</f>
        <v>0</v>
      </c>
      <c r="F21" s="1">
        <v>0</v>
      </c>
      <c r="G21" s="8">
        <v>0</v>
      </c>
      <c r="H21" s="8">
        <v>0</v>
      </c>
      <c r="I21" s="8">
        <v>0</v>
      </c>
      <c r="J21" s="8">
        <f>SUM(K21:N21)</f>
        <v>0</v>
      </c>
      <c r="K21" s="120">
        <v>0</v>
      </c>
      <c r="L21" s="8">
        <v>0</v>
      </c>
      <c r="M21" s="1">
        <v>0</v>
      </c>
      <c r="N21" s="1">
        <v>0</v>
      </c>
      <c r="O21" s="8">
        <f>SUM(P21:S21)</f>
        <v>0</v>
      </c>
      <c r="P21" s="12">
        <v>0</v>
      </c>
      <c r="Q21" s="12">
        <v>0</v>
      </c>
      <c r="R21" s="12">
        <v>0</v>
      </c>
      <c r="S21" s="12">
        <v>0</v>
      </c>
      <c r="T21" s="11">
        <f>SUM(U21:X21)</f>
        <v>0</v>
      </c>
      <c r="U21" s="12">
        <v>0</v>
      </c>
      <c r="V21" s="1">
        <v>0</v>
      </c>
      <c r="W21" s="1">
        <v>0</v>
      </c>
      <c r="X21" s="1">
        <v>0</v>
      </c>
      <c r="Y21" s="8">
        <f>SUM(Z21:AC21)</f>
        <v>238</v>
      </c>
      <c r="Z21" s="1">
        <v>238</v>
      </c>
      <c r="AA21" s="1">
        <v>0</v>
      </c>
      <c r="AB21" s="1">
        <v>0</v>
      </c>
      <c r="AC21" s="1">
        <v>0</v>
      </c>
      <c r="AD21" s="1">
        <f t="shared" si="1"/>
        <v>238</v>
      </c>
      <c r="AE21" s="39" t="s">
        <v>179</v>
      </c>
      <c r="AF21" s="43"/>
    </row>
    <row r="22" spans="1:32" s="44" customFormat="1" ht="94.5" customHeight="1" hidden="1" outlineLevel="1">
      <c r="A22" s="40" t="s">
        <v>48</v>
      </c>
      <c r="B22" s="2" t="s">
        <v>120</v>
      </c>
      <c r="C22" s="2"/>
      <c r="D22" s="41"/>
      <c r="E22" s="8">
        <f>SUM(F22:I22)</f>
        <v>0</v>
      </c>
      <c r="F22" s="1">
        <v>0</v>
      </c>
      <c r="G22" s="8">
        <v>0</v>
      </c>
      <c r="H22" s="8">
        <v>0</v>
      </c>
      <c r="I22" s="8">
        <v>0</v>
      </c>
      <c r="J22" s="8">
        <f>SUM(K22:N22)</f>
        <v>0</v>
      </c>
      <c r="K22" s="120">
        <v>0</v>
      </c>
      <c r="L22" s="8">
        <v>0</v>
      </c>
      <c r="M22" s="1">
        <v>0</v>
      </c>
      <c r="N22" s="1">
        <v>0</v>
      </c>
      <c r="O22" s="8">
        <f>SUM(P22:S22)</f>
        <v>0</v>
      </c>
      <c r="P22" s="12">
        <v>0</v>
      </c>
      <c r="Q22" s="12">
        <v>0</v>
      </c>
      <c r="R22" s="12">
        <v>0</v>
      </c>
      <c r="S22" s="12">
        <v>0</v>
      </c>
      <c r="T22" s="11">
        <f>SUM(U22:X22)</f>
        <v>0</v>
      </c>
      <c r="U22" s="12">
        <v>0</v>
      </c>
      <c r="V22" s="1">
        <v>0</v>
      </c>
      <c r="W22" s="1">
        <v>0</v>
      </c>
      <c r="X22" s="1">
        <v>0</v>
      </c>
      <c r="Y22" s="8">
        <f>SUM(Z22:AC22)</f>
        <v>100</v>
      </c>
      <c r="Z22" s="1">
        <v>100</v>
      </c>
      <c r="AA22" s="1">
        <v>0</v>
      </c>
      <c r="AB22" s="1">
        <v>0</v>
      </c>
      <c r="AC22" s="1">
        <v>0</v>
      </c>
      <c r="AD22" s="1">
        <f t="shared" si="1"/>
        <v>100</v>
      </c>
      <c r="AE22" s="39" t="s">
        <v>180</v>
      </c>
      <c r="AF22" s="43"/>
    </row>
    <row r="23" spans="1:32" s="38" customFormat="1" ht="22.5" customHeight="1" collapsed="1">
      <c r="A23" s="158" t="s">
        <v>2</v>
      </c>
      <c r="B23" s="158"/>
      <c r="C23" s="158"/>
      <c r="D23" s="158"/>
      <c r="E23" s="46">
        <f>E17+E20</f>
        <v>0</v>
      </c>
      <c r="F23" s="46">
        <f aca="true" t="shared" si="4" ref="F23:AC23">F17+F20</f>
        <v>0</v>
      </c>
      <c r="G23" s="46">
        <f t="shared" si="4"/>
        <v>0</v>
      </c>
      <c r="H23" s="46">
        <f t="shared" si="4"/>
        <v>0</v>
      </c>
      <c r="I23" s="46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6">
        <f t="shared" si="4"/>
        <v>0</v>
      </c>
      <c r="Q23" s="46">
        <f t="shared" si="4"/>
        <v>0</v>
      </c>
      <c r="R23" s="46">
        <f t="shared" si="4"/>
        <v>0</v>
      </c>
      <c r="S23" s="46">
        <f t="shared" si="4"/>
        <v>0</v>
      </c>
      <c r="T23" s="46">
        <f t="shared" si="4"/>
        <v>0</v>
      </c>
      <c r="U23" s="46">
        <f t="shared" si="4"/>
        <v>0</v>
      </c>
      <c r="V23" s="46">
        <f t="shared" si="4"/>
        <v>0</v>
      </c>
      <c r="W23" s="46">
        <f t="shared" si="4"/>
        <v>0</v>
      </c>
      <c r="X23" s="46">
        <f t="shared" si="4"/>
        <v>0</v>
      </c>
      <c r="Y23" s="46">
        <f t="shared" si="4"/>
        <v>588</v>
      </c>
      <c r="Z23" s="46">
        <f t="shared" si="4"/>
        <v>588</v>
      </c>
      <c r="AA23" s="46">
        <f t="shared" si="4"/>
        <v>0</v>
      </c>
      <c r="AB23" s="46">
        <f t="shared" si="4"/>
        <v>0</v>
      </c>
      <c r="AC23" s="46">
        <f t="shared" si="4"/>
        <v>0</v>
      </c>
      <c r="AD23" s="46">
        <f>AD17+AD20</f>
        <v>588</v>
      </c>
      <c r="AE23" s="11">
        <f>E23+J23+O23+T23+Y23</f>
        <v>588</v>
      </c>
      <c r="AF23" s="18"/>
    </row>
    <row r="24" spans="1:32" s="38" customFormat="1" ht="20.25" customHeight="1">
      <c r="A24" s="33" t="s">
        <v>12</v>
      </c>
      <c r="B24" s="93" t="s">
        <v>13</v>
      </c>
      <c r="C24" s="165" t="s">
        <v>80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8"/>
      <c r="AE24" s="47"/>
      <c r="AF24" s="18"/>
    </row>
    <row r="25" spans="1:31" ht="55.5" customHeight="1">
      <c r="A25" s="91" t="s">
        <v>52</v>
      </c>
      <c r="B25" s="94" t="s">
        <v>45</v>
      </c>
      <c r="C25" s="94" t="s">
        <v>9</v>
      </c>
      <c r="D25" s="92" t="s">
        <v>135</v>
      </c>
      <c r="E25" s="11">
        <f>SUM(E26:E44)</f>
        <v>13595.3</v>
      </c>
      <c r="F25" s="11">
        <f>SUM(F26:F44)</f>
        <v>13345.2</v>
      </c>
      <c r="G25" s="11">
        <f>SUM(G26:G44)</f>
        <v>250.1</v>
      </c>
      <c r="H25" s="11">
        <f>SUM(H26:H43)</f>
        <v>0</v>
      </c>
      <c r="I25" s="11">
        <f>SUM(I26:I43)</f>
        <v>0</v>
      </c>
      <c r="J25" s="11">
        <f aca="true" t="shared" si="5" ref="J25:AC25">SUM(J26:J44)</f>
        <v>14494.1</v>
      </c>
      <c r="K25" s="11">
        <f t="shared" si="5"/>
        <v>14454</v>
      </c>
      <c r="L25" s="109">
        <f t="shared" si="5"/>
        <v>40.1</v>
      </c>
      <c r="M25" s="109">
        <f t="shared" si="5"/>
        <v>0</v>
      </c>
      <c r="N25" s="109">
        <f t="shared" si="5"/>
        <v>0</v>
      </c>
      <c r="O25" s="109">
        <f t="shared" si="5"/>
        <v>13043.1</v>
      </c>
      <c r="P25" s="109">
        <f t="shared" si="5"/>
        <v>13003</v>
      </c>
      <c r="Q25" s="109">
        <f t="shared" si="5"/>
        <v>40.1</v>
      </c>
      <c r="R25" s="109">
        <f t="shared" si="5"/>
        <v>0</v>
      </c>
      <c r="S25" s="109">
        <f t="shared" si="5"/>
        <v>0</v>
      </c>
      <c r="T25" s="109">
        <f t="shared" si="5"/>
        <v>13043.1</v>
      </c>
      <c r="U25" s="109">
        <f t="shared" si="5"/>
        <v>13003</v>
      </c>
      <c r="V25" s="109">
        <f t="shared" si="5"/>
        <v>40.1</v>
      </c>
      <c r="W25" s="11">
        <f t="shared" si="5"/>
        <v>0</v>
      </c>
      <c r="X25" s="11">
        <f t="shared" si="5"/>
        <v>0</v>
      </c>
      <c r="Y25" s="11">
        <f t="shared" si="5"/>
        <v>15013.5</v>
      </c>
      <c r="Z25" s="11">
        <f t="shared" si="5"/>
        <v>15013.5</v>
      </c>
      <c r="AA25" s="11">
        <f t="shared" si="5"/>
        <v>0</v>
      </c>
      <c r="AB25" s="11">
        <f t="shared" si="5"/>
        <v>0</v>
      </c>
      <c r="AC25" s="11">
        <f t="shared" si="5"/>
        <v>0</v>
      </c>
      <c r="AD25" s="11">
        <f>SUM(AD26:AD44)</f>
        <v>69189.1</v>
      </c>
      <c r="AE25" s="48" t="s">
        <v>181</v>
      </c>
    </row>
    <row r="26" spans="1:32" s="44" customFormat="1" ht="83.25" customHeight="1" hidden="1" outlineLevel="1">
      <c r="A26" s="40" t="s">
        <v>53</v>
      </c>
      <c r="B26" s="2" t="s">
        <v>137</v>
      </c>
      <c r="C26" s="2"/>
      <c r="D26" s="41"/>
      <c r="E26" s="8">
        <f aca="true" t="shared" si="6" ref="E26:E78">SUM(F26:I26)</f>
        <v>3017.2</v>
      </c>
      <c r="F26" s="8">
        <f>3067.2-15.4-17.1-17.5</f>
        <v>3017.2</v>
      </c>
      <c r="G26" s="8">
        <v>0</v>
      </c>
      <c r="H26" s="8">
        <v>0</v>
      </c>
      <c r="I26" s="8">
        <v>0</v>
      </c>
      <c r="J26" s="8">
        <f aca="true" t="shared" si="7" ref="J26:J78">SUM(K26:N26)</f>
        <v>3375</v>
      </c>
      <c r="K26" s="126">
        <v>3375</v>
      </c>
      <c r="L26" s="110">
        <v>0</v>
      </c>
      <c r="M26" s="110">
        <v>0</v>
      </c>
      <c r="N26" s="110">
        <v>0</v>
      </c>
      <c r="O26" s="110">
        <f aca="true" t="shared" si="8" ref="O26:O78">SUM(P26:S26)</f>
        <v>3375</v>
      </c>
      <c r="P26" s="109">
        <v>3375</v>
      </c>
      <c r="Q26" s="109">
        <v>0</v>
      </c>
      <c r="R26" s="109">
        <v>0</v>
      </c>
      <c r="S26" s="109">
        <v>0</v>
      </c>
      <c r="T26" s="109">
        <f>SUM(U26:X26)</f>
        <v>3375</v>
      </c>
      <c r="U26" s="109">
        <v>3375</v>
      </c>
      <c r="V26" s="110">
        <v>0</v>
      </c>
      <c r="W26" s="8">
        <v>0</v>
      </c>
      <c r="X26" s="8">
        <v>0</v>
      </c>
      <c r="Y26" s="8">
        <f>SUM(Z26:AC26)</f>
        <v>4000</v>
      </c>
      <c r="Z26" s="8">
        <v>4000</v>
      </c>
      <c r="AA26" s="8">
        <v>0</v>
      </c>
      <c r="AB26" s="8">
        <v>0</v>
      </c>
      <c r="AC26" s="8">
        <v>0</v>
      </c>
      <c r="AD26" s="49">
        <f aca="true" t="shared" si="9" ref="AD26:AD43">Y26+T26+O26+J26+E26</f>
        <v>17142.2</v>
      </c>
      <c r="AE26" s="42"/>
      <c r="AF26" s="43"/>
    </row>
    <row r="27" spans="1:32" s="44" customFormat="1" ht="63.75" customHeight="1" hidden="1" outlineLevel="1">
      <c r="A27" s="40" t="s">
        <v>54</v>
      </c>
      <c r="B27" s="2" t="s">
        <v>5</v>
      </c>
      <c r="C27" s="2"/>
      <c r="D27" s="41"/>
      <c r="E27" s="8">
        <f t="shared" si="6"/>
        <v>525</v>
      </c>
      <c r="F27" s="8">
        <f>509.6+15.4</f>
        <v>525</v>
      </c>
      <c r="G27" s="8">
        <v>0</v>
      </c>
      <c r="H27" s="8">
        <v>0</v>
      </c>
      <c r="I27" s="8">
        <v>0</v>
      </c>
      <c r="J27" s="8">
        <f t="shared" si="7"/>
        <v>1241</v>
      </c>
      <c r="K27" s="125">
        <f>561+300+80+300</f>
        <v>1241</v>
      </c>
      <c r="L27" s="110">
        <v>0</v>
      </c>
      <c r="M27" s="110">
        <v>0</v>
      </c>
      <c r="N27" s="110">
        <v>0</v>
      </c>
      <c r="O27" s="110">
        <f t="shared" si="8"/>
        <v>561</v>
      </c>
      <c r="P27" s="109">
        <v>561</v>
      </c>
      <c r="Q27" s="109">
        <v>0</v>
      </c>
      <c r="R27" s="109">
        <v>0</v>
      </c>
      <c r="S27" s="109">
        <v>0</v>
      </c>
      <c r="T27" s="109">
        <f aca="true" t="shared" si="10" ref="T27:T78">SUM(U27:X27)</f>
        <v>561</v>
      </c>
      <c r="U27" s="109">
        <v>561</v>
      </c>
      <c r="V27" s="110">
        <v>0</v>
      </c>
      <c r="W27" s="8">
        <v>0</v>
      </c>
      <c r="X27" s="8">
        <v>0</v>
      </c>
      <c r="Y27" s="8">
        <f aca="true" t="shared" si="11" ref="Y27:Y78">SUM(Z27:AC27)</f>
        <v>700</v>
      </c>
      <c r="Z27" s="8">
        <v>700</v>
      </c>
      <c r="AA27" s="8">
        <v>0</v>
      </c>
      <c r="AB27" s="8">
        <v>0</v>
      </c>
      <c r="AC27" s="8">
        <v>0</v>
      </c>
      <c r="AD27" s="49">
        <f t="shared" si="9"/>
        <v>3588</v>
      </c>
      <c r="AE27" s="42"/>
      <c r="AF27" s="50"/>
    </row>
    <row r="28" spans="1:32" s="44" customFormat="1" ht="30.75" customHeight="1" hidden="1" outlineLevel="1">
      <c r="A28" s="40" t="s">
        <v>55</v>
      </c>
      <c r="B28" s="2" t="s">
        <v>148</v>
      </c>
      <c r="C28" s="2"/>
      <c r="D28" s="41"/>
      <c r="E28" s="8">
        <f t="shared" si="6"/>
        <v>58.5</v>
      </c>
      <c r="F28" s="8">
        <f>74-15.5</f>
        <v>58.5</v>
      </c>
      <c r="G28" s="1">
        <v>0</v>
      </c>
      <c r="H28" s="8">
        <v>0</v>
      </c>
      <c r="I28" s="8">
        <v>0</v>
      </c>
      <c r="J28" s="8">
        <f t="shared" si="7"/>
        <v>60</v>
      </c>
      <c r="K28" s="125">
        <v>60</v>
      </c>
      <c r="L28" s="111">
        <v>0</v>
      </c>
      <c r="M28" s="111">
        <v>0</v>
      </c>
      <c r="N28" s="111">
        <v>0</v>
      </c>
      <c r="O28" s="110">
        <f t="shared" si="8"/>
        <v>95</v>
      </c>
      <c r="P28" s="109">
        <v>95</v>
      </c>
      <c r="Q28" s="135">
        <v>0</v>
      </c>
      <c r="R28" s="135">
        <v>0</v>
      </c>
      <c r="S28" s="135">
        <v>0</v>
      </c>
      <c r="T28" s="109">
        <f t="shared" si="10"/>
        <v>95</v>
      </c>
      <c r="U28" s="109">
        <v>95</v>
      </c>
      <c r="V28" s="111">
        <v>0</v>
      </c>
      <c r="W28" s="1">
        <v>0</v>
      </c>
      <c r="X28" s="1">
        <v>0</v>
      </c>
      <c r="Y28" s="8">
        <f t="shared" si="11"/>
        <v>133.5</v>
      </c>
      <c r="Z28" s="8">
        <v>133.5</v>
      </c>
      <c r="AA28" s="1">
        <v>0</v>
      </c>
      <c r="AB28" s="1">
        <v>0</v>
      </c>
      <c r="AC28" s="1">
        <v>0</v>
      </c>
      <c r="AD28" s="49">
        <f t="shared" si="9"/>
        <v>442</v>
      </c>
      <c r="AE28" s="42"/>
      <c r="AF28" s="43"/>
    </row>
    <row r="29" spans="1:32" s="44" customFormat="1" ht="30.75" customHeight="1" hidden="1" outlineLevel="1">
      <c r="A29" s="40" t="s">
        <v>56</v>
      </c>
      <c r="B29" s="2" t="s">
        <v>149</v>
      </c>
      <c r="C29" s="2"/>
      <c r="D29" s="41"/>
      <c r="E29" s="8">
        <f t="shared" si="6"/>
        <v>85.5</v>
      </c>
      <c r="F29" s="8">
        <f>68.4+17.1</f>
        <v>85.5</v>
      </c>
      <c r="G29" s="1">
        <v>0</v>
      </c>
      <c r="H29" s="8">
        <v>0</v>
      </c>
      <c r="I29" s="8">
        <v>0</v>
      </c>
      <c r="J29" s="8">
        <f t="shared" si="7"/>
        <v>93</v>
      </c>
      <c r="K29" s="8">
        <v>93</v>
      </c>
      <c r="L29" s="111">
        <v>0</v>
      </c>
      <c r="M29" s="111">
        <v>0</v>
      </c>
      <c r="N29" s="111">
        <v>0</v>
      </c>
      <c r="O29" s="110">
        <f t="shared" si="8"/>
        <v>93</v>
      </c>
      <c r="P29" s="109">
        <v>93</v>
      </c>
      <c r="Q29" s="135">
        <v>0</v>
      </c>
      <c r="R29" s="135">
        <v>0</v>
      </c>
      <c r="S29" s="135">
        <v>0</v>
      </c>
      <c r="T29" s="109">
        <f t="shared" si="10"/>
        <v>93</v>
      </c>
      <c r="U29" s="109">
        <v>93</v>
      </c>
      <c r="V29" s="111">
        <v>0</v>
      </c>
      <c r="W29" s="1">
        <v>0</v>
      </c>
      <c r="X29" s="1">
        <v>0</v>
      </c>
      <c r="Y29" s="8">
        <f t="shared" si="11"/>
        <v>130</v>
      </c>
      <c r="Z29" s="8">
        <v>130</v>
      </c>
      <c r="AA29" s="1">
        <v>0</v>
      </c>
      <c r="AB29" s="1">
        <v>0</v>
      </c>
      <c r="AC29" s="1">
        <v>0</v>
      </c>
      <c r="AD29" s="49">
        <f t="shared" si="9"/>
        <v>494.5</v>
      </c>
      <c r="AE29" s="42"/>
      <c r="AF29" s="43"/>
    </row>
    <row r="30" spans="1:32" s="44" customFormat="1" ht="30.75" customHeight="1" hidden="1" outlineLevel="1">
      <c r="A30" s="40" t="s">
        <v>57</v>
      </c>
      <c r="B30" s="2" t="s">
        <v>150</v>
      </c>
      <c r="C30" s="2"/>
      <c r="D30" s="41"/>
      <c r="E30" s="8">
        <f t="shared" si="6"/>
        <v>1628</v>
      </c>
      <c r="F30" s="107">
        <f>1563.8+64</f>
        <v>1628</v>
      </c>
      <c r="G30" s="1">
        <v>0</v>
      </c>
      <c r="H30" s="8">
        <v>0</v>
      </c>
      <c r="I30" s="8">
        <v>0</v>
      </c>
      <c r="J30" s="8">
        <f t="shared" si="7"/>
        <v>1603</v>
      </c>
      <c r="K30" s="126">
        <f>1683-80</f>
        <v>1603</v>
      </c>
      <c r="L30" s="111">
        <v>0</v>
      </c>
      <c r="M30" s="111">
        <v>0</v>
      </c>
      <c r="N30" s="111">
        <v>0</v>
      </c>
      <c r="O30" s="110">
        <f t="shared" si="8"/>
        <v>1683</v>
      </c>
      <c r="P30" s="109">
        <v>1683</v>
      </c>
      <c r="Q30" s="135">
        <v>0</v>
      </c>
      <c r="R30" s="135">
        <v>0</v>
      </c>
      <c r="S30" s="135">
        <v>0</v>
      </c>
      <c r="T30" s="109">
        <f t="shared" si="10"/>
        <v>1683</v>
      </c>
      <c r="U30" s="109">
        <v>1683</v>
      </c>
      <c r="V30" s="111">
        <v>0</v>
      </c>
      <c r="W30" s="1">
        <v>0</v>
      </c>
      <c r="X30" s="1">
        <v>0</v>
      </c>
      <c r="Y30" s="8">
        <f t="shared" si="11"/>
        <v>2200</v>
      </c>
      <c r="Z30" s="8">
        <v>2200</v>
      </c>
      <c r="AA30" s="1">
        <v>0</v>
      </c>
      <c r="AB30" s="1">
        <v>0</v>
      </c>
      <c r="AC30" s="1">
        <v>0</v>
      </c>
      <c r="AD30" s="49">
        <f t="shared" si="9"/>
        <v>8797</v>
      </c>
      <c r="AE30" s="42"/>
      <c r="AF30" s="43"/>
    </row>
    <row r="31" spans="1:32" s="44" customFormat="1" ht="30.75" customHeight="1" hidden="1" outlineLevel="1">
      <c r="A31" s="40" t="s">
        <v>58</v>
      </c>
      <c r="B31" s="2" t="s">
        <v>151</v>
      </c>
      <c r="C31" s="2"/>
      <c r="D31" s="41"/>
      <c r="E31" s="8">
        <f t="shared" si="6"/>
        <v>135</v>
      </c>
      <c r="F31" s="8">
        <v>100</v>
      </c>
      <c r="G31" s="1">
        <v>35</v>
      </c>
      <c r="H31" s="8">
        <v>0</v>
      </c>
      <c r="I31" s="8">
        <v>0</v>
      </c>
      <c r="J31" s="8">
        <f t="shared" si="7"/>
        <v>139.8</v>
      </c>
      <c r="K31" s="126">
        <f>100+4.8</f>
        <v>104.8</v>
      </c>
      <c r="L31" s="111">
        <v>35</v>
      </c>
      <c r="M31" s="111">
        <v>0</v>
      </c>
      <c r="N31" s="111">
        <v>0</v>
      </c>
      <c r="O31" s="110">
        <f t="shared" si="8"/>
        <v>135</v>
      </c>
      <c r="P31" s="109">
        <v>100</v>
      </c>
      <c r="Q31" s="135">
        <v>35</v>
      </c>
      <c r="R31" s="135">
        <v>0</v>
      </c>
      <c r="S31" s="135">
        <v>0</v>
      </c>
      <c r="T31" s="109">
        <f t="shared" si="10"/>
        <v>135</v>
      </c>
      <c r="U31" s="109">
        <v>100</v>
      </c>
      <c r="V31" s="110">
        <v>35</v>
      </c>
      <c r="W31" s="1">
        <v>0</v>
      </c>
      <c r="X31" s="1">
        <v>0</v>
      </c>
      <c r="Y31" s="8">
        <f t="shared" si="11"/>
        <v>140</v>
      </c>
      <c r="Z31" s="8">
        <v>140</v>
      </c>
      <c r="AA31" s="1">
        <v>0</v>
      </c>
      <c r="AB31" s="1">
        <v>0</v>
      </c>
      <c r="AC31" s="1">
        <v>0</v>
      </c>
      <c r="AD31" s="49">
        <f t="shared" si="9"/>
        <v>684.8</v>
      </c>
      <c r="AE31" s="42"/>
      <c r="AF31" s="43"/>
    </row>
    <row r="32" spans="1:32" s="44" customFormat="1" ht="30.75" customHeight="1" hidden="1" outlineLevel="1">
      <c r="A32" s="40" t="s">
        <v>59</v>
      </c>
      <c r="B32" s="2" t="s">
        <v>152</v>
      </c>
      <c r="C32" s="2"/>
      <c r="D32" s="41"/>
      <c r="E32" s="8">
        <f t="shared" si="6"/>
        <v>417.8</v>
      </c>
      <c r="F32" s="8">
        <v>417.8</v>
      </c>
      <c r="G32" s="1">
        <v>0</v>
      </c>
      <c r="H32" s="8">
        <v>0</v>
      </c>
      <c r="I32" s="8">
        <v>0</v>
      </c>
      <c r="J32" s="8">
        <f t="shared" si="7"/>
        <v>502</v>
      </c>
      <c r="K32" s="8">
        <v>502</v>
      </c>
      <c r="L32" s="111">
        <v>0</v>
      </c>
      <c r="M32" s="111">
        <v>0</v>
      </c>
      <c r="N32" s="111">
        <v>0</v>
      </c>
      <c r="O32" s="110">
        <f t="shared" si="8"/>
        <v>502</v>
      </c>
      <c r="P32" s="109">
        <v>502</v>
      </c>
      <c r="Q32" s="135">
        <v>0</v>
      </c>
      <c r="R32" s="135">
        <v>0</v>
      </c>
      <c r="S32" s="135">
        <v>0</v>
      </c>
      <c r="T32" s="109">
        <f t="shared" si="10"/>
        <v>502</v>
      </c>
      <c r="U32" s="109">
        <v>502</v>
      </c>
      <c r="V32" s="111">
        <v>0</v>
      </c>
      <c r="W32" s="1">
        <v>0</v>
      </c>
      <c r="X32" s="1">
        <v>0</v>
      </c>
      <c r="Y32" s="8">
        <f t="shared" si="11"/>
        <v>530</v>
      </c>
      <c r="Z32" s="8">
        <v>530</v>
      </c>
      <c r="AA32" s="1">
        <v>0</v>
      </c>
      <c r="AB32" s="1">
        <v>0</v>
      </c>
      <c r="AC32" s="1">
        <v>0</v>
      </c>
      <c r="AD32" s="49">
        <f t="shared" si="9"/>
        <v>2453.8</v>
      </c>
      <c r="AE32" s="42"/>
      <c r="AF32" s="43"/>
    </row>
    <row r="33" spans="1:32" s="44" customFormat="1" ht="45.75" customHeight="1" hidden="1" outlineLevel="1">
      <c r="A33" s="40" t="s">
        <v>60</v>
      </c>
      <c r="B33" s="2" t="s">
        <v>153</v>
      </c>
      <c r="C33" s="2"/>
      <c r="D33" s="41"/>
      <c r="E33" s="8">
        <f t="shared" si="6"/>
        <v>1210.2</v>
      </c>
      <c r="F33" s="8">
        <f>1235-24.8</f>
        <v>1210.2</v>
      </c>
      <c r="G33" s="1">
        <v>0</v>
      </c>
      <c r="H33" s="8">
        <v>0</v>
      </c>
      <c r="I33" s="8">
        <v>0</v>
      </c>
      <c r="J33" s="8">
        <f t="shared" si="7"/>
        <v>1416.7</v>
      </c>
      <c r="K33" s="126">
        <f>1393-24.3-137+255-255+52+15.6+12.4+5+100</f>
        <v>1416.7</v>
      </c>
      <c r="L33" s="111">
        <v>0</v>
      </c>
      <c r="M33" s="111">
        <v>0</v>
      </c>
      <c r="N33" s="111">
        <v>0</v>
      </c>
      <c r="O33" s="110">
        <f t="shared" si="8"/>
        <v>1393</v>
      </c>
      <c r="P33" s="109">
        <v>1393</v>
      </c>
      <c r="Q33" s="135">
        <v>0</v>
      </c>
      <c r="R33" s="135">
        <v>0</v>
      </c>
      <c r="S33" s="135">
        <v>0</v>
      </c>
      <c r="T33" s="109">
        <f t="shared" si="10"/>
        <v>1393</v>
      </c>
      <c r="U33" s="109">
        <v>1393</v>
      </c>
      <c r="V33" s="111">
        <v>0</v>
      </c>
      <c r="W33" s="1">
        <v>0</v>
      </c>
      <c r="X33" s="1">
        <v>0</v>
      </c>
      <c r="Y33" s="8">
        <f t="shared" si="11"/>
        <v>1800</v>
      </c>
      <c r="Z33" s="8">
        <v>1800</v>
      </c>
      <c r="AA33" s="1">
        <v>0</v>
      </c>
      <c r="AB33" s="1">
        <v>0</v>
      </c>
      <c r="AC33" s="1">
        <v>0</v>
      </c>
      <c r="AD33" s="49">
        <f t="shared" si="9"/>
        <v>7212.9</v>
      </c>
      <c r="AE33" s="42"/>
      <c r="AF33" s="43"/>
    </row>
    <row r="34" spans="1:32" s="44" customFormat="1" ht="30.75" customHeight="1" hidden="1" outlineLevel="1">
      <c r="A34" s="40" t="s">
        <v>61</v>
      </c>
      <c r="B34" s="2" t="s">
        <v>154</v>
      </c>
      <c r="C34" s="2"/>
      <c r="D34" s="41"/>
      <c r="E34" s="8">
        <f t="shared" si="6"/>
        <v>191.4</v>
      </c>
      <c r="F34" s="8">
        <v>191.4</v>
      </c>
      <c r="G34" s="1">
        <v>0</v>
      </c>
      <c r="H34" s="8">
        <v>0</v>
      </c>
      <c r="I34" s="8">
        <v>0</v>
      </c>
      <c r="J34" s="8">
        <f t="shared" si="7"/>
        <v>210</v>
      </c>
      <c r="K34" s="126">
        <f>211-1</f>
        <v>210</v>
      </c>
      <c r="L34" s="111">
        <v>0</v>
      </c>
      <c r="M34" s="111">
        <v>0</v>
      </c>
      <c r="N34" s="111">
        <v>0</v>
      </c>
      <c r="O34" s="110">
        <f t="shared" si="8"/>
        <v>211</v>
      </c>
      <c r="P34" s="109">
        <v>211</v>
      </c>
      <c r="Q34" s="135">
        <v>0</v>
      </c>
      <c r="R34" s="135">
        <v>0</v>
      </c>
      <c r="S34" s="135">
        <v>0</v>
      </c>
      <c r="T34" s="109">
        <f t="shared" si="10"/>
        <v>211</v>
      </c>
      <c r="U34" s="109">
        <v>211</v>
      </c>
      <c r="V34" s="111">
        <v>0</v>
      </c>
      <c r="W34" s="1">
        <v>0</v>
      </c>
      <c r="X34" s="1">
        <v>0</v>
      </c>
      <c r="Y34" s="8">
        <f t="shared" si="11"/>
        <v>260</v>
      </c>
      <c r="Z34" s="8">
        <v>260</v>
      </c>
      <c r="AA34" s="1">
        <v>0</v>
      </c>
      <c r="AB34" s="1">
        <v>0</v>
      </c>
      <c r="AC34" s="1">
        <v>0</v>
      </c>
      <c r="AD34" s="49">
        <f t="shared" si="9"/>
        <v>1083.4</v>
      </c>
      <c r="AE34" s="42"/>
      <c r="AF34" s="43"/>
    </row>
    <row r="35" spans="1:32" s="44" customFormat="1" ht="30.75" customHeight="1" hidden="1" outlineLevel="1">
      <c r="A35" s="40" t="s">
        <v>62</v>
      </c>
      <c r="B35" s="2" t="s">
        <v>155</v>
      </c>
      <c r="C35" s="2"/>
      <c r="D35" s="41"/>
      <c r="E35" s="8">
        <f t="shared" si="6"/>
        <v>5.1</v>
      </c>
      <c r="F35" s="8">
        <v>0</v>
      </c>
      <c r="G35" s="1">
        <v>5.1</v>
      </c>
      <c r="H35" s="8">
        <v>0</v>
      </c>
      <c r="I35" s="8">
        <v>0</v>
      </c>
      <c r="J35" s="8">
        <f t="shared" si="7"/>
        <v>5.1</v>
      </c>
      <c r="K35" s="8">
        <v>0</v>
      </c>
      <c r="L35" s="111">
        <v>5.1</v>
      </c>
      <c r="M35" s="111">
        <v>0</v>
      </c>
      <c r="N35" s="111">
        <v>0</v>
      </c>
      <c r="O35" s="110">
        <f t="shared" si="8"/>
        <v>5.1</v>
      </c>
      <c r="P35" s="109">
        <v>0</v>
      </c>
      <c r="Q35" s="135">
        <v>5.1</v>
      </c>
      <c r="R35" s="135">
        <v>0</v>
      </c>
      <c r="S35" s="135">
        <v>0</v>
      </c>
      <c r="T35" s="109">
        <f t="shared" si="10"/>
        <v>5.1</v>
      </c>
      <c r="U35" s="109">
        <v>0</v>
      </c>
      <c r="V35" s="110">
        <v>5.1</v>
      </c>
      <c r="W35" s="1">
        <v>0</v>
      </c>
      <c r="X35" s="1">
        <v>0</v>
      </c>
      <c r="Y35" s="8">
        <f t="shared" si="11"/>
        <v>0</v>
      </c>
      <c r="Z35" s="8">
        <v>0</v>
      </c>
      <c r="AA35" s="1">
        <v>0</v>
      </c>
      <c r="AB35" s="1">
        <v>0</v>
      </c>
      <c r="AC35" s="1">
        <v>0</v>
      </c>
      <c r="AD35" s="49">
        <f t="shared" si="9"/>
        <v>20.4</v>
      </c>
      <c r="AE35" s="42"/>
      <c r="AF35" s="43"/>
    </row>
    <row r="36" spans="1:32" s="44" customFormat="1" ht="30.75" customHeight="1" hidden="1" outlineLevel="1">
      <c r="A36" s="40" t="s">
        <v>86</v>
      </c>
      <c r="B36" s="51" t="s">
        <v>98</v>
      </c>
      <c r="C36" s="2"/>
      <c r="D36" s="41"/>
      <c r="E36" s="8">
        <f t="shared" si="6"/>
        <v>795.8</v>
      </c>
      <c r="F36" s="8">
        <f>4608-18-493-2340-924-244-3.2</f>
        <v>585.8</v>
      </c>
      <c r="G36" s="1">
        <f>80+130</f>
        <v>210</v>
      </c>
      <c r="H36" s="8">
        <v>0</v>
      </c>
      <c r="I36" s="8">
        <v>0</v>
      </c>
      <c r="J36" s="8">
        <f t="shared" si="7"/>
        <v>0.2</v>
      </c>
      <c r="K36" s="126">
        <f>4643-300-4.8-82-80-180-47-47-350-500-3000-52</f>
        <v>0.2</v>
      </c>
      <c r="L36" s="111">
        <v>0</v>
      </c>
      <c r="M36" s="111">
        <v>0</v>
      </c>
      <c r="N36" s="111">
        <v>0</v>
      </c>
      <c r="O36" s="110">
        <f t="shared" si="8"/>
        <v>4643</v>
      </c>
      <c r="P36" s="109">
        <v>4643</v>
      </c>
      <c r="Q36" s="135">
        <v>0</v>
      </c>
      <c r="R36" s="135">
        <v>0</v>
      </c>
      <c r="S36" s="135">
        <v>0</v>
      </c>
      <c r="T36" s="109">
        <f t="shared" si="10"/>
        <v>4643</v>
      </c>
      <c r="U36" s="109">
        <v>4643</v>
      </c>
      <c r="V36" s="111">
        <v>0</v>
      </c>
      <c r="W36" s="1">
        <v>0</v>
      </c>
      <c r="X36" s="1">
        <v>0</v>
      </c>
      <c r="Y36" s="8">
        <f t="shared" si="11"/>
        <v>4800</v>
      </c>
      <c r="Z36" s="8">
        <v>4800</v>
      </c>
      <c r="AA36" s="1">
        <v>0</v>
      </c>
      <c r="AB36" s="1">
        <v>0</v>
      </c>
      <c r="AC36" s="1">
        <v>0</v>
      </c>
      <c r="AD36" s="49">
        <f t="shared" si="9"/>
        <v>14882</v>
      </c>
      <c r="AE36" s="42"/>
      <c r="AF36" s="50"/>
    </row>
    <row r="37" spans="1:32" s="44" customFormat="1" ht="55.5" customHeight="1" hidden="1" outlineLevel="1">
      <c r="A37" s="40" t="s">
        <v>87</v>
      </c>
      <c r="B37" s="127" t="s">
        <v>226</v>
      </c>
      <c r="C37" s="2"/>
      <c r="D37" s="41"/>
      <c r="E37" s="8">
        <f t="shared" si="6"/>
        <v>0</v>
      </c>
      <c r="F37" s="1">
        <v>0</v>
      </c>
      <c r="G37" s="1">
        <v>0</v>
      </c>
      <c r="H37" s="8">
        <v>0</v>
      </c>
      <c r="I37" s="8">
        <v>0</v>
      </c>
      <c r="J37" s="8">
        <f t="shared" si="7"/>
        <v>334.4</v>
      </c>
      <c r="K37" s="126">
        <f>350-15.6</f>
        <v>334.4</v>
      </c>
      <c r="L37" s="1">
        <v>0</v>
      </c>
      <c r="M37" s="8">
        <v>0</v>
      </c>
      <c r="N37" s="8">
        <v>0</v>
      </c>
      <c r="O37" s="110">
        <f t="shared" si="8"/>
        <v>0</v>
      </c>
      <c r="P37" s="109"/>
      <c r="Q37" s="135"/>
      <c r="R37" s="135"/>
      <c r="S37" s="135"/>
      <c r="T37" s="109">
        <f t="shared" si="10"/>
        <v>0</v>
      </c>
      <c r="U37" s="109"/>
      <c r="V37" s="111"/>
      <c r="W37" s="1"/>
      <c r="X37" s="1"/>
      <c r="Y37" s="8">
        <f t="shared" si="11"/>
        <v>0</v>
      </c>
      <c r="Z37" s="8"/>
      <c r="AA37" s="1"/>
      <c r="AB37" s="1"/>
      <c r="AC37" s="1"/>
      <c r="AD37" s="49">
        <f t="shared" si="9"/>
        <v>334.4</v>
      </c>
      <c r="AE37" s="42"/>
      <c r="AF37" s="50"/>
    </row>
    <row r="38" spans="1:32" s="44" customFormat="1" ht="58.5" customHeight="1" hidden="1" outlineLevel="1">
      <c r="A38" s="40" t="s">
        <v>97</v>
      </c>
      <c r="B38" s="127" t="s">
        <v>227</v>
      </c>
      <c r="C38" s="2"/>
      <c r="D38" s="41"/>
      <c r="E38" s="8">
        <f t="shared" si="6"/>
        <v>0</v>
      </c>
      <c r="F38" s="1">
        <v>0</v>
      </c>
      <c r="G38" s="1">
        <v>0</v>
      </c>
      <c r="H38" s="8">
        <v>0</v>
      </c>
      <c r="I38" s="8">
        <v>0</v>
      </c>
      <c r="J38" s="8">
        <f t="shared" si="7"/>
        <v>487.6</v>
      </c>
      <c r="K38" s="126">
        <f>500-12.4</f>
        <v>487.6</v>
      </c>
      <c r="L38" s="1">
        <v>0</v>
      </c>
      <c r="M38" s="8">
        <v>0</v>
      </c>
      <c r="N38" s="8">
        <v>0</v>
      </c>
      <c r="O38" s="110">
        <f t="shared" si="8"/>
        <v>0</v>
      </c>
      <c r="P38" s="109"/>
      <c r="Q38" s="135"/>
      <c r="R38" s="135"/>
      <c r="S38" s="135"/>
      <c r="T38" s="109">
        <f t="shared" si="10"/>
        <v>0</v>
      </c>
      <c r="U38" s="109"/>
      <c r="V38" s="111"/>
      <c r="W38" s="1"/>
      <c r="X38" s="1"/>
      <c r="Y38" s="8">
        <f t="shared" si="11"/>
        <v>0</v>
      </c>
      <c r="Z38" s="8"/>
      <c r="AA38" s="1"/>
      <c r="AB38" s="1"/>
      <c r="AC38" s="1"/>
      <c r="AD38" s="49">
        <f t="shared" si="9"/>
        <v>487.6</v>
      </c>
      <c r="AE38" s="42"/>
      <c r="AF38" s="50"/>
    </row>
    <row r="39" spans="1:32" s="44" customFormat="1" ht="56.25" customHeight="1" hidden="1" outlineLevel="1">
      <c r="A39" s="40" t="s">
        <v>107</v>
      </c>
      <c r="B39" s="127" t="s">
        <v>228</v>
      </c>
      <c r="C39" s="2"/>
      <c r="D39" s="41"/>
      <c r="E39" s="8">
        <f t="shared" si="6"/>
        <v>0</v>
      </c>
      <c r="F39" s="1">
        <v>0</v>
      </c>
      <c r="G39" s="1">
        <v>0</v>
      </c>
      <c r="H39" s="8">
        <v>0</v>
      </c>
      <c r="I39" s="8">
        <v>0</v>
      </c>
      <c r="J39" s="8">
        <f t="shared" si="7"/>
        <v>600</v>
      </c>
      <c r="K39" s="126">
        <f>100+100+150+255-5</f>
        <v>600</v>
      </c>
      <c r="L39" s="1">
        <v>0</v>
      </c>
      <c r="M39" s="8">
        <v>0</v>
      </c>
      <c r="N39" s="8">
        <v>0</v>
      </c>
      <c r="O39" s="110">
        <f t="shared" si="8"/>
        <v>0</v>
      </c>
      <c r="P39" s="109"/>
      <c r="Q39" s="135"/>
      <c r="R39" s="135"/>
      <c r="S39" s="135"/>
      <c r="T39" s="109">
        <f t="shared" si="10"/>
        <v>0</v>
      </c>
      <c r="U39" s="109"/>
      <c r="V39" s="111"/>
      <c r="W39" s="1"/>
      <c r="X39" s="1"/>
      <c r="Y39" s="8">
        <f t="shared" si="11"/>
        <v>0</v>
      </c>
      <c r="Z39" s="8"/>
      <c r="AA39" s="1"/>
      <c r="AB39" s="1"/>
      <c r="AC39" s="1"/>
      <c r="AD39" s="49">
        <f t="shared" si="9"/>
        <v>600</v>
      </c>
      <c r="AE39" s="42"/>
      <c r="AF39" s="50"/>
    </row>
    <row r="40" spans="1:32" s="44" customFormat="1" ht="48.75" customHeight="1" hidden="1" outlineLevel="1">
      <c r="A40" s="40" t="s">
        <v>108</v>
      </c>
      <c r="B40" s="51" t="s">
        <v>111</v>
      </c>
      <c r="C40" s="2"/>
      <c r="D40" s="41"/>
      <c r="E40" s="8">
        <f t="shared" si="6"/>
        <v>14.8</v>
      </c>
      <c r="F40" s="1">
        <v>14.8</v>
      </c>
      <c r="G40" s="1">
        <v>0</v>
      </c>
      <c r="H40" s="8">
        <v>0</v>
      </c>
      <c r="I40" s="8">
        <v>0</v>
      </c>
      <c r="J40" s="8">
        <f t="shared" si="7"/>
        <v>17</v>
      </c>
      <c r="K40" s="8">
        <v>17</v>
      </c>
      <c r="L40" s="1">
        <v>0</v>
      </c>
      <c r="M40" s="8">
        <v>0</v>
      </c>
      <c r="N40" s="8">
        <v>0</v>
      </c>
      <c r="O40" s="110">
        <f t="shared" si="8"/>
        <v>17</v>
      </c>
      <c r="P40" s="109">
        <v>17</v>
      </c>
      <c r="Q40" s="135">
        <v>0</v>
      </c>
      <c r="R40" s="135">
        <v>0</v>
      </c>
      <c r="S40" s="135">
        <v>0</v>
      </c>
      <c r="T40" s="109">
        <f t="shared" si="10"/>
        <v>17</v>
      </c>
      <c r="U40" s="109">
        <v>17</v>
      </c>
      <c r="V40" s="111">
        <v>0</v>
      </c>
      <c r="W40" s="1">
        <v>0</v>
      </c>
      <c r="X40" s="1">
        <v>0</v>
      </c>
      <c r="Y40" s="8">
        <f t="shared" si="11"/>
        <v>20</v>
      </c>
      <c r="Z40" s="8">
        <v>20</v>
      </c>
      <c r="AA40" s="1">
        <v>0</v>
      </c>
      <c r="AB40" s="1">
        <v>0</v>
      </c>
      <c r="AC40" s="1">
        <v>0</v>
      </c>
      <c r="AD40" s="49">
        <f t="shared" si="9"/>
        <v>85.8</v>
      </c>
      <c r="AE40" s="42"/>
      <c r="AF40" s="43"/>
    </row>
    <row r="41" spans="1:32" s="44" customFormat="1" ht="51" customHeight="1" hidden="1" outlineLevel="1">
      <c r="A41" s="40" t="s">
        <v>201</v>
      </c>
      <c r="B41" s="51" t="s">
        <v>147</v>
      </c>
      <c r="C41" s="2"/>
      <c r="D41" s="41"/>
      <c r="E41" s="8">
        <f t="shared" si="6"/>
        <v>297</v>
      </c>
      <c r="F41" s="8">
        <f>300-3</f>
        <v>297</v>
      </c>
      <c r="G41" s="1">
        <v>0</v>
      </c>
      <c r="H41" s="8">
        <v>0</v>
      </c>
      <c r="I41" s="8">
        <v>0</v>
      </c>
      <c r="J41" s="8">
        <f t="shared" si="7"/>
        <v>354.3</v>
      </c>
      <c r="K41" s="126">
        <f>330+24.3</f>
        <v>354.3</v>
      </c>
      <c r="L41" s="111">
        <v>0</v>
      </c>
      <c r="M41" s="111">
        <v>0</v>
      </c>
      <c r="N41" s="111">
        <v>0</v>
      </c>
      <c r="O41" s="110">
        <f t="shared" si="8"/>
        <v>330</v>
      </c>
      <c r="P41" s="109">
        <v>330</v>
      </c>
      <c r="Q41" s="135">
        <v>0</v>
      </c>
      <c r="R41" s="135">
        <v>0</v>
      </c>
      <c r="S41" s="135">
        <v>0</v>
      </c>
      <c r="T41" s="109">
        <f t="shared" si="10"/>
        <v>330</v>
      </c>
      <c r="U41" s="109">
        <v>330</v>
      </c>
      <c r="V41" s="111">
        <v>0</v>
      </c>
      <c r="W41" s="1">
        <v>0</v>
      </c>
      <c r="X41" s="1">
        <v>0</v>
      </c>
      <c r="Y41" s="8">
        <f t="shared" si="11"/>
        <v>300</v>
      </c>
      <c r="Z41" s="8">
        <v>300</v>
      </c>
      <c r="AA41" s="1">
        <v>0</v>
      </c>
      <c r="AB41" s="1">
        <v>0</v>
      </c>
      <c r="AC41" s="1">
        <v>0</v>
      </c>
      <c r="AD41" s="49">
        <f t="shared" si="9"/>
        <v>1611.3</v>
      </c>
      <c r="AE41" s="42"/>
      <c r="AF41" s="43"/>
    </row>
    <row r="42" spans="1:32" s="44" customFormat="1" ht="48" customHeight="1" hidden="1" outlineLevel="1">
      <c r="A42" s="40" t="s">
        <v>223</v>
      </c>
      <c r="B42" s="51" t="s">
        <v>138</v>
      </c>
      <c r="C42" s="2"/>
      <c r="D42" s="41"/>
      <c r="E42" s="8">
        <f t="shared" si="6"/>
        <v>0</v>
      </c>
      <c r="F42" s="8">
        <v>0</v>
      </c>
      <c r="G42" s="1">
        <v>0</v>
      </c>
      <c r="H42" s="8">
        <v>0</v>
      </c>
      <c r="I42" s="8">
        <v>0</v>
      </c>
      <c r="J42" s="8">
        <f t="shared" si="7"/>
        <v>0</v>
      </c>
      <c r="K42" s="8">
        <v>0</v>
      </c>
      <c r="L42" s="111">
        <v>0</v>
      </c>
      <c r="M42" s="111">
        <v>0</v>
      </c>
      <c r="N42" s="111">
        <v>0</v>
      </c>
      <c r="O42" s="110">
        <f t="shared" si="8"/>
        <v>0</v>
      </c>
      <c r="P42" s="109">
        <v>0</v>
      </c>
      <c r="Q42" s="135">
        <v>0</v>
      </c>
      <c r="R42" s="135">
        <v>0</v>
      </c>
      <c r="S42" s="135">
        <v>0</v>
      </c>
      <c r="T42" s="109">
        <f t="shared" si="10"/>
        <v>0</v>
      </c>
      <c r="U42" s="109">
        <v>0</v>
      </c>
      <c r="V42" s="111">
        <v>0</v>
      </c>
      <c r="W42" s="1">
        <v>0</v>
      </c>
      <c r="X42" s="1">
        <v>0</v>
      </c>
      <c r="Y42" s="8">
        <f t="shared" si="11"/>
        <v>0</v>
      </c>
      <c r="Z42" s="8">
        <v>0</v>
      </c>
      <c r="AA42" s="1">
        <v>0</v>
      </c>
      <c r="AB42" s="1">
        <v>0</v>
      </c>
      <c r="AC42" s="1">
        <v>0</v>
      </c>
      <c r="AD42" s="49">
        <f t="shared" si="9"/>
        <v>0</v>
      </c>
      <c r="AE42" s="42"/>
      <c r="AF42" s="43"/>
    </row>
    <row r="43" spans="1:32" s="44" customFormat="1" ht="52.5" customHeight="1" hidden="1" outlineLevel="1">
      <c r="A43" s="40" t="s">
        <v>224</v>
      </c>
      <c r="B43" s="51" t="s">
        <v>156</v>
      </c>
      <c r="C43" s="2"/>
      <c r="D43" s="41"/>
      <c r="E43" s="8">
        <f t="shared" si="6"/>
        <v>0</v>
      </c>
      <c r="F43" s="8">
        <v>0</v>
      </c>
      <c r="G43" s="1">
        <v>0</v>
      </c>
      <c r="H43" s="8">
        <v>0</v>
      </c>
      <c r="I43" s="8">
        <v>0</v>
      </c>
      <c r="J43" s="8">
        <f t="shared" si="7"/>
        <v>0</v>
      </c>
      <c r="K43" s="8">
        <v>0</v>
      </c>
      <c r="L43" s="111">
        <v>0</v>
      </c>
      <c r="M43" s="111">
        <v>0</v>
      </c>
      <c r="N43" s="111">
        <v>0</v>
      </c>
      <c r="O43" s="110">
        <f t="shared" si="8"/>
        <v>0</v>
      </c>
      <c r="P43" s="109">
        <v>0</v>
      </c>
      <c r="Q43" s="135">
        <v>0</v>
      </c>
      <c r="R43" s="135">
        <v>0</v>
      </c>
      <c r="S43" s="135">
        <v>0</v>
      </c>
      <c r="T43" s="109">
        <f t="shared" si="10"/>
        <v>0</v>
      </c>
      <c r="U43" s="109">
        <v>0</v>
      </c>
      <c r="V43" s="111">
        <v>0</v>
      </c>
      <c r="W43" s="1">
        <v>0</v>
      </c>
      <c r="X43" s="1">
        <v>0</v>
      </c>
      <c r="Y43" s="8">
        <f t="shared" si="11"/>
        <v>0</v>
      </c>
      <c r="Z43" s="8">
        <v>0</v>
      </c>
      <c r="AA43" s="1">
        <v>0</v>
      </c>
      <c r="AB43" s="1">
        <v>0</v>
      </c>
      <c r="AC43" s="1">
        <v>0</v>
      </c>
      <c r="AD43" s="49">
        <f t="shared" si="9"/>
        <v>0</v>
      </c>
      <c r="AE43" s="42"/>
      <c r="AF43" s="43"/>
    </row>
    <row r="44" spans="1:32" s="44" customFormat="1" ht="48.75" customHeight="1" hidden="1" outlineLevel="1">
      <c r="A44" s="40" t="s">
        <v>225</v>
      </c>
      <c r="B44" s="51" t="s">
        <v>209</v>
      </c>
      <c r="C44" s="2"/>
      <c r="D44" s="41"/>
      <c r="E44" s="8">
        <f>SUM(F44:G44)</f>
        <v>5214</v>
      </c>
      <c r="F44" s="8">
        <v>5214</v>
      </c>
      <c r="G44" s="1">
        <v>0</v>
      </c>
      <c r="H44" s="8">
        <v>0</v>
      </c>
      <c r="I44" s="8">
        <v>0</v>
      </c>
      <c r="J44" s="8">
        <f t="shared" si="7"/>
        <v>4055</v>
      </c>
      <c r="K44" s="8">
        <v>4055</v>
      </c>
      <c r="L44" s="111">
        <v>0</v>
      </c>
      <c r="M44" s="111">
        <v>0</v>
      </c>
      <c r="N44" s="111">
        <v>0</v>
      </c>
      <c r="O44" s="110">
        <f t="shared" si="8"/>
        <v>0</v>
      </c>
      <c r="P44" s="109">
        <v>0</v>
      </c>
      <c r="Q44" s="135">
        <v>0</v>
      </c>
      <c r="R44" s="135">
        <v>0</v>
      </c>
      <c r="S44" s="135">
        <v>0</v>
      </c>
      <c r="T44" s="109">
        <f t="shared" si="10"/>
        <v>0</v>
      </c>
      <c r="U44" s="109">
        <v>0</v>
      </c>
      <c r="V44" s="111">
        <v>0</v>
      </c>
      <c r="W44" s="1">
        <v>0</v>
      </c>
      <c r="X44" s="1">
        <v>0</v>
      </c>
      <c r="Y44" s="8">
        <f t="shared" si="11"/>
        <v>0</v>
      </c>
      <c r="Z44" s="8">
        <v>0</v>
      </c>
      <c r="AA44" s="1">
        <v>0</v>
      </c>
      <c r="AB44" s="1">
        <v>0</v>
      </c>
      <c r="AC44" s="1">
        <v>0</v>
      </c>
      <c r="AD44" s="49">
        <f>Y44+T44+O44+J44+E44</f>
        <v>9269</v>
      </c>
      <c r="AE44" s="42"/>
      <c r="AF44" s="43"/>
    </row>
    <row r="45" spans="1:31" ht="129" customHeight="1" collapsed="1">
      <c r="A45" s="104" t="s">
        <v>63</v>
      </c>
      <c r="B45" s="108" t="s">
        <v>221</v>
      </c>
      <c r="C45" s="103" t="s">
        <v>9</v>
      </c>
      <c r="D45" s="105" t="s">
        <v>135</v>
      </c>
      <c r="E45" s="11">
        <f aca="true" t="shared" si="12" ref="E45:M45">SUM(E46:E66)</f>
        <v>10155.2</v>
      </c>
      <c r="F45" s="11">
        <f t="shared" si="12"/>
        <v>9484</v>
      </c>
      <c r="G45" s="11">
        <f t="shared" si="12"/>
        <v>671.2</v>
      </c>
      <c r="H45" s="11">
        <f t="shared" si="12"/>
        <v>0</v>
      </c>
      <c r="I45" s="11">
        <f t="shared" si="12"/>
        <v>0</v>
      </c>
      <c r="J45" s="109">
        <f t="shared" si="12"/>
        <v>13348.7</v>
      </c>
      <c r="K45" s="11">
        <f t="shared" si="12"/>
        <v>13087.97</v>
      </c>
      <c r="L45" s="109">
        <f t="shared" si="12"/>
        <v>260.73</v>
      </c>
      <c r="M45" s="109">
        <f t="shared" si="12"/>
        <v>0</v>
      </c>
      <c r="N45" s="109">
        <f aca="true" t="shared" si="13" ref="N45:AC45">SUM(N46:N66)</f>
        <v>0</v>
      </c>
      <c r="O45" s="109">
        <f>SUM(O46:O66)</f>
        <v>8109.73</v>
      </c>
      <c r="P45" s="109">
        <f t="shared" si="13"/>
        <v>7860</v>
      </c>
      <c r="Q45" s="11">
        <f t="shared" si="13"/>
        <v>249.73</v>
      </c>
      <c r="R45" s="11">
        <f t="shared" si="13"/>
        <v>0</v>
      </c>
      <c r="S45" s="11">
        <f t="shared" si="13"/>
        <v>0</v>
      </c>
      <c r="T45" s="11">
        <f t="shared" si="13"/>
        <v>8109.73</v>
      </c>
      <c r="U45" s="11">
        <f t="shared" si="13"/>
        <v>7860</v>
      </c>
      <c r="V45" s="11">
        <f t="shared" si="13"/>
        <v>249.73</v>
      </c>
      <c r="W45" s="11">
        <f t="shared" si="13"/>
        <v>0</v>
      </c>
      <c r="X45" s="11">
        <f t="shared" si="13"/>
        <v>0</v>
      </c>
      <c r="Y45" s="11">
        <f t="shared" si="13"/>
        <v>14800</v>
      </c>
      <c r="Z45" s="11">
        <f t="shared" si="13"/>
        <v>14800</v>
      </c>
      <c r="AA45" s="11">
        <f t="shared" si="13"/>
        <v>0</v>
      </c>
      <c r="AB45" s="11">
        <f t="shared" si="13"/>
        <v>0</v>
      </c>
      <c r="AC45" s="11">
        <f t="shared" si="13"/>
        <v>0</v>
      </c>
      <c r="AD45" s="11">
        <f>SUM(AD46:AD66)</f>
        <v>54523.36</v>
      </c>
      <c r="AE45" s="45" t="s">
        <v>182</v>
      </c>
    </row>
    <row r="46" spans="1:32" s="44" customFormat="1" ht="47.25" hidden="1" outlineLevel="1">
      <c r="A46" s="40" t="s">
        <v>64</v>
      </c>
      <c r="B46" s="2" t="s">
        <v>69</v>
      </c>
      <c r="C46" s="2"/>
      <c r="D46" s="41"/>
      <c r="E46" s="8">
        <f t="shared" si="6"/>
        <v>2314</v>
      </c>
      <c r="F46" s="8">
        <v>2200</v>
      </c>
      <c r="G46" s="1">
        <f>2+112</f>
        <v>114</v>
      </c>
      <c r="H46" s="8">
        <v>0</v>
      </c>
      <c r="I46" s="8">
        <v>0</v>
      </c>
      <c r="J46" s="8">
        <f t="shared" si="7"/>
        <v>2944.73</v>
      </c>
      <c r="K46" s="126">
        <f>2355+140+360</f>
        <v>2855</v>
      </c>
      <c r="L46" s="111">
        <f>11+78.73403</f>
        <v>89.73</v>
      </c>
      <c r="M46" s="110">
        <v>0</v>
      </c>
      <c r="N46" s="110">
        <v>0</v>
      </c>
      <c r="O46" s="110">
        <f t="shared" si="8"/>
        <v>2433.73</v>
      </c>
      <c r="P46" s="109">
        <v>2355</v>
      </c>
      <c r="Q46" s="135">
        <f>78.73403</f>
        <v>78.73</v>
      </c>
      <c r="R46" s="109">
        <v>0</v>
      </c>
      <c r="S46" s="109">
        <v>0</v>
      </c>
      <c r="T46" s="109">
        <f t="shared" si="10"/>
        <v>2433.73</v>
      </c>
      <c r="U46" s="109">
        <v>2355</v>
      </c>
      <c r="V46" s="111">
        <v>78.73</v>
      </c>
      <c r="W46" s="8">
        <v>0</v>
      </c>
      <c r="X46" s="8">
        <v>0</v>
      </c>
      <c r="Y46" s="8">
        <f t="shared" si="11"/>
        <v>2600</v>
      </c>
      <c r="Z46" s="8">
        <v>2600</v>
      </c>
      <c r="AA46" s="1">
        <v>0</v>
      </c>
      <c r="AB46" s="8">
        <v>0</v>
      </c>
      <c r="AC46" s="8">
        <v>0</v>
      </c>
      <c r="AD46" s="49">
        <f aca="true" t="shared" si="14" ref="AD46:AD66">E46+J46+O46+T46+Y46</f>
        <v>12726.19</v>
      </c>
      <c r="AE46" s="52"/>
      <c r="AF46" s="43"/>
    </row>
    <row r="47" spans="1:32" s="44" customFormat="1" ht="31.5" hidden="1" outlineLevel="1">
      <c r="A47" s="40" t="s">
        <v>89</v>
      </c>
      <c r="B47" s="2" t="s">
        <v>192</v>
      </c>
      <c r="C47" s="2"/>
      <c r="D47" s="41"/>
      <c r="E47" s="8">
        <f t="shared" si="6"/>
        <v>2003.8</v>
      </c>
      <c r="F47" s="8">
        <f>443.4+924-105.6+462-200-170+400</f>
        <v>1753.8</v>
      </c>
      <c r="G47" s="1">
        <f>65-65+87+3+160</f>
        <v>250</v>
      </c>
      <c r="H47" s="8">
        <v>0</v>
      </c>
      <c r="I47" s="8">
        <v>0</v>
      </c>
      <c r="J47" s="8">
        <f t="shared" si="7"/>
        <v>1864.56</v>
      </c>
      <c r="K47" s="126">
        <v>1809.56</v>
      </c>
      <c r="L47" s="111">
        <v>55</v>
      </c>
      <c r="M47" s="110">
        <v>0</v>
      </c>
      <c r="N47" s="110">
        <v>0</v>
      </c>
      <c r="O47" s="110">
        <f t="shared" si="8"/>
        <v>55</v>
      </c>
      <c r="P47" s="109">
        <v>0</v>
      </c>
      <c r="Q47" s="136">
        <v>55</v>
      </c>
      <c r="R47" s="109">
        <v>0</v>
      </c>
      <c r="S47" s="109">
        <v>0</v>
      </c>
      <c r="T47" s="109">
        <f t="shared" si="10"/>
        <v>55</v>
      </c>
      <c r="U47" s="109">
        <v>0</v>
      </c>
      <c r="V47" s="100">
        <v>55</v>
      </c>
      <c r="W47" s="8">
        <v>0</v>
      </c>
      <c r="X47" s="8">
        <v>0</v>
      </c>
      <c r="Y47" s="8">
        <f t="shared" si="11"/>
        <v>1500</v>
      </c>
      <c r="Z47" s="8">
        <v>1500</v>
      </c>
      <c r="AA47" s="1">
        <v>0</v>
      </c>
      <c r="AB47" s="8">
        <v>0</v>
      </c>
      <c r="AC47" s="8">
        <v>0</v>
      </c>
      <c r="AD47" s="49">
        <f>E47+J47+O47+T47+Y47</f>
        <v>5478.36</v>
      </c>
      <c r="AE47" s="52"/>
      <c r="AF47" s="43"/>
    </row>
    <row r="48" spans="1:32" s="44" customFormat="1" ht="16.5" hidden="1" outlineLevel="1">
      <c r="A48" s="40" t="s">
        <v>90</v>
      </c>
      <c r="B48" s="2" t="s">
        <v>193</v>
      </c>
      <c r="C48" s="2"/>
      <c r="D48" s="41"/>
      <c r="E48" s="8">
        <f>SUM(F48:I48)</f>
        <v>89.7</v>
      </c>
      <c r="F48" s="8">
        <v>0</v>
      </c>
      <c r="G48" s="1">
        <f>105+65+6.7-87</f>
        <v>89.7</v>
      </c>
      <c r="H48" s="8">
        <v>0</v>
      </c>
      <c r="I48" s="8">
        <v>0</v>
      </c>
      <c r="J48" s="8">
        <f t="shared" si="7"/>
        <v>0</v>
      </c>
      <c r="K48" s="110">
        <v>0</v>
      </c>
      <c r="L48" s="111">
        <v>0</v>
      </c>
      <c r="M48" s="110"/>
      <c r="N48" s="110"/>
      <c r="O48" s="110">
        <f t="shared" si="8"/>
        <v>0</v>
      </c>
      <c r="P48" s="109">
        <v>0</v>
      </c>
      <c r="Q48" s="135">
        <v>0</v>
      </c>
      <c r="R48" s="135">
        <v>0</v>
      </c>
      <c r="S48" s="135">
        <v>0</v>
      </c>
      <c r="T48" s="109">
        <f t="shared" si="10"/>
        <v>0</v>
      </c>
      <c r="U48" s="109">
        <v>0</v>
      </c>
      <c r="V48" s="110">
        <v>0</v>
      </c>
      <c r="W48" s="8">
        <v>0</v>
      </c>
      <c r="X48" s="8">
        <v>0</v>
      </c>
      <c r="Y48" s="8">
        <f t="shared" si="11"/>
        <v>0</v>
      </c>
      <c r="Z48" s="8">
        <v>0</v>
      </c>
      <c r="AA48" s="8">
        <v>0</v>
      </c>
      <c r="AB48" s="8">
        <v>0</v>
      </c>
      <c r="AC48" s="8">
        <v>0</v>
      </c>
      <c r="AD48" s="49">
        <f>E48+J48+O48+T48+Y48</f>
        <v>89.7</v>
      </c>
      <c r="AE48" s="52"/>
      <c r="AF48" s="43"/>
    </row>
    <row r="49" spans="1:32" s="44" customFormat="1" ht="47.25" hidden="1" outlineLevel="1">
      <c r="A49" s="40" t="s">
        <v>91</v>
      </c>
      <c r="B49" s="2" t="s">
        <v>194</v>
      </c>
      <c r="C49" s="2"/>
      <c r="D49" s="41"/>
      <c r="E49" s="8">
        <f>SUM(F49:G49)</f>
        <v>2613.6</v>
      </c>
      <c r="F49" s="8">
        <f>3400-1357.2-583-600-163.8-192.4+2340+350-290-290</f>
        <v>2613.6</v>
      </c>
      <c r="G49" s="1">
        <v>0</v>
      </c>
      <c r="H49" s="8">
        <v>0</v>
      </c>
      <c r="I49" s="8">
        <v>0</v>
      </c>
      <c r="J49" s="8">
        <f t="shared" si="7"/>
        <v>7600.11</v>
      </c>
      <c r="K49" s="126">
        <f>5265-274-185.1-168-192-93+454-181.397-181.397+4235+5-1200</f>
        <v>7484.11</v>
      </c>
      <c r="L49" s="111">
        <v>116</v>
      </c>
      <c r="M49" s="111">
        <v>0</v>
      </c>
      <c r="N49" s="111">
        <v>0</v>
      </c>
      <c r="O49" s="110">
        <f t="shared" si="8"/>
        <v>5381</v>
      </c>
      <c r="P49" s="109">
        <v>5265</v>
      </c>
      <c r="Q49" s="137">
        <v>116</v>
      </c>
      <c r="R49" s="109">
        <v>0</v>
      </c>
      <c r="S49" s="109">
        <v>0</v>
      </c>
      <c r="T49" s="109">
        <f t="shared" si="10"/>
        <v>5381</v>
      </c>
      <c r="U49" s="109">
        <v>5265</v>
      </c>
      <c r="V49" s="113">
        <v>116</v>
      </c>
      <c r="W49" s="8">
        <v>0</v>
      </c>
      <c r="X49" s="8">
        <v>0</v>
      </c>
      <c r="Y49" s="8">
        <f t="shared" si="11"/>
        <v>0</v>
      </c>
      <c r="Z49" s="8">
        <v>0</v>
      </c>
      <c r="AA49" s="8">
        <v>0</v>
      </c>
      <c r="AB49" s="8">
        <v>0</v>
      </c>
      <c r="AC49" s="8">
        <v>0</v>
      </c>
      <c r="AD49" s="49">
        <f>E49+J49+O49+T49+Y49</f>
        <v>20975.71</v>
      </c>
      <c r="AE49" s="52"/>
      <c r="AF49" s="43"/>
    </row>
    <row r="50" spans="1:32" s="44" customFormat="1" ht="16.5" hidden="1" outlineLevel="1">
      <c r="A50" s="40" t="s">
        <v>92</v>
      </c>
      <c r="B50" s="2" t="s">
        <v>195</v>
      </c>
      <c r="C50" s="2"/>
      <c r="D50" s="41"/>
      <c r="E50" s="8">
        <f t="shared" si="6"/>
        <v>583</v>
      </c>
      <c r="F50" s="8">
        <f>583+2340+350-2340-350</f>
        <v>583</v>
      </c>
      <c r="G50" s="1">
        <v>0</v>
      </c>
      <c r="H50" s="8">
        <v>0</v>
      </c>
      <c r="I50" s="8">
        <v>0</v>
      </c>
      <c r="J50" s="8">
        <f t="shared" si="7"/>
        <v>2</v>
      </c>
      <c r="K50" s="140">
        <v>2</v>
      </c>
      <c r="L50" s="111">
        <v>0</v>
      </c>
      <c r="M50" s="110">
        <v>0</v>
      </c>
      <c r="N50" s="110">
        <v>0</v>
      </c>
      <c r="O50" s="110">
        <f t="shared" si="8"/>
        <v>0</v>
      </c>
      <c r="P50" s="109">
        <v>0</v>
      </c>
      <c r="Q50" s="135">
        <v>0</v>
      </c>
      <c r="R50" s="109">
        <v>0</v>
      </c>
      <c r="S50" s="109">
        <v>0</v>
      </c>
      <c r="T50" s="109">
        <f t="shared" si="10"/>
        <v>0</v>
      </c>
      <c r="U50" s="109">
        <v>0</v>
      </c>
      <c r="V50" s="111">
        <v>0</v>
      </c>
      <c r="W50" s="8">
        <v>0</v>
      </c>
      <c r="X50" s="8">
        <v>0</v>
      </c>
      <c r="Y50" s="8">
        <f t="shared" si="11"/>
        <v>6800</v>
      </c>
      <c r="Z50" s="8">
        <v>6800</v>
      </c>
      <c r="AA50" s="1">
        <v>0</v>
      </c>
      <c r="AB50" s="8">
        <v>0</v>
      </c>
      <c r="AC50" s="8">
        <v>0</v>
      </c>
      <c r="AD50" s="49">
        <f t="shared" si="14"/>
        <v>7385</v>
      </c>
      <c r="AE50" s="52"/>
      <c r="AF50" s="43"/>
    </row>
    <row r="51" spans="1:32" s="44" customFormat="1" ht="31.5" hidden="1" outlineLevel="1">
      <c r="A51" s="40" t="s">
        <v>93</v>
      </c>
      <c r="B51" s="2" t="s">
        <v>216</v>
      </c>
      <c r="C51" s="2"/>
      <c r="D51" s="41"/>
      <c r="E51" s="8">
        <f>SUM(F51:I51)</f>
        <v>60</v>
      </c>
      <c r="F51" s="8">
        <v>0</v>
      </c>
      <c r="G51" s="1">
        <v>60</v>
      </c>
      <c r="H51" s="8">
        <v>0</v>
      </c>
      <c r="I51" s="8">
        <v>0</v>
      </c>
      <c r="J51" s="8">
        <f>SUM(K51:N51)</f>
        <v>0</v>
      </c>
      <c r="K51" s="110">
        <v>0</v>
      </c>
      <c r="L51" s="111">
        <v>0</v>
      </c>
      <c r="M51" s="110">
        <v>0</v>
      </c>
      <c r="N51" s="110">
        <v>0</v>
      </c>
      <c r="O51" s="110">
        <f>SUM(P51:S51)</f>
        <v>0</v>
      </c>
      <c r="P51" s="109">
        <v>0</v>
      </c>
      <c r="Q51" s="135">
        <v>0</v>
      </c>
      <c r="R51" s="109">
        <v>0</v>
      </c>
      <c r="S51" s="109">
        <v>0</v>
      </c>
      <c r="T51" s="109">
        <f>SUM(U51:X51)</f>
        <v>0</v>
      </c>
      <c r="U51" s="109">
        <v>0</v>
      </c>
      <c r="V51" s="111">
        <v>0</v>
      </c>
      <c r="W51" s="8">
        <v>0</v>
      </c>
      <c r="X51" s="8">
        <v>0</v>
      </c>
      <c r="Y51" s="8">
        <f>SUM(Z51:AC51)</f>
        <v>0</v>
      </c>
      <c r="Z51" s="8">
        <v>0</v>
      </c>
      <c r="AA51" s="1">
        <v>0</v>
      </c>
      <c r="AB51" s="8">
        <v>0</v>
      </c>
      <c r="AC51" s="8">
        <v>0</v>
      </c>
      <c r="AD51" s="49">
        <f t="shared" si="14"/>
        <v>60</v>
      </c>
      <c r="AE51" s="52"/>
      <c r="AF51" s="43"/>
    </row>
    <row r="52" spans="1:32" s="44" customFormat="1" ht="63" hidden="1" outlineLevel="1">
      <c r="A52" s="40" t="s">
        <v>104</v>
      </c>
      <c r="B52" s="2" t="s">
        <v>199</v>
      </c>
      <c r="C52" s="2"/>
      <c r="D52" s="41"/>
      <c r="E52" s="8">
        <f>SUM(F52:G52)</f>
        <v>600.6</v>
      </c>
      <c r="F52" s="8">
        <f>1357.2-471.1-6.5-310</f>
        <v>569.6</v>
      </c>
      <c r="G52" s="1">
        <v>31</v>
      </c>
      <c r="H52" s="8">
        <v>0</v>
      </c>
      <c r="I52" s="8">
        <v>0</v>
      </c>
      <c r="J52" s="8">
        <f>SUM(L52:N52)</f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f t="shared" si="8"/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f t="shared" si="10"/>
        <v>0</v>
      </c>
      <c r="U52" s="109">
        <v>0</v>
      </c>
      <c r="V52" s="110">
        <v>0</v>
      </c>
      <c r="W52" s="8">
        <v>0</v>
      </c>
      <c r="X52" s="8">
        <v>0</v>
      </c>
      <c r="Y52" s="8">
        <f t="shared" si="11"/>
        <v>0</v>
      </c>
      <c r="Z52" s="8">
        <v>0</v>
      </c>
      <c r="AA52" s="8">
        <v>0</v>
      </c>
      <c r="AB52" s="8">
        <v>0</v>
      </c>
      <c r="AC52" s="8">
        <v>0</v>
      </c>
      <c r="AD52" s="49">
        <f t="shared" si="14"/>
        <v>600.6</v>
      </c>
      <c r="AE52" s="52"/>
      <c r="AF52" s="43"/>
    </row>
    <row r="53" spans="1:33" s="44" customFormat="1" ht="129.75" customHeight="1" hidden="1" outlineLevel="1">
      <c r="A53" s="40" t="s">
        <v>105</v>
      </c>
      <c r="B53" s="2" t="s">
        <v>197</v>
      </c>
      <c r="C53" s="2"/>
      <c r="D53" s="41"/>
      <c r="E53" s="8">
        <f t="shared" si="6"/>
        <v>245</v>
      </c>
      <c r="F53" s="8">
        <f>163.8</f>
        <v>163.8</v>
      </c>
      <c r="G53" s="1">
        <v>81.2</v>
      </c>
      <c r="H53" s="8">
        <v>0</v>
      </c>
      <c r="I53" s="8">
        <v>0</v>
      </c>
      <c r="J53" s="8">
        <f t="shared" si="7"/>
        <v>273.1</v>
      </c>
      <c r="K53" s="126">
        <v>273.1</v>
      </c>
      <c r="L53" s="111">
        <v>0</v>
      </c>
      <c r="M53" s="110">
        <v>0</v>
      </c>
      <c r="N53" s="110">
        <v>0</v>
      </c>
      <c r="O53" s="110">
        <f t="shared" si="8"/>
        <v>0</v>
      </c>
      <c r="P53" s="109">
        <v>0</v>
      </c>
      <c r="Q53" s="135">
        <v>0</v>
      </c>
      <c r="R53" s="109">
        <v>0</v>
      </c>
      <c r="S53" s="109">
        <v>0</v>
      </c>
      <c r="T53" s="109">
        <f t="shared" si="10"/>
        <v>0</v>
      </c>
      <c r="U53" s="109">
        <v>0</v>
      </c>
      <c r="V53" s="111">
        <v>0</v>
      </c>
      <c r="W53" s="8">
        <v>0</v>
      </c>
      <c r="X53" s="8">
        <v>0</v>
      </c>
      <c r="Y53" s="8">
        <f t="shared" si="11"/>
        <v>450</v>
      </c>
      <c r="Z53" s="8">
        <v>450</v>
      </c>
      <c r="AA53" s="1">
        <v>0</v>
      </c>
      <c r="AB53" s="8">
        <v>0</v>
      </c>
      <c r="AC53" s="8">
        <v>0</v>
      </c>
      <c r="AD53" s="49">
        <f t="shared" si="14"/>
        <v>968.1</v>
      </c>
      <c r="AE53" s="52"/>
      <c r="AF53" s="43"/>
      <c r="AG53" s="2"/>
    </row>
    <row r="54" spans="1:33" s="44" customFormat="1" ht="27.75" customHeight="1" hidden="1" outlineLevel="1">
      <c r="A54" s="40" t="s">
        <v>106</v>
      </c>
      <c r="B54" s="2" t="s">
        <v>196</v>
      </c>
      <c r="C54" s="2"/>
      <c r="D54" s="41"/>
      <c r="E54" s="8">
        <f t="shared" si="6"/>
        <v>0</v>
      </c>
      <c r="F54" s="1">
        <v>0</v>
      </c>
      <c r="G54" s="1">
        <v>0</v>
      </c>
      <c r="H54" s="8">
        <v>0</v>
      </c>
      <c r="I54" s="8">
        <v>0</v>
      </c>
      <c r="J54" s="8">
        <f t="shared" si="7"/>
        <v>0</v>
      </c>
      <c r="K54" s="111">
        <v>0</v>
      </c>
      <c r="L54" s="111">
        <v>0</v>
      </c>
      <c r="M54" s="110">
        <v>0</v>
      </c>
      <c r="N54" s="110">
        <v>0</v>
      </c>
      <c r="O54" s="110">
        <f t="shared" si="8"/>
        <v>140</v>
      </c>
      <c r="P54" s="135">
        <v>140</v>
      </c>
      <c r="Q54" s="135">
        <v>0</v>
      </c>
      <c r="R54" s="109">
        <v>0</v>
      </c>
      <c r="S54" s="109">
        <v>0</v>
      </c>
      <c r="T54" s="109">
        <f t="shared" si="10"/>
        <v>140</v>
      </c>
      <c r="U54" s="135">
        <v>140</v>
      </c>
      <c r="V54" s="111">
        <v>0</v>
      </c>
      <c r="W54" s="8">
        <v>0</v>
      </c>
      <c r="X54" s="8">
        <v>0</v>
      </c>
      <c r="Y54" s="8">
        <f t="shared" si="11"/>
        <v>0</v>
      </c>
      <c r="Z54" s="1">
        <v>0</v>
      </c>
      <c r="AA54" s="1">
        <v>0</v>
      </c>
      <c r="AB54" s="8">
        <v>0</v>
      </c>
      <c r="AC54" s="8">
        <v>0</v>
      </c>
      <c r="AD54" s="49">
        <f t="shared" si="14"/>
        <v>280</v>
      </c>
      <c r="AE54" s="52"/>
      <c r="AF54" s="43"/>
      <c r="AG54" s="2"/>
    </row>
    <row r="55" spans="1:33" s="44" customFormat="1" ht="24.75" customHeight="1" hidden="1" outlineLevel="1">
      <c r="A55" s="40" t="s">
        <v>109</v>
      </c>
      <c r="B55" s="51" t="s">
        <v>88</v>
      </c>
      <c r="C55" s="2"/>
      <c r="D55" s="41"/>
      <c r="E55" s="8">
        <f t="shared" si="6"/>
        <v>0</v>
      </c>
      <c r="F55" s="1">
        <v>0</v>
      </c>
      <c r="G55" s="1">
        <v>0</v>
      </c>
      <c r="H55" s="8">
        <v>0</v>
      </c>
      <c r="I55" s="8">
        <v>0</v>
      </c>
      <c r="J55" s="8">
        <f t="shared" si="7"/>
        <v>0</v>
      </c>
      <c r="K55" s="111">
        <v>0</v>
      </c>
      <c r="L55" s="111">
        <v>0</v>
      </c>
      <c r="M55" s="110">
        <v>0</v>
      </c>
      <c r="N55" s="110">
        <v>0</v>
      </c>
      <c r="O55" s="110">
        <f t="shared" si="8"/>
        <v>100</v>
      </c>
      <c r="P55" s="135">
        <v>100</v>
      </c>
      <c r="Q55" s="135">
        <v>0</v>
      </c>
      <c r="R55" s="109">
        <v>0</v>
      </c>
      <c r="S55" s="109">
        <v>0</v>
      </c>
      <c r="T55" s="109">
        <f t="shared" si="10"/>
        <v>100</v>
      </c>
      <c r="U55" s="135">
        <v>100</v>
      </c>
      <c r="V55" s="111">
        <v>0</v>
      </c>
      <c r="W55" s="8">
        <v>0</v>
      </c>
      <c r="X55" s="8">
        <v>0</v>
      </c>
      <c r="Y55" s="8">
        <f t="shared" si="11"/>
        <v>50</v>
      </c>
      <c r="Z55" s="1">
        <v>50</v>
      </c>
      <c r="AA55" s="1">
        <v>0</v>
      </c>
      <c r="AB55" s="8">
        <v>0</v>
      </c>
      <c r="AC55" s="8">
        <v>0</v>
      </c>
      <c r="AD55" s="49">
        <f t="shared" si="14"/>
        <v>250</v>
      </c>
      <c r="AE55" s="53"/>
      <c r="AF55" s="43"/>
      <c r="AG55" s="2"/>
    </row>
    <row r="56" spans="1:33" s="54" customFormat="1" ht="36" customHeight="1" hidden="1" outlineLevel="1">
      <c r="A56" s="40" t="s">
        <v>113</v>
      </c>
      <c r="B56" s="51" t="s">
        <v>198</v>
      </c>
      <c r="C56" s="2"/>
      <c r="D56" s="41"/>
      <c r="E56" s="8">
        <f t="shared" si="6"/>
        <v>445.5</v>
      </c>
      <c r="F56" s="1">
        <f>156.6+244-0.4</f>
        <v>400.2</v>
      </c>
      <c r="G56" s="1">
        <f>55-6.7-3</f>
        <v>45.3</v>
      </c>
      <c r="H56" s="8">
        <v>0</v>
      </c>
      <c r="I56" s="8">
        <v>0</v>
      </c>
      <c r="J56" s="8">
        <f t="shared" si="7"/>
        <v>306</v>
      </c>
      <c r="K56" s="126">
        <f>126+180</f>
        <v>306</v>
      </c>
      <c r="L56" s="111">
        <v>0</v>
      </c>
      <c r="M56" s="110">
        <v>0</v>
      </c>
      <c r="N56" s="110">
        <v>0</v>
      </c>
      <c r="O56" s="110">
        <f t="shared" si="8"/>
        <v>0</v>
      </c>
      <c r="P56" s="135">
        <v>0</v>
      </c>
      <c r="Q56" s="135">
        <v>0</v>
      </c>
      <c r="R56" s="109">
        <v>0</v>
      </c>
      <c r="S56" s="109">
        <v>0</v>
      </c>
      <c r="T56" s="109">
        <f t="shared" si="10"/>
        <v>0</v>
      </c>
      <c r="U56" s="135">
        <v>0</v>
      </c>
      <c r="V56" s="111">
        <v>0</v>
      </c>
      <c r="W56" s="8">
        <v>0</v>
      </c>
      <c r="X56" s="8">
        <v>0</v>
      </c>
      <c r="Y56" s="8">
        <f t="shared" si="11"/>
        <v>400</v>
      </c>
      <c r="Z56" s="1">
        <v>400</v>
      </c>
      <c r="AA56" s="1">
        <v>0</v>
      </c>
      <c r="AB56" s="8">
        <v>0</v>
      </c>
      <c r="AC56" s="8">
        <v>0</v>
      </c>
      <c r="AD56" s="49">
        <f>E56+J56+O56+T56+Y56</f>
        <v>1151.5</v>
      </c>
      <c r="AE56" s="53"/>
      <c r="AF56" s="43"/>
      <c r="AG56" s="2"/>
    </row>
    <row r="57" spans="1:33" s="54" customFormat="1" ht="36" customHeight="1" hidden="1" outlineLevel="1">
      <c r="A57" s="40" t="s">
        <v>123</v>
      </c>
      <c r="B57" s="51" t="s">
        <v>218</v>
      </c>
      <c r="C57" s="2"/>
      <c r="D57" s="41"/>
      <c r="E57" s="8">
        <f>SUM(F57:I57)</f>
        <v>1200</v>
      </c>
      <c r="F57" s="8">
        <v>1200</v>
      </c>
      <c r="G57" s="8">
        <v>0</v>
      </c>
      <c r="H57" s="8">
        <v>0</v>
      </c>
      <c r="I57" s="8">
        <v>0</v>
      </c>
      <c r="J57" s="8">
        <f>SUM(K57:N57)</f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f>SUM(P57:S57)</f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f>SUM(U57:X57)</f>
        <v>0</v>
      </c>
      <c r="U57" s="109">
        <v>0</v>
      </c>
      <c r="V57" s="110">
        <v>0</v>
      </c>
      <c r="W57" s="8">
        <v>0</v>
      </c>
      <c r="X57" s="8">
        <v>0</v>
      </c>
      <c r="Y57" s="8">
        <f>SUM(Z57:AC57)</f>
        <v>0</v>
      </c>
      <c r="Z57" s="8">
        <v>0</v>
      </c>
      <c r="AA57" s="8">
        <v>0</v>
      </c>
      <c r="AB57" s="8">
        <v>0</v>
      </c>
      <c r="AC57" s="8">
        <v>0</v>
      </c>
      <c r="AD57" s="49">
        <f>E57+J57+O57+T57+Y57</f>
        <v>1200</v>
      </c>
      <c r="AE57" s="53"/>
      <c r="AF57" s="43"/>
      <c r="AG57" s="2"/>
    </row>
    <row r="58" spans="1:33" s="54" customFormat="1" ht="51.75" customHeight="1" hidden="1" outlineLevel="1">
      <c r="A58" s="40" t="s">
        <v>217</v>
      </c>
      <c r="B58" s="51" t="s">
        <v>200</v>
      </c>
      <c r="C58" s="2"/>
      <c r="D58" s="41"/>
      <c r="E58" s="8">
        <f>SUM(F58:G58)</f>
        <v>0</v>
      </c>
      <c r="F58" s="1">
        <v>0</v>
      </c>
      <c r="G58" s="1">
        <v>0</v>
      </c>
      <c r="H58" s="8">
        <v>0</v>
      </c>
      <c r="I58" s="8">
        <v>0</v>
      </c>
      <c r="J58" s="8">
        <f t="shared" si="7"/>
        <v>0</v>
      </c>
      <c r="K58" s="111">
        <v>0</v>
      </c>
      <c r="L58" s="111">
        <v>0</v>
      </c>
      <c r="M58" s="111">
        <v>0</v>
      </c>
      <c r="N58" s="111">
        <v>0</v>
      </c>
      <c r="O58" s="110">
        <f t="shared" si="8"/>
        <v>0</v>
      </c>
      <c r="P58" s="135">
        <v>0</v>
      </c>
      <c r="Q58" s="135">
        <v>0</v>
      </c>
      <c r="R58" s="135">
        <v>0</v>
      </c>
      <c r="S58" s="135">
        <v>0</v>
      </c>
      <c r="T58" s="109">
        <f t="shared" si="10"/>
        <v>0</v>
      </c>
      <c r="U58" s="135">
        <v>0</v>
      </c>
      <c r="V58" s="111">
        <v>0</v>
      </c>
      <c r="W58" s="1">
        <v>0</v>
      </c>
      <c r="X58" s="1">
        <v>0</v>
      </c>
      <c r="Y58" s="8">
        <f t="shared" si="11"/>
        <v>0</v>
      </c>
      <c r="Z58" s="1">
        <v>0</v>
      </c>
      <c r="AA58" s="1">
        <v>0</v>
      </c>
      <c r="AB58" s="1">
        <v>0</v>
      </c>
      <c r="AC58" s="1">
        <v>0</v>
      </c>
      <c r="AD58" s="49">
        <v>0</v>
      </c>
      <c r="AE58" s="53"/>
      <c r="AF58" s="43"/>
      <c r="AG58" s="2"/>
    </row>
    <row r="59" spans="1:33" s="44" customFormat="1" ht="31.5" hidden="1" outlineLevel="1">
      <c r="A59" s="40" t="s">
        <v>157</v>
      </c>
      <c r="B59" s="51" t="s">
        <v>159</v>
      </c>
      <c r="C59" s="2"/>
      <c r="D59" s="41"/>
      <c r="E59" s="8">
        <f t="shared" si="6"/>
        <v>0</v>
      </c>
      <c r="F59" s="8">
        <v>0</v>
      </c>
      <c r="G59" s="1">
        <v>0</v>
      </c>
      <c r="H59" s="8">
        <v>0</v>
      </c>
      <c r="I59" s="8">
        <v>0</v>
      </c>
      <c r="J59" s="8">
        <f t="shared" si="7"/>
        <v>0</v>
      </c>
      <c r="K59" s="110">
        <v>0</v>
      </c>
      <c r="L59" s="111">
        <v>0</v>
      </c>
      <c r="M59" s="110">
        <v>0</v>
      </c>
      <c r="N59" s="110">
        <v>0</v>
      </c>
      <c r="O59" s="110">
        <f t="shared" si="8"/>
        <v>0</v>
      </c>
      <c r="P59" s="109">
        <v>0</v>
      </c>
      <c r="Q59" s="135">
        <v>0</v>
      </c>
      <c r="R59" s="109">
        <v>0</v>
      </c>
      <c r="S59" s="109">
        <v>0</v>
      </c>
      <c r="T59" s="109">
        <f t="shared" si="10"/>
        <v>0</v>
      </c>
      <c r="U59" s="109">
        <v>0</v>
      </c>
      <c r="V59" s="111">
        <v>0</v>
      </c>
      <c r="W59" s="8">
        <v>0</v>
      </c>
      <c r="X59" s="8">
        <v>0</v>
      </c>
      <c r="Y59" s="8">
        <f t="shared" si="11"/>
        <v>200</v>
      </c>
      <c r="Z59" s="8">
        <v>200</v>
      </c>
      <c r="AA59" s="1">
        <v>0</v>
      </c>
      <c r="AB59" s="8">
        <v>0</v>
      </c>
      <c r="AC59" s="8">
        <v>0</v>
      </c>
      <c r="AD59" s="49">
        <f t="shared" si="14"/>
        <v>200</v>
      </c>
      <c r="AE59" s="53"/>
      <c r="AF59" s="43"/>
      <c r="AG59" s="2"/>
    </row>
    <row r="60" spans="1:33" s="44" customFormat="1" ht="47.25" hidden="1" outlineLevel="1">
      <c r="A60" s="40" t="s">
        <v>190</v>
      </c>
      <c r="B60" s="51" t="s">
        <v>139</v>
      </c>
      <c r="C60" s="2"/>
      <c r="D60" s="41"/>
      <c r="E60" s="8">
        <f t="shared" si="6"/>
        <v>0</v>
      </c>
      <c r="F60" s="8">
        <v>0</v>
      </c>
      <c r="G60" s="1">
        <v>0</v>
      </c>
      <c r="H60" s="8">
        <v>0</v>
      </c>
      <c r="I60" s="8">
        <v>0</v>
      </c>
      <c r="J60" s="8">
        <f t="shared" si="7"/>
        <v>0</v>
      </c>
      <c r="K60" s="110">
        <v>0</v>
      </c>
      <c r="L60" s="111">
        <v>0</v>
      </c>
      <c r="M60" s="110">
        <v>0</v>
      </c>
      <c r="N60" s="110">
        <v>0</v>
      </c>
      <c r="O60" s="110">
        <f t="shared" si="8"/>
        <v>0</v>
      </c>
      <c r="P60" s="109">
        <v>0</v>
      </c>
      <c r="Q60" s="135">
        <v>0</v>
      </c>
      <c r="R60" s="109">
        <v>0</v>
      </c>
      <c r="S60" s="109">
        <v>0</v>
      </c>
      <c r="T60" s="109">
        <f t="shared" si="10"/>
        <v>0</v>
      </c>
      <c r="U60" s="109">
        <v>0</v>
      </c>
      <c r="V60" s="111">
        <v>0</v>
      </c>
      <c r="W60" s="8">
        <v>0</v>
      </c>
      <c r="X60" s="8">
        <v>0</v>
      </c>
      <c r="Y60" s="8">
        <f t="shared" si="11"/>
        <v>700</v>
      </c>
      <c r="Z60" s="8">
        <v>700</v>
      </c>
      <c r="AA60" s="1">
        <v>0</v>
      </c>
      <c r="AB60" s="8">
        <v>0</v>
      </c>
      <c r="AC60" s="8">
        <v>0</v>
      </c>
      <c r="AD60" s="49">
        <f t="shared" si="14"/>
        <v>700</v>
      </c>
      <c r="AE60" s="53"/>
      <c r="AF60" s="43"/>
      <c r="AG60" s="2"/>
    </row>
    <row r="61" spans="1:33" s="44" customFormat="1" ht="31.5" hidden="1" outlineLevel="1">
      <c r="A61" s="40" t="s">
        <v>202</v>
      </c>
      <c r="B61" s="51" t="s">
        <v>140</v>
      </c>
      <c r="C61" s="2"/>
      <c r="D61" s="41"/>
      <c r="E61" s="8">
        <f t="shared" si="6"/>
        <v>0</v>
      </c>
      <c r="F61" s="8">
        <v>0</v>
      </c>
      <c r="G61" s="1">
        <v>0</v>
      </c>
      <c r="H61" s="8">
        <v>0</v>
      </c>
      <c r="I61" s="8">
        <v>0</v>
      </c>
      <c r="J61" s="8">
        <f t="shared" si="7"/>
        <v>0</v>
      </c>
      <c r="K61" s="110">
        <v>0</v>
      </c>
      <c r="L61" s="111">
        <v>0</v>
      </c>
      <c r="M61" s="110">
        <v>0</v>
      </c>
      <c r="N61" s="110">
        <v>0</v>
      </c>
      <c r="O61" s="110">
        <f t="shared" si="8"/>
        <v>0</v>
      </c>
      <c r="P61" s="109">
        <v>0</v>
      </c>
      <c r="Q61" s="135">
        <v>0</v>
      </c>
      <c r="R61" s="109">
        <v>0</v>
      </c>
      <c r="S61" s="109">
        <v>0</v>
      </c>
      <c r="T61" s="109">
        <f t="shared" si="10"/>
        <v>0</v>
      </c>
      <c r="U61" s="109">
        <v>0</v>
      </c>
      <c r="V61" s="111">
        <v>0</v>
      </c>
      <c r="W61" s="8">
        <v>0</v>
      </c>
      <c r="X61" s="8">
        <v>0</v>
      </c>
      <c r="Y61" s="8">
        <f t="shared" si="11"/>
        <v>0</v>
      </c>
      <c r="Z61" s="8">
        <v>0</v>
      </c>
      <c r="AA61" s="1">
        <v>0</v>
      </c>
      <c r="AB61" s="8">
        <v>0</v>
      </c>
      <c r="AC61" s="8">
        <v>0</v>
      </c>
      <c r="AD61" s="49">
        <f t="shared" si="14"/>
        <v>0</v>
      </c>
      <c r="AE61" s="53"/>
      <c r="AF61" s="43"/>
      <c r="AG61" s="2"/>
    </row>
    <row r="62" spans="1:33" s="44" customFormat="1" ht="31.5" hidden="1" outlineLevel="1">
      <c r="A62" s="40" t="s">
        <v>203</v>
      </c>
      <c r="B62" s="51" t="s">
        <v>158</v>
      </c>
      <c r="C62" s="2"/>
      <c r="D62" s="41"/>
      <c r="E62" s="8">
        <f t="shared" si="6"/>
        <v>0</v>
      </c>
      <c r="F62" s="8">
        <v>0</v>
      </c>
      <c r="G62" s="1">
        <v>0</v>
      </c>
      <c r="H62" s="8">
        <v>0</v>
      </c>
      <c r="I62" s="8">
        <v>0</v>
      </c>
      <c r="J62" s="8">
        <f t="shared" si="7"/>
        <v>0</v>
      </c>
      <c r="K62" s="110">
        <v>0</v>
      </c>
      <c r="L62" s="111">
        <v>0</v>
      </c>
      <c r="M62" s="110">
        <v>0</v>
      </c>
      <c r="N62" s="110">
        <v>0</v>
      </c>
      <c r="O62" s="110">
        <f t="shared" si="8"/>
        <v>0</v>
      </c>
      <c r="P62" s="109">
        <v>0</v>
      </c>
      <c r="Q62" s="135">
        <v>0</v>
      </c>
      <c r="R62" s="109">
        <v>0</v>
      </c>
      <c r="S62" s="109">
        <v>0</v>
      </c>
      <c r="T62" s="109">
        <f t="shared" si="10"/>
        <v>0</v>
      </c>
      <c r="U62" s="109">
        <v>0</v>
      </c>
      <c r="V62" s="111">
        <v>0</v>
      </c>
      <c r="W62" s="8">
        <v>0</v>
      </c>
      <c r="X62" s="8">
        <v>0</v>
      </c>
      <c r="Y62" s="8">
        <f t="shared" si="11"/>
        <v>0</v>
      </c>
      <c r="Z62" s="8">
        <v>0</v>
      </c>
      <c r="AA62" s="1">
        <v>0</v>
      </c>
      <c r="AB62" s="8">
        <v>0</v>
      </c>
      <c r="AC62" s="8">
        <v>0</v>
      </c>
      <c r="AD62" s="49">
        <f t="shared" si="14"/>
        <v>0</v>
      </c>
      <c r="AE62" s="53"/>
      <c r="AF62" s="43"/>
      <c r="AG62" s="2"/>
    </row>
    <row r="63" spans="1:33" s="44" customFormat="1" ht="35.25" customHeight="1" hidden="1" outlineLevel="1">
      <c r="A63" s="40" t="s">
        <v>204</v>
      </c>
      <c r="B63" s="51" t="s">
        <v>124</v>
      </c>
      <c r="C63" s="2"/>
      <c r="D63" s="41"/>
      <c r="E63" s="8">
        <f t="shared" si="6"/>
        <v>0</v>
      </c>
      <c r="F63" s="8">
        <v>0</v>
      </c>
      <c r="G63" s="1">
        <v>0</v>
      </c>
      <c r="H63" s="8">
        <v>0</v>
      </c>
      <c r="I63" s="8">
        <v>0</v>
      </c>
      <c r="J63" s="8">
        <f t="shared" si="7"/>
        <v>0</v>
      </c>
      <c r="K63" s="110">
        <v>0</v>
      </c>
      <c r="L63" s="111">
        <v>0</v>
      </c>
      <c r="M63" s="110">
        <v>0</v>
      </c>
      <c r="N63" s="110">
        <v>0</v>
      </c>
      <c r="O63" s="110">
        <f t="shared" si="8"/>
        <v>0</v>
      </c>
      <c r="P63" s="109">
        <v>0</v>
      </c>
      <c r="Q63" s="135">
        <v>0</v>
      </c>
      <c r="R63" s="109">
        <v>0</v>
      </c>
      <c r="S63" s="109">
        <v>0</v>
      </c>
      <c r="T63" s="109">
        <f t="shared" si="10"/>
        <v>0</v>
      </c>
      <c r="U63" s="109">
        <v>0</v>
      </c>
      <c r="V63" s="111">
        <v>0</v>
      </c>
      <c r="W63" s="8">
        <v>0</v>
      </c>
      <c r="X63" s="8">
        <v>0</v>
      </c>
      <c r="Y63" s="8">
        <f t="shared" si="11"/>
        <v>0</v>
      </c>
      <c r="Z63" s="8">
        <v>0</v>
      </c>
      <c r="AA63" s="1">
        <v>0</v>
      </c>
      <c r="AB63" s="8">
        <v>0</v>
      </c>
      <c r="AC63" s="8">
        <v>0</v>
      </c>
      <c r="AD63" s="49">
        <f t="shared" si="14"/>
        <v>0</v>
      </c>
      <c r="AE63" s="53"/>
      <c r="AF63" s="43"/>
      <c r="AG63" s="2"/>
    </row>
    <row r="64" spans="1:33" s="44" customFormat="1" ht="35.25" customHeight="1" hidden="1" outlineLevel="1">
      <c r="A64" s="40" t="s">
        <v>214</v>
      </c>
      <c r="B64" s="51" t="s">
        <v>141</v>
      </c>
      <c r="C64" s="2"/>
      <c r="D64" s="41"/>
      <c r="E64" s="8">
        <f t="shared" si="6"/>
        <v>0</v>
      </c>
      <c r="F64" s="8">
        <v>0</v>
      </c>
      <c r="G64" s="1">
        <v>0</v>
      </c>
      <c r="H64" s="8">
        <v>0</v>
      </c>
      <c r="I64" s="8">
        <v>0</v>
      </c>
      <c r="J64" s="8">
        <f t="shared" si="7"/>
        <v>0</v>
      </c>
      <c r="K64" s="110">
        <v>0</v>
      </c>
      <c r="L64" s="111">
        <v>0</v>
      </c>
      <c r="M64" s="110">
        <v>0</v>
      </c>
      <c r="N64" s="110">
        <v>0</v>
      </c>
      <c r="O64" s="110">
        <f t="shared" si="8"/>
        <v>0</v>
      </c>
      <c r="P64" s="109">
        <v>0</v>
      </c>
      <c r="Q64" s="135">
        <v>0</v>
      </c>
      <c r="R64" s="109">
        <v>0</v>
      </c>
      <c r="S64" s="109">
        <v>0</v>
      </c>
      <c r="T64" s="109">
        <f t="shared" si="10"/>
        <v>0</v>
      </c>
      <c r="U64" s="109">
        <v>0</v>
      </c>
      <c r="V64" s="111">
        <v>0</v>
      </c>
      <c r="W64" s="8">
        <v>0</v>
      </c>
      <c r="X64" s="8">
        <v>0</v>
      </c>
      <c r="Y64" s="8">
        <f t="shared" si="11"/>
        <v>500</v>
      </c>
      <c r="Z64" s="8">
        <v>500</v>
      </c>
      <c r="AA64" s="1">
        <v>0</v>
      </c>
      <c r="AB64" s="8">
        <v>0</v>
      </c>
      <c r="AC64" s="8">
        <v>0</v>
      </c>
      <c r="AD64" s="49">
        <f t="shared" si="14"/>
        <v>500</v>
      </c>
      <c r="AE64" s="53"/>
      <c r="AF64" s="43"/>
      <c r="AG64" s="2"/>
    </row>
    <row r="65" spans="1:33" s="44" customFormat="1" ht="31.5" hidden="1" outlineLevel="1">
      <c r="A65" s="40" t="s">
        <v>215</v>
      </c>
      <c r="B65" s="51" t="s">
        <v>110</v>
      </c>
      <c r="C65" s="2"/>
      <c r="D65" s="41"/>
      <c r="E65" s="8">
        <f t="shared" si="6"/>
        <v>0</v>
      </c>
      <c r="F65" s="8">
        <v>0</v>
      </c>
      <c r="G65" s="1">
        <v>0</v>
      </c>
      <c r="H65" s="8">
        <v>0</v>
      </c>
      <c r="I65" s="8">
        <v>0</v>
      </c>
      <c r="J65" s="8">
        <f t="shared" si="7"/>
        <v>0</v>
      </c>
      <c r="K65" s="110">
        <v>0</v>
      </c>
      <c r="L65" s="111">
        <v>0</v>
      </c>
      <c r="M65" s="110">
        <v>0</v>
      </c>
      <c r="N65" s="110">
        <v>0</v>
      </c>
      <c r="O65" s="110">
        <f t="shared" si="8"/>
        <v>0</v>
      </c>
      <c r="P65" s="109">
        <v>0</v>
      </c>
      <c r="Q65" s="135">
        <v>0</v>
      </c>
      <c r="R65" s="135">
        <v>0</v>
      </c>
      <c r="S65" s="135">
        <v>0</v>
      </c>
      <c r="T65" s="109">
        <f t="shared" si="10"/>
        <v>0</v>
      </c>
      <c r="U65" s="109">
        <v>0</v>
      </c>
      <c r="V65" s="111">
        <v>0</v>
      </c>
      <c r="W65" s="8">
        <v>0</v>
      </c>
      <c r="X65" s="8">
        <v>0</v>
      </c>
      <c r="Y65" s="8">
        <f t="shared" si="11"/>
        <v>1600</v>
      </c>
      <c r="Z65" s="8">
        <v>1600</v>
      </c>
      <c r="AA65" s="1">
        <v>0</v>
      </c>
      <c r="AB65" s="8">
        <v>0</v>
      </c>
      <c r="AC65" s="8">
        <v>0</v>
      </c>
      <c r="AD65" s="49">
        <f t="shared" si="14"/>
        <v>1600</v>
      </c>
      <c r="AE65" s="53"/>
      <c r="AF65" s="43"/>
      <c r="AG65" s="2"/>
    </row>
    <row r="66" spans="1:33" s="44" customFormat="1" ht="23.25" customHeight="1" hidden="1" outlineLevel="1">
      <c r="A66" s="40" t="s">
        <v>219</v>
      </c>
      <c r="B66" s="51" t="s">
        <v>220</v>
      </c>
      <c r="C66" s="2"/>
      <c r="D66" s="41"/>
      <c r="E66" s="8">
        <f t="shared" si="6"/>
        <v>0</v>
      </c>
      <c r="F66" s="8">
        <v>0</v>
      </c>
      <c r="G66" s="1">
        <v>0</v>
      </c>
      <c r="H66" s="8">
        <v>0</v>
      </c>
      <c r="I66" s="8">
        <v>0</v>
      </c>
      <c r="J66" s="8">
        <f t="shared" si="7"/>
        <v>358.2</v>
      </c>
      <c r="K66" s="126">
        <f>192+168-0.9-0.9</f>
        <v>358.2</v>
      </c>
      <c r="L66" s="111">
        <v>0</v>
      </c>
      <c r="M66" s="110">
        <v>0</v>
      </c>
      <c r="N66" s="110">
        <v>0</v>
      </c>
      <c r="O66" s="110">
        <f t="shared" si="8"/>
        <v>0</v>
      </c>
      <c r="P66" s="109">
        <v>0</v>
      </c>
      <c r="Q66" s="135">
        <v>0</v>
      </c>
      <c r="R66" s="135">
        <v>0</v>
      </c>
      <c r="S66" s="135">
        <v>0</v>
      </c>
      <c r="T66" s="109">
        <f t="shared" si="10"/>
        <v>0</v>
      </c>
      <c r="U66" s="109">
        <v>0</v>
      </c>
      <c r="V66" s="111">
        <v>0</v>
      </c>
      <c r="W66" s="8">
        <v>0</v>
      </c>
      <c r="X66" s="8">
        <v>0</v>
      </c>
      <c r="Y66" s="8">
        <f t="shared" si="11"/>
        <v>0</v>
      </c>
      <c r="Z66" s="8">
        <v>0</v>
      </c>
      <c r="AA66" s="1">
        <v>0</v>
      </c>
      <c r="AB66" s="8">
        <v>0</v>
      </c>
      <c r="AC66" s="8">
        <v>0</v>
      </c>
      <c r="AD66" s="49">
        <f t="shared" si="14"/>
        <v>358.2</v>
      </c>
      <c r="AE66" s="53"/>
      <c r="AF66" s="43"/>
      <c r="AG66" s="2"/>
    </row>
    <row r="67" spans="1:33" ht="72" customHeight="1" collapsed="1">
      <c r="A67" s="104" t="s">
        <v>70</v>
      </c>
      <c r="B67" s="103" t="s">
        <v>74</v>
      </c>
      <c r="C67" s="103" t="s">
        <v>9</v>
      </c>
      <c r="D67" s="105" t="s">
        <v>135</v>
      </c>
      <c r="E67" s="11">
        <f>SUM(E68:E78)</f>
        <v>4845.07</v>
      </c>
      <c r="F67" s="11">
        <f aca="true" t="shared" si="15" ref="F67:AC67">SUM(F68:F78)</f>
        <v>4660.5</v>
      </c>
      <c r="G67" s="11">
        <f t="shared" si="15"/>
        <v>184.57</v>
      </c>
      <c r="H67" s="11">
        <f t="shared" si="15"/>
        <v>0</v>
      </c>
      <c r="I67" s="11">
        <f t="shared" si="15"/>
        <v>0</v>
      </c>
      <c r="J67" s="11">
        <f t="shared" si="15"/>
        <v>5357</v>
      </c>
      <c r="K67" s="109">
        <f>SUM(K68:K78)</f>
        <v>5171</v>
      </c>
      <c r="L67" s="109">
        <f>SUM(L68:L78)</f>
        <v>186</v>
      </c>
      <c r="M67" s="109">
        <f t="shared" si="15"/>
        <v>0</v>
      </c>
      <c r="N67" s="109">
        <f t="shared" si="15"/>
        <v>0</v>
      </c>
      <c r="O67" s="109">
        <f t="shared" si="15"/>
        <v>5687</v>
      </c>
      <c r="P67" s="109">
        <f>SUM(P68:P78)</f>
        <v>5521</v>
      </c>
      <c r="Q67" s="109">
        <f>SUM(Q68:Q78)</f>
        <v>166</v>
      </c>
      <c r="R67" s="109">
        <f t="shared" si="15"/>
        <v>0</v>
      </c>
      <c r="S67" s="109">
        <f t="shared" si="15"/>
        <v>0</v>
      </c>
      <c r="T67" s="109">
        <f t="shared" si="15"/>
        <v>5687</v>
      </c>
      <c r="U67" s="109">
        <f t="shared" si="15"/>
        <v>5521</v>
      </c>
      <c r="V67" s="109">
        <f t="shared" si="15"/>
        <v>166</v>
      </c>
      <c r="W67" s="11">
        <f t="shared" si="15"/>
        <v>0</v>
      </c>
      <c r="X67" s="11">
        <f t="shared" si="15"/>
        <v>0</v>
      </c>
      <c r="Y67" s="11">
        <f t="shared" si="15"/>
        <v>5589</v>
      </c>
      <c r="Z67" s="11">
        <f t="shared" si="15"/>
        <v>5589</v>
      </c>
      <c r="AA67" s="11">
        <f t="shared" si="15"/>
        <v>0</v>
      </c>
      <c r="AB67" s="11">
        <f t="shared" si="15"/>
        <v>0</v>
      </c>
      <c r="AC67" s="11">
        <f t="shared" si="15"/>
        <v>0</v>
      </c>
      <c r="AD67" s="11">
        <f>SUM(AD68:AD78)</f>
        <v>27165.07</v>
      </c>
      <c r="AE67" s="45" t="s">
        <v>183</v>
      </c>
      <c r="AG67" s="96"/>
    </row>
    <row r="68" spans="1:33" s="44" customFormat="1" ht="27" customHeight="1" hidden="1" outlineLevel="1">
      <c r="A68" s="40" t="s">
        <v>71</v>
      </c>
      <c r="B68" s="2" t="s">
        <v>160</v>
      </c>
      <c r="C68" s="2"/>
      <c r="D68" s="41"/>
      <c r="E68" s="8">
        <f t="shared" si="6"/>
        <v>967</v>
      </c>
      <c r="F68" s="6">
        <v>955</v>
      </c>
      <c r="G68" s="1">
        <f>12</f>
        <v>12</v>
      </c>
      <c r="H68" s="8">
        <v>0</v>
      </c>
      <c r="I68" s="8">
        <v>0</v>
      </c>
      <c r="J68" s="8">
        <f t="shared" si="7"/>
        <v>967</v>
      </c>
      <c r="K68" s="6">
        <v>955</v>
      </c>
      <c r="L68" s="1">
        <v>12</v>
      </c>
      <c r="M68" s="8">
        <v>0</v>
      </c>
      <c r="N68" s="8">
        <v>0</v>
      </c>
      <c r="O68" s="8">
        <f t="shared" si="8"/>
        <v>955</v>
      </c>
      <c r="P68" s="138">
        <v>955</v>
      </c>
      <c r="Q68" s="12">
        <v>0</v>
      </c>
      <c r="R68" s="11">
        <v>0</v>
      </c>
      <c r="S68" s="11">
        <v>0</v>
      </c>
      <c r="T68" s="11">
        <f t="shared" si="10"/>
        <v>955</v>
      </c>
      <c r="U68" s="138">
        <v>955</v>
      </c>
      <c r="V68" s="1">
        <v>0</v>
      </c>
      <c r="W68" s="8">
        <v>0</v>
      </c>
      <c r="X68" s="8">
        <v>0</v>
      </c>
      <c r="Y68" s="8">
        <f t="shared" si="11"/>
        <v>960</v>
      </c>
      <c r="Z68" s="6">
        <v>960</v>
      </c>
      <c r="AA68" s="1">
        <v>0</v>
      </c>
      <c r="AB68" s="8">
        <v>0</v>
      </c>
      <c r="AC68" s="8">
        <v>0</v>
      </c>
      <c r="AD68" s="55">
        <f>Y68+T68+O68+J68+E68</f>
        <v>4804</v>
      </c>
      <c r="AE68" s="56"/>
      <c r="AF68" s="56"/>
      <c r="AG68" s="51"/>
    </row>
    <row r="69" spans="1:33" s="44" customFormat="1" ht="31.5" hidden="1" outlineLevel="1">
      <c r="A69" s="40" t="s">
        <v>72</v>
      </c>
      <c r="B69" s="2" t="s">
        <v>161</v>
      </c>
      <c r="C69" s="2"/>
      <c r="D69" s="41"/>
      <c r="E69" s="8">
        <f t="shared" si="6"/>
        <v>77.5</v>
      </c>
      <c r="F69" s="6">
        <f>71+6.5</f>
        <v>77.5</v>
      </c>
      <c r="G69" s="1">
        <v>0</v>
      </c>
      <c r="H69" s="8">
        <v>0</v>
      </c>
      <c r="I69" s="8">
        <v>0</v>
      </c>
      <c r="J69" s="8">
        <f t="shared" si="7"/>
        <v>81</v>
      </c>
      <c r="K69" s="126">
        <f>78+3</f>
        <v>81</v>
      </c>
      <c r="L69" s="1">
        <v>0</v>
      </c>
      <c r="M69" s="8">
        <v>0</v>
      </c>
      <c r="N69" s="8">
        <v>0</v>
      </c>
      <c r="O69" s="8">
        <f t="shared" si="8"/>
        <v>78</v>
      </c>
      <c r="P69" s="138">
        <v>78</v>
      </c>
      <c r="Q69" s="12">
        <v>0</v>
      </c>
      <c r="R69" s="11">
        <v>0</v>
      </c>
      <c r="S69" s="11">
        <v>0</v>
      </c>
      <c r="T69" s="11">
        <f t="shared" si="10"/>
        <v>78</v>
      </c>
      <c r="U69" s="138">
        <v>78</v>
      </c>
      <c r="V69" s="1">
        <v>0</v>
      </c>
      <c r="W69" s="8">
        <v>0</v>
      </c>
      <c r="X69" s="8">
        <v>0</v>
      </c>
      <c r="Y69" s="8">
        <f t="shared" si="11"/>
        <v>75</v>
      </c>
      <c r="Z69" s="6">
        <v>75</v>
      </c>
      <c r="AA69" s="1">
        <v>0</v>
      </c>
      <c r="AB69" s="8">
        <v>0</v>
      </c>
      <c r="AC69" s="8">
        <v>0</v>
      </c>
      <c r="AD69" s="55">
        <f aca="true" t="shared" si="16" ref="AD69:AD78">Y69+T69+O69+J69+E69</f>
        <v>389.5</v>
      </c>
      <c r="AE69" s="42"/>
      <c r="AF69" s="43"/>
      <c r="AG69" s="51"/>
    </row>
    <row r="70" spans="1:32" s="44" customFormat="1" ht="31.5" hidden="1" outlineLevel="1">
      <c r="A70" s="40" t="s">
        <v>205</v>
      </c>
      <c r="B70" s="2" t="s">
        <v>28</v>
      </c>
      <c r="C70" s="2"/>
      <c r="D70" s="41"/>
      <c r="E70" s="8">
        <f t="shared" si="6"/>
        <v>20</v>
      </c>
      <c r="F70" s="7">
        <v>20</v>
      </c>
      <c r="G70" s="1">
        <v>0</v>
      </c>
      <c r="H70" s="8">
        <v>0</v>
      </c>
      <c r="I70" s="8">
        <v>0</v>
      </c>
      <c r="J70" s="8">
        <f t="shared" si="7"/>
        <v>10</v>
      </c>
      <c r="K70" s="126">
        <v>10</v>
      </c>
      <c r="L70" s="1">
        <v>0</v>
      </c>
      <c r="M70" s="8">
        <v>0</v>
      </c>
      <c r="N70" s="8">
        <v>0</v>
      </c>
      <c r="O70" s="8">
        <f t="shared" si="8"/>
        <v>10</v>
      </c>
      <c r="P70" s="13">
        <v>10</v>
      </c>
      <c r="Q70" s="12">
        <v>0</v>
      </c>
      <c r="R70" s="11">
        <v>0</v>
      </c>
      <c r="S70" s="11">
        <v>0</v>
      </c>
      <c r="T70" s="11">
        <f t="shared" si="10"/>
        <v>10</v>
      </c>
      <c r="U70" s="13">
        <v>10</v>
      </c>
      <c r="V70" s="1">
        <v>0</v>
      </c>
      <c r="W70" s="8">
        <v>0</v>
      </c>
      <c r="X70" s="8">
        <v>0</v>
      </c>
      <c r="Y70" s="8">
        <f t="shared" si="11"/>
        <v>20</v>
      </c>
      <c r="Z70" s="7">
        <v>20</v>
      </c>
      <c r="AA70" s="1">
        <v>0</v>
      </c>
      <c r="AB70" s="8">
        <v>0</v>
      </c>
      <c r="AC70" s="8">
        <v>0</v>
      </c>
      <c r="AD70" s="55">
        <f t="shared" si="16"/>
        <v>70</v>
      </c>
      <c r="AE70" s="42"/>
      <c r="AF70" s="43"/>
    </row>
    <row r="71" spans="1:32" s="44" customFormat="1" ht="31.5" hidden="1" outlineLevel="1">
      <c r="A71" s="40" t="s">
        <v>206</v>
      </c>
      <c r="B71" s="2" t="s">
        <v>127</v>
      </c>
      <c r="D71" s="41"/>
      <c r="E71" s="8">
        <f t="shared" si="6"/>
        <v>377</v>
      </c>
      <c r="F71" s="6">
        <v>377</v>
      </c>
      <c r="G71" s="1">
        <v>0</v>
      </c>
      <c r="H71" s="8">
        <v>0</v>
      </c>
      <c r="I71" s="8">
        <v>0</v>
      </c>
      <c r="J71" s="8">
        <f t="shared" si="7"/>
        <v>412</v>
      </c>
      <c r="K71" s="126">
        <f>415-3</f>
        <v>412</v>
      </c>
      <c r="L71" s="1">
        <v>0</v>
      </c>
      <c r="M71" s="8">
        <v>0</v>
      </c>
      <c r="N71" s="8">
        <v>0</v>
      </c>
      <c r="O71" s="8">
        <f t="shared" si="8"/>
        <v>415</v>
      </c>
      <c r="P71" s="138">
        <v>415</v>
      </c>
      <c r="Q71" s="12">
        <v>0</v>
      </c>
      <c r="R71" s="11">
        <v>0</v>
      </c>
      <c r="S71" s="11">
        <v>0</v>
      </c>
      <c r="T71" s="11">
        <f t="shared" si="10"/>
        <v>415</v>
      </c>
      <c r="U71" s="138">
        <v>415</v>
      </c>
      <c r="V71" s="1">
        <v>0</v>
      </c>
      <c r="W71" s="8">
        <v>0</v>
      </c>
      <c r="X71" s="8">
        <v>0</v>
      </c>
      <c r="Y71" s="8">
        <f t="shared" si="11"/>
        <v>385</v>
      </c>
      <c r="Z71" s="6">
        <v>385</v>
      </c>
      <c r="AA71" s="1">
        <v>0</v>
      </c>
      <c r="AB71" s="8">
        <v>0</v>
      </c>
      <c r="AC71" s="8">
        <v>0</v>
      </c>
      <c r="AD71" s="55">
        <f t="shared" si="16"/>
        <v>2004</v>
      </c>
      <c r="AE71" s="42"/>
      <c r="AF71" s="43"/>
    </row>
    <row r="72" spans="1:32" s="44" customFormat="1" ht="27.75" customHeight="1" hidden="1" outlineLevel="1">
      <c r="A72" s="40" t="s">
        <v>73</v>
      </c>
      <c r="B72" s="2" t="s">
        <v>29</v>
      </c>
      <c r="C72" s="2"/>
      <c r="D72" s="41"/>
      <c r="E72" s="8">
        <f t="shared" si="6"/>
        <v>240</v>
      </c>
      <c r="F72" s="7">
        <v>240</v>
      </c>
      <c r="G72" s="1">
        <v>0</v>
      </c>
      <c r="H72" s="8">
        <v>0</v>
      </c>
      <c r="I72" s="8">
        <v>0</v>
      </c>
      <c r="J72" s="8">
        <f t="shared" si="7"/>
        <v>264</v>
      </c>
      <c r="K72" s="126">
        <v>264</v>
      </c>
      <c r="L72" s="1">
        <v>0</v>
      </c>
      <c r="M72" s="8">
        <v>0</v>
      </c>
      <c r="N72" s="8">
        <v>0</v>
      </c>
      <c r="O72" s="8">
        <f t="shared" si="8"/>
        <v>264</v>
      </c>
      <c r="P72" s="13">
        <v>264</v>
      </c>
      <c r="Q72" s="12">
        <v>0</v>
      </c>
      <c r="R72" s="11">
        <v>0</v>
      </c>
      <c r="S72" s="11">
        <v>0</v>
      </c>
      <c r="T72" s="11">
        <f t="shared" si="10"/>
        <v>264</v>
      </c>
      <c r="U72" s="13">
        <v>264</v>
      </c>
      <c r="V72" s="1">
        <v>0</v>
      </c>
      <c r="W72" s="8">
        <v>0</v>
      </c>
      <c r="X72" s="8">
        <v>0</v>
      </c>
      <c r="Y72" s="8">
        <f t="shared" si="11"/>
        <v>260</v>
      </c>
      <c r="Z72" s="7">
        <v>260</v>
      </c>
      <c r="AA72" s="1">
        <v>0</v>
      </c>
      <c r="AB72" s="8">
        <v>0</v>
      </c>
      <c r="AC72" s="8">
        <v>0</v>
      </c>
      <c r="AD72" s="55">
        <f t="shared" si="16"/>
        <v>1292</v>
      </c>
      <c r="AE72" s="42"/>
      <c r="AF72" s="43"/>
    </row>
    <row r="73" spans="1:32" s="44" customFormat="1" ht="32.25" customHeight="1" hidden="1" outlineLevel="1">
      <c r="A73" s="40" t="s">
        <v>207</v>
      </c>
      <c r="B73" s="2" t="s">
        <v>126</v>
      </c>
      <c r="C73" s="2"/>
      <c r="D73" s="41"/>
      <c r="E73" s="8">
        <f t="shared" si="6"/>
        <v>80</v>
      </c>
      <c r="F73" s="6">
        <v>80</v>
      </c>
      <c r="G73" s="1">
        <v>0</v>
      </c>
      <c r="H73" s="8">
        <v>0</v>
      </c>
      <c r="I73" s="8">
        <v>0</v>
      </c>
      <c r="J73" s="8">
        <f t="shared" si="7"/>
        <v>88</v>
      </c>
      <c r="K73" s="126">
        <v>88</v>
      </c>
      <c r="L73" s="1">
        <v>0</v>
      </c>
      <c r="M73" s="8">
        <v>0</v>
      </c>
      <c r="N73" s="8">
        <v>0</v>
      </c>
      <c r="O73" s="8">
        <f t="shared" si="8"/>
        <v>88</v>
      </c>
      <c r="P73" s="138">
        <v>88</v>
      </c>
      <c r="Q73" s="12">
        <v>0</v>
      </c>
      <c r="R73" s="11">
        <v>0</v>
      </c>
      <c r="S73" s="11">
        <v>0</v>
      </c>
      <c r="T73" s="11">
        <f t="shared" si="10"/>
        <v>88</v>
      </c>
      <c r="U73" s="138">
        <v>88</v>
      </c>
      <c r="V73" s="1">
        <v>0</v>
      </c>
      <c r="W73" s="8">
        <v>0</v>
      </c>
      <c r="X73" s="8">
        <v>0</v>
      </c>
      <c r="Y73" s="8">
        <f t="shared" si="11"/>
        <v>80</v>
      </c>
      <c r="Z73" s="6">
        <v>80</v>
      </c>
      <c r="AA73" s="1">
        <v>0</v>
      </c>
      <c r="AB73" s="8">
        <v>0</v>
      </c>
      <c r="AC73" s="8">
        <v>0</v>
      </c>
      <c r="AD73" s="55">
        <f t="shared" si="16"/>
        <v>424</v>
      </c>
      <c r="AE73" s="42"/>
      <c r="AF73" s="43"/>
    </row>
    <row r="74" spans="1:32" s="44" customFormat="1" ht="40.5" customHeight="1" hidden="1" outlineLevel="1">
      <c r="A74" s="40" t="s">
        <v>114</v>
      </c>
      <c r="B74" s="2" t="s">
        <v>27</v>
      </c>
      <c r="C74" s="2"/>
      <c r="D74" s="41"/>
      <c r="E74" s="8">
        <f t="shared" si="6"/>
        <v>0</v>
      </c>
      <c r="F74" s="7">
        <v>0</v>
      </c>
      <c r="G74" s="1">
        <v>0</v>
      </c>
      <c r="H74" s="8">
        <v>0</v>
      </c>
      <c r="I74" s="8">
        <v>0</v>
      </c>
      <c r="J74" s="8">
        <f t="shared" si="7"/>
        <v>3</v>
      </c>
      <c r="K74" s="126">
        <f>153-150</f>
        <v>3</v>
      </c>
      <c r="L74" s="1">
        <v>0</v>
      </c>
      <c r="M74" s="8">
        <v>0</v>
      </c>
      <c r="N74" s="8">
        <v>0</v>
      </c>
      <c r="O74" s="8">
        <f t="shared" si="8"/>
        <v>153</v>
      </c>
      <c r="P74" s="13">
        <v>153</v>
      </c>
      <c r="Q74" s="12">
        <v>0</v>
      </c>
      <c r="R74" s="11">
        <v>0</v>
      </c>
      <c r="S74" s="11">
        <v>0</v>
      </c>
      <c r="T74" s="11">
        <f t="shared" si="10"/>
        <v>153</v>
      </c>
      <c r="U74" s="13">
        <v>153</v>
      </c>
      <c r="V74" s="1">
        <v>0</v>
      </c>
      <c r="W74" s="8">
        <v>0</v>
      </c>
      <c r="X74" s="8">
        <v>0</v>
      </c>
      <c r="Y74" s="8">
        <f t="shared" si="11"/>
        <v>150</v>
      </c>
      <c r="Z74" s="7">
        <v>150</v>
      </c>
      <c r="AA74" s="1">
        <v>0</v>
      </c>
      <c r="AB74" s="8">
        <v>0</v>
      </c>
      <c r="AC74" s="8">
        <v>0</v>
      </c>
      <c r="AD74" s="55">
        <f t="shared" si="16"/>
        <v>459</v>
      </c>
      <c r="AE74" s="42"/>
      <c r="AF74" s="43"/>
    </row>
    <row r="75" spans="1:32" s="44" customFormat="1" ht="94.5" hidden="1" outlineLevel="1">
      <c r="A75" s="40" t="s">
        <v>115</v>
      </c>
      <c r="B75" s="2" t="s">
        <v>142</v>
      </c>
      <c r="C75" s="2"/>
      <c r="D75" s="41"/>
      <c r="E75" s="99">
        <f t="shared" si="6"/>
        <v>2873.573</v>
      </c>
      <c r="F75" s="106">
        <f>3101+10-300-110</f>
        <v>2701</v>
      </c>
      <c r="G75" s="98">
        <f>15.043+7.53+149+1</f>
        <v>172.573</v>
      </c>
      <c r="H75" s="8">
        <v>0</v>
      </c>
      <c r="I75" s="8">
        <v>0</v>
      </c>
      <c r="J75" s="8">
        <f t="shared" si="7"/>
        <v>3174</v>
      </c>
      <c r="K75" s="126">
        <f>3100-100</f>
        <v>3000</v>
      </c>
      <c r="L75" s="114">
        <f>7.63+149.95+16</f>
        <v>174</v>
      </c>
      <c r="M75" s="8">
        <v>0</v>
      </c>
      <c r="N75" s="8">
        <v>0</v>
      </c>
      <c r="O75" s="8">
        <f t="shared" si="8"/>
        <v>3266</v>
      </c>
      <c r="P75" s="13">
        <v>3100</v>
      </c>
      <c r="Q75" s="139">
        <f>149.95+16</f>
        <v>166</v>
      </c>
      <c r="R75" s="11">
        <v>0</v>
      </c>
      <c r="S75" s="11">
        <v>0</v>
      </c>
      <c r="T75" s="11">
        <f t="shared" si="10"/>
        <v>3266</v>
      </c>
      <c r="U75" s="13">
        <v>3100</v>
      </c>
      <c r="V75" s="115">
        <f>149.95+16</f>
        <v>166</v>
      </c>
      <c r="W75" s="8">
        <v>0</v>
      </c>
      <c r="X75" s="8">
        <v>0</v>
      </c>
      <c r="Y75" s="8">
        <f t="shared" si="11"/>
        <v>3185</v>
      </c>
      <c r="Z75" s="7">
        <v>3185</v>
      </c>
      <c r="AA75" s="1">
        <v>0</v>
      </c>
      <c r="AB75" s="8">
        <v>0</v>
      </c>
      <c r="AC75" s="8">
        <v>0</v>
      </c>
      <c r="AD75" s="55">
        <f>Y75+T75+O75+J75+E75</f>
        <v>15764.57</v>
      </c>
      <c r="AE75" s="42"/>
      <c r="AF75" s="43"/>
    </row>
    <row r="76" spans="1:32" s="44" customFormat="1" ht="38.25" customHeight="1" hidden="1" outlineLevel="1">
      <c r="A76" s="40" t="s">
        <v>116</v>
      </c>
      <c r="B76" s="2" t="s">
        <v>101</v>
      </c>
      <c r="C76" s="2"/>
      <c r="D76" s="41"/>
      <c r="E76" s="8">
        <f t="shared" si="6"/>
        <v>210</v>
      </c>
      <c r="F76" s="6">
        <f>350-140</f>
        <v>210</v>
      </c>
      <c r="G76" s="1">
        <v>0</v>
      </c>
      <c r="H76" s="8">
        <v>0</v>
      </c>
      <c r="I76" s="8">
        <v>0</v>
      </c>
      <c r="J76" s="8">
        <f t="shared" si="7"/>
        <v>350</v>
      </c>
      <c r="K76" s="126">
        <v>350</v>
      </c>
      <c r="L76" s="1">
        <v>0</v>
      </c>
      <c r="M76" s="8">
        <v>0</v>
      </c>
      <c r="N76" s="8">
        <v>0</v>
      </c>
      <c r="O76" s="8">
        <f t="shared" si="8"/>
        <v>350</v>
      </c>
      <c r="P76" s="138">
        <v>350</v>
      </c>
      <c r="Q76" s="12">
        <v>0</v>
      </c>
      <c r="R76" s="11">
        <v>0</v>
      </c>
      <c r="S76" s="11">
        <v>0</v>
      </c>
      <c r="T76" s="11">
        <f t="shared" si="10"/>
        <v>350</v>
      </c>
      <c r="U76" s="138">
        <v>350</v>
      </c>
      <c r="V76" s="1">
        <v>0</v>
      </c>
      <c r="W76" s="8">
        <v>0</v>
      </c>
      <c r="X76" s="8">
        <v>0</v>
      </c>
      <c r="Y76" s="8">
        <f t="shared" si="11"/>
        <v>350</v>
      </c>
      <c r="Z76" s="6">
        <v>350</v>
      </c>
      <c r="AA76" s="1">
        <v>0</v>
      </c>
      <c r="AB76" s="8">
        <v>0</v>
      </c>
      <c r="AC76" s="8">
        <v>0</v>
      </c>
      <c r="AD76" s="55">
        <f t="shared" si="16"/>
        <v>1610</v>
      </c>
      <c r="AE76" s="56"/>
      <c r="AF76" s="56"/>
    </row>
    <row r="77" spans="1:32" s="44" customFormat="1" ht="40.5" customHeight="1" hidden="1" outlineLevel="1">
      <c r="A77" s="40" t="s">
        <v>117</v>
      </c>
      <c r="B77" s="127" t="s">
        <v>229</v>
      </c>
      <c r="C77" s="2"/>
      <c r="D77" s="41"/>
      <c r="E77" s="8">
        <f t="shared" si="6"/>
        <v>0</v>
      </c>
      <c r="F77" s="6">
        <v>0</v>
      </c>
      <c r="G77" s="1">
        <v>0</v>
      </c>
      <c r="H77" s="8">
        <v>0</v>
      </c>
      <c r="I77" s="8">
        <v>0</v>
      </c>
      <c r="J77" s="8">
        <f t="shared" si="7"/>
        <v>0</v>
      </c>
      <c r="K77" s="126">
        <v>0</v>
      </c>
      <c r="L77" s="1">
        <v>0</v>
      </c>
      <c r="M77" s="8">
        <v>0</v>
      </c>
      <c r="N77" s="8">
        <v>0</v>
      </c>
      <c r="O77" s="8">
        <f t="shared" si="8"/>
        <v>0</v>
      </c>
      <c r="P77" s="138">
        <v>0</v>
      </c>
      <c r="Q77" s="12">
        <v>0</v>
      </c>
      <c r="R77" s="11">
        <v>0</v>
      </c>
      <c r="S77" s="11">
        <v>0</v>
      </c>
      <c r="T77" s="11">
        <f t="shared" si="10"/>
        <v>0</v>
      </c>
      <c r="U77" s="138">
        <v>0</v>
      </c>
      <c r="V77" s="1">
        <v>0</v>
      </c>
      <c r="W77" s="8">
        <v>0</v>
      </c>
      <c r="X77" s="8">
        <v>0</v>
      </c>
      <c r="Y77" s="8">
        <f t="shared" si="11"/>
        <v>14</v>
      </c>
      <c r="Z77" s="6">
        <v>14</v>
      </c>
      <c r="AA77" s="1">
        <v>0</v>
      </c>
      <c r="AB77" s="8">
        <v>0</v>
      </c>
      <c r="AC77" s="8">
        <v>0</v>
      </c>
      <c r="AD77" s="55">
        <f t="shared" si="16"/>
        <v>14</v>
      </c>
      <c r="AE77" s="42"/>
      <c r="AF77" s="42"/>
    </row>
    <row r="78" spans="1:32" s="44" customFormat="1" ht="66" customHeight="1" hidden="1" outlineLevel="1">
      <c r="A78" s="40" t="s">
        <v>118</v>
      </c>
      <c r="B78" s="2" t="s">
        <v>122</v>
      </c>
      <c r="C78" s="2"/>
      <c r="D78" s="41"/>
      <c r="E78" s="8">
        <f t="shared" si="6"/>
        <v>0</v>
      </c>
      <c r="F78" s="6">
        <v>0</v>
      </c>
      <c r="G78" s="1">
        <v>0</v>
      </c>
      <c r="H78" s="8">
        <v>0</v>
      </c>
      <c r="I78" s="8">
        <v>0</v>
      </c>
      <c r="J78" s="8">
        <f t="shared" si="7"/>
        <v>8</v>
      </c>
      <c r="K78" s="126">
        <f>108-100</f>
        <v>8</v>
      </c>
      <c r="L78" s="1">
        <v>0</v>
      </c>
      <c r="M78" s="8">
        <v>0</v>
      </c>
      <c r="N78" s="8">
        <v>0</v>
      </c>
      <c r="O78" s="8">
        <f t="shared" si="8"/>
        <v>108</v>
      </c>
      <c r="P78" s="138">
        <v>108</v>
      </c>
      <c r="Q78" s="12">
        <v>0</v>
      </c>
      <c r="R78" s="11">
        <v>0</v>
      </c>
      <c r="S78" s="11">
        <v>0</v>
      </c>
      <c r="T78" s="11">
        <f t="shared" si="10"/>
        <v>108</v>
      </c>
      <c r="U78" s="138">
        <v>108</v>
      </c>
      <c r="V78" s="1">
        <v>0</v>
      </c>
      <c r="W78" s="8">
        <v>0</v>
      </c>
      <c r="X78" s="8">
        <v>0</v>
      </c>
      <c r="Y78" s="8">
        <f t="shared" si="11"/>
        <v>110</v>
      </c>
      <c r="Z78" s="6">
        <v>110</v>
      </c>
      <c r="AA78" s="1">
        <v>0</v>
      </c>
      <c r="AB78" s="8">
        <v>0</v>
      </c>
      <c r="AC78" s="8">
        <v>0</v>
      </c>
      <c r="AD78" s="55">
        <f t="shared" si="16"/>
        <v>334</v>
      </c>
      <c r="AE78" s="42"/>
      <c r="AF78" s="42"/>
    </row>
    <row r="79" spans="1:31" ht="19.5" customHeight="1" collapsed="1">
      <c r="A79" s="158" t="s">
        <v>65</v>
      </c>
      <c r="B79" s="158"/>
      <c r="C79" s="158"/>
      <c r="D79" s="158"/>
      <c r="E79" s="46">
        <f>E67+E45+E25</f>
        <v>28595.57</v>
      </c>
      <c r="F79" s="46">
        <f aca="true" t="shared" si="17" ref="F79:AC79">F67+F45+F25</f>
        <v>27489.7</v>
      </c>
      <c r="G79" s="46">
        <f t="shared" si="17"/>
        <v>1105.87</v>
      </c>
      <c r="H79" s="46">
        <f t="shared" si="17"/>
        <v>0</v>
      </c>
      <c r="I79" s="46">
        <f t="shared" si="17"/>
        <v>0</v>
      </c>
      <c r="J79" s="46">
        <f t="shared" si="17"/>
        <v>33199.8</v>
      </c>
      <c r="K79" s="46">
        <f t="shared" si="17"/>
        <v>32712.97</v>
      </c>
      <c r="L79" s="46">
        <f t="shared" si="17"/>
        <v>486.83</v>
      </c>
      <c r="M79" s="46">
        <f t="shared" si="17"/>
        <v>0</v>
      </c>
      <c r="N79" s="46">
        <f t="shared" si="17"/>
        <v>0</v>
      </c>
      <c r="O79" s="46">
        <f t="shared" si="17"/>
        <v>26839.83</v>
      </c>
      <c r="P79" s="46">
        <f t="shared" si="17"/>
        <v>26384</v>
      </c>
      <c r="Q79" s="46">
        <f t="shared" si="17"/>
        <v>455.83</v>
      </c>
      <c r="R79" s="46">
        <f t="shared" si="17"/>
        <v>0</v>
      </c>
      <c r="S79" s="46">
        <f t="shared" si="17"/>
        <v>0</v>
      </c>
      <c r="T79" s="46">
        <f t="shared" si="17"/>
        <v>26839.83</v>
      </c>
      <c r="U79" s="46">
        <f t="shared" si="17"/>
        <v>26384</v>
      </c>
      <c r="V79" s="46">
        <f t="shared" si="17"/>
        <v>455.83</v>
      </c>
      <c r="W79" s="46">
        <f t="shared" si="17"/>
        <v>0</v>
      </c>
      <c r="X79" s="46">
        <f t="shared" si="17"/>
        <v>0</v>
      </c>
      <c r="Y79" s="46">
        <f t="shared" si="17"/>
        <v>35402.5</v>
      </c>
      <c r="Z79" s="46">
        <f t="shared" si="17"/>
        <v>35402.5</v>
      </c>
      <c r="AA79" s="46">
        <f t="shared" si="17"/>
        <v>0</v>
      </c>
      <c r="AB79" s="46">
        <f t="shared" si="17"/>
        <v>0</v>
      </c>
      <c r="AC79" s="46">
        <f t="shared" si="17"/>
        <v>0</v>
      </c>
      <c r="AD79" s="46">
        <f>AD67+AD45+AD25</f>
        <v>150877.53</v>
      </c>
      <c r="AE79" s="11">
        <f>E79+J79+O79+T79+Y79</f>
        <v>150877.53</v>
      </c>
    </row>
    <row r="80" spans="1:32" s="38" customFormat="1" ht="37.5" customHeight="1">
      <c r="A80" s="33" t="s">
        <v>66</v>
      </c>
      <c r="B80" s="101" t="s">
        <v>75</v>
      </c>
      <c r="C80" s="158" t="s">
        <v>83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47"/>
      <c r="AF80" s="18"/>
    </row>
    <row r="81" spans="1:31" ht="94.5" customHeight="1">
      <c r="A81" s="104" t="s">
        <v>14</v>
      </c>
      <c r="B81" s="103" t="s">
        <v>143</v>
      </c>
      <c r="C81" s="103" t="s">
        <v>9</v>
      </c>
      <c r="D81" s="105" t="s">
        <v>135</v>
      </c>
      <c r="E81" s="11">
        <f aca="true" t="shared" si="18" ref="E81:AC81">SUM(E82:E93)</f>
        <v>7213.15</v>
      </c>
      <c r="F81" s="11">
        <f t="shared" si="18"/>
        <v>7213.15</v>
      </c>
      <c r="G81" s="11">
        <f t="shared" si="18"/>
        <v>0</v>
      </c>
      <c r="H81" s="11">
        <f t="shared" si="18"/>
        <v>0</v>
      </c>
      <c r="I81" s="11">
        <f t="shared" si="18"/>
        <v>0</v>
      </c>
      <c r="J81" s="11">
        <f t="shared" si="18"/>
        <v>7326</v>
      </c>
      <c r="K81" s="11">
        <f>SUM(K82:K93)</f>
        <v>7326</v>
      </c>
      <c r="L81" s="11">
        <f t="shared" si="18"/>
        <v>0</v>
      </c>
      <c r="M81" s="11">
        <f t="shared" si="18"/>
        <v>0</v>
      </c>
      <c r="N81" s="11">
        <f t="shared" si="18"/>
        <v>0</v>
      </c>
      <c r="O81" s="11">
        <f t="shared" si="18"/>
        <v>2001</v>
      </c>
      <c r="P81" s="11">
        <f>SUM(P82:P93)</f>
        <v>2001</v>
      </c>
      <c r="Q81" s="11">
        <f t="shared" si="18"/>
        <v>0</v>
      </c>
      <c r="R81" s="11">
        <f t="shared" si="18"/>
        <v>0</v>
      </c>
      <c r="S81" s="11">
        <f t="shared" si="18"/>
        <v>0</v>
      </c>
      <c r="T81" s="11">
        <f t="shared" si="18"/>
        <v>2001</v>
      </c>
      <c r="U81" s="11">
        <f t="shared" si="18"/>
        <v>2001</v>
      </c>
      <c r="V81" s="11">
        <f t="shared" si="18"/>
        <v>0</v>
      </c>
      <c r="W81" s="11">
        <f t="shared" si="18"/>
        <v>0</v>
      </c>
      <c r="X81" s="11">
        <f t="shared" si="18"/>
        <v>0</v>
      </c>
      <c r="Y81" s="11">
        <f t="shared" si="18"/>
        <v>6090</v>
      </c>
      <c r="Z81" s="11">
        <f t="shared" si="18"/>
        <v>6090</v>
      </c>
      <c r="AA81" s="11">
        <f t="shared" si="18"/>
        <v>0</v>
      </c>
      <c r="AB81" s="11">
        <f t="shared" si="18"/>
        <v>0</v>
      </c>
      <c r="AC81" s="11">
        <f t="shared" si="18"/>
        <v>0</v>
      </c>
      <c r="AD81" s="11">
        <f aca="true" t="shared" si="19" ref="AD81:AD86">Y81+T81+O81+J81+E81</f>
        <v>24631.15</v>
      </c>
      <c r="AE81" s="45" t="s">
        <v>184</v>
      </c>
    </row>
    <row r="82" spans="1:32" s="44" customFormat="1" ht="117" customHeight="1" hidden="1" outlineLevel="1">
      <c r="A82" s="40" t="s">
        <v>8</v>
      </c>
      <c r="B82" s="2" t="s">
        <v>144</v>
      </c>
      <c r="C82" s="2"/>
      <c r="D82" s="41"/>
      <c r="E82" s="8">
        <f aca="true" t="shared" si="20" ref="E82:E93">SUM(F82:I82)</f>
        <v>0</v>
      </c>
      <c r="F82" s="1">
        <v>0</v>
      </c>
      <c r="G82" s="8">
        <v>0</v>
      </c>
      <c r="H82" s="8">
        <v>0</v>
      </c>
      <c r="I82" s="8">
        <v>0</v>
      </c>
      <c r="J82" s="8">
        <f>SUM(K82:N82)</f>
        <v>1805</v>
      </c>
      <c r="K82" s="126">
        <f>2100-295</f>
        <v>1805</v>
      </c>
      <c r="L82" s="1">
        <v>0</v>
      </c>
      <c r="M82" s="1">
        <v>0</v>
      </c>
      <c r="N82" s="1">
        <v>0</v>
      </c>
      <c r="O82" s="8">
        <f>SUM(P82:S82)</f>
        <v>0</v>
      </c>
      <c r="P82" s="12">
        <v>0</v>
      </c>
      <c r="Q82" s="12">
        <v>0</v>
      </c>
      <c r="R82" s="12">
        <v>0</v>
      </c>
      <c r="S82" s="12">
        <v>0</v>
      </c>
      <c r="T82" s="11">
        <f aca="true" t="shared" si="21" ref="T82:T93">SUM(U82:X82)</f>
        <v>0</v>
      </c>
      <c r="U82" s="12">
        <v>0</v>
      </c>
      <c r="V82" s="1">
        <v>0</v>
      </c>
      <c r="W82" s="1">
        <v>0</v>
      </c>
      <c r="X82" s="1">
        <v>0</v>
      </c>
      <c r="Y82" s="8">
        <f aca="true" t="shared" si="22" ref="Y82:Y93">SUM(Z82:AC82)</f>
        <v>0</v>
      </c>
      <c r="Z82" s="1">
        <v>0</v>
      </c>
      <c r="AA82" s="1">
        <v>0</v>
      </c>
      <c r="AB82" s="1">
        <v>0</v>
      </c>
      <c r="AC82" s="1">
        <v>0</v>
      </c>
      <c r="AD82" s="49">
        <f t="shared" si="19"/>
        <v>1805</v>
      </c>
      <c r="AE82" s="42"/>
      <c r="AF82" s="43"/>
    </row>
    <row r="83" spans="1:32" s="44" customFormat="1" ht="60" customHeight="1" hidden="1" outlineLevel="1">
      <c r="A83" s="40" t="s">
        <v>76</v>
      </c>
      <c r="B83" s="2" t="s">
        <v>233</v>
      </c>
      <c r="C83" s="2"/>
      <c r="D83" s="41"/>
      <c r="E83" s="8">
        <f t="shared" si="20"/>
        <v>3431</v>
      </c>
      <c r="F83" s="1">
        <f>2938+493</f>
        <v>3431</v>
      </c>
      <c r="G83" s="8">
        <v>0</v>
      </c>
      <c r="H83" s="8">
        <v>0</v>
      </c>
      <c r="I83" s="8">
        <v>0</v>
      </c>
      <c r="J83" s="8">
        <f aca="true" t="shared" si="23" ref="J83:J93">SUM(K83:N83)</f>
        <v>222</v>
      </c>
      <c r="K83" s="126">
        <f>590+810+800-1959-19</f>
        <v>222</v>
      </c>
      <c r="L83" s="1">
        <v>0</v>
      </c>
      <c r="M83" s="1">
        <v>0</v>
      </c>
      <c r="N83" s="1">
        <v>0</v>
      </c>
      <c r="O83" s="8">
        <f aca="true" t="shared" si="24" ref="O83:O93">SUM(P83:S83)</f>
        <v>0</v>
      </c>
      <c r="P83" s="12">
        <v>0</v>
      </c>
      <c r="Q83" s="12">
        <v>0</v>
      </c>
      <c r="R83" s="12">
        <v>0</v>
      </c>
      <c r="S83" s="12">
        <v>0</v>
      </c>
      <c r="T83" s="11">
        <f t="shared" si="21"/>
        <v>0</v>
      </c>
      <c r="U83" s="12">
        <v>0</v>
      </c>
      <c r="V83" s="1">
        <v>0</v>
      </c>
      <c r="W83" s="1">
        <v>0</v>
      </c>
      <c r="X83" s="1">
        <v>0</v>
      </c>
      <c r="Y83" s="8">
        <f t="shared" si="22"/>
        <v>0</v>
      </c>
      <c r="Z83" s="1">
        <v>0</v>
      </c>
      <c r="AA83" s="1">
        <v>0</v>
      </c>
      <c r="AB83" s="1">
        <v>0</v>
      </c>
      <c r="AC83" s="1">
        <v>0</v>
      </c>
      <c r="AD83" s="49">
        <f t="shared" si="19"/>
        <v>3653</v>
      </c>
      <c r="AE83" s="42"/>
      <c r="AF83" s="43"/>
    </row>
    <row r="84" spans="1:32" s="44" customFormat="1" ht="79.5" customHeight="1" hidden="1" outlineLevel="1">
      <c r="A84" s="40" t="s">
        <v>77</v>
      </c>
      <c r="B84" s="2" t="s">
        <v>234</v>
      </c>
      <c r="C84" s="2"/>
      <c r="D84" s="41"/>
      <c r="E84" s="8">
        <f t="shared" si="20"/>
        <v>1088</v>
      </c>
      <c r="F84" s="1">
        <f>900+188</f>
        <v>1088</v>
      </c>
      <c r="G84" s="8">
        <v>0</v>
      </c>
      <c r="H84" s="8">
        <v>0</v>
      </c>
      <c r="I84" s="8">
        <v>0</v>
      </c>
      <c r="J84" s="8">
        <f>SUM(K84:N84)</f>
        <v>1959</v>
      </c>
      <c r="K84" s="126">
        <v>1959</v>
      </c>
      <c r="L84" s="1">
        <v>0</v>
      </c>
      <c r="M84" s="1">
        <v>0</v>
      </c>
      <c r="N84" s="1">
        <v>0</v>
      </c>
      <c r="O84" s="8">
        <f>SUM(P84:S84)</f>
        <v>0</v>
      </c>
      <c r="P84" s="12">
        <v>0</v>
      </c>
      <c r="Q84" s="12">
        <v>0</v>
      </c>
      <c r="R84" s="12">
        <v>0</v>
      </c>
      <c r="S84" s="12">
        <v>0</v>
      </c>
      <c r="T84" s="11">
        <f>SUM(U84:X84)</f>
        <v>0</v>
      </c>
      <c r="U84" s="12">
        <v>0</v>
      </c>
      <c r="V84" s="1">
        <v>0</v>
      </c>
      <c r="W84" s="1">
        <v>0</v>
      </c>
      <c r="X84" s="1">
        <v>0</v>
      </c>
      <c r="Y84" s="8">
        <f>SUM(Z84:AC84)</f>
        <v>0</v>
      </c>
      <c r="Z84" s="1">
        <v>0</v>
      </c>
      <c r="AA84" s="1">
        <v>0</v>
      </c>
      <c r="AB84" s="1">
        <v>0</v>
      </c>
      <c r="AC84" s="1">
        <v>0</v>
      </c>
      <c r="AD84" s="49">
        <f t="shared" si="19"/>
        <v>3047</v>
      </c>
      <c r="AE84" s="42"/>
      <c r="AF84" s="43"/>
    </row>
    <row r="85" spans="1:32" s="44" customFormat="1" ht="33.75" customHeight="1" hidden="1" outlineLevel="1">
      <c r="A85" s="40" t="s">
        <v>165</v>
      </c>
      <c r="B85" s="2" t="s">
        <v>168</v>
      </c>
      <c r="C85" s="2"/>
      <c r="D85" s="41"/>
      <c r="E85" s="8">
        <f t="shared" si="20"/>
        <v>490</v>
      </c>
      <c r="F85" s="1">
        <v>490</v>
      </c>
      <c r="G85" s="8">
        <v>0</v>
      </c>
      <c r="H85" s="8">
        <v>0</v>
      </c>
      <c r="I85" s="8">
        <v>0</v>
      </c>
      <c r="J85" s="8">
        <f t="shared" si="23"/>
        <v>0</v>
      </c>
      <c r="K85" s="1">
        <v>0</v>
      </c>
      <c r="L85" s="1">
        <v>0</v>
      </c>
      <c r="M85" s="1">
        <v>0</v>
      </c>
      <c r="N85" s="1">
        <v>0</v>
      </c>
      <c r="O85" s="8">
        <f t="shared" si="24"/>
        <v>561</v>
      </c>
      <c r="P85" s="12">
        <v>561</v>
      </c>
      <c r="Q85" s="12">
        <v>0</v>
      </c>
      <c r="R85" s="12">
        <v>0</v>
      </c>
      <c r="S85" s="12">
        <v>0</v>
      </c>
      <c r="T85" s="11">
        <f t="shared" si="21"/>
        <v>561</v>
      </c>
      <c r="U85" s="12">
        <v>561</v>
      </c>
      <c r="V85" s="1">
        <v>0</v>
      </c>
      <c r="W85" s="1">
        <v>0</v>
      </c>
      <c r="X85" s="1">
        <v>0</v>
      </c>
      <c r="Y85" s="8">
        <f t="shared" si="22"/>
        <v>690</v>
      </c>
      <c r="Z85" s="1">
        <v>690</v>
      </c>
      <c r="AA85" s="1">
        <v>0</v>
      </c>
      <c r="AB85" s="1">
        <v>0</v>
      </c>
      <c r="AC85" s="1">
        <v>0</v>
      </c>
      <c r="AD85" s="49">
        <f t="shared" si="19"/>
        <v>2302</v>
      </c>
      <c r="AE85" s="42"/>
      <c r="AF85" s="43"/>
    </row>
    <row r="86" spans="1:32" s="44" customFormat="1" ht="100.5" customHeight="1" hidden="1" outlineLevel="1">
      <c r="A86" s="40" t="s">
        <v>15</v>
      </c>
      <c r="B86" s="2" t="s">
        <v>169</v>
      </c>
      <c r="C86" s="2"/>
      <c r="D86" s="41"/>
      <c r="E86" s="8">
        <f t="shared" si="20"/>
        <v>0</v>
      </c>
      <c r="F86" s="1">
        <v>0</v>
      </c>
      <c r="G86" s="8">
        <v>0</v>
      </c>
      <c r="H86" s="8">
        <v>0</v>
      </c>
      <c r="I86" s="8">
        <v>0</v>
      </c>
      <c r="J86" s="8">
        <f>SUM(K86:N86)</f>
        <v>0</v>
      </c>
      <c r="K86" s="1">
        <v>0</v>
      </c>
      <c r="L86" s="1">
        <v>0</v>
      </c>
      <c r="M86" s="1">
        <v>0</v>
      </c>
      <c r="N86" s="1">
        <v>0</v>
      </c>
      <c r="O86" s="8">
        <f t="shared" si="24"/>
        <v>0</v>
      </c>
      <c r="P86" s="12">
        <v>0</v>
      </c>
      <c r="Q86" s="12">
        <v>0</v>
      </c>
      <c r="R86" s="12">
        <v>0</v>
      </c>
      <c r="S86" s="12">
        <v>0</v>
      </c>
      <c r="T86" s="12">
        <f>U86</f>
        <v>0</v>
      </c>
      <c r="U86" s="12">
        <v>0</v>
      </c>
      <c r="V86" s="1">
        <v>0</v>
      </c>
      <c r="W86" s="1">
        <v>0</v>
      </c>
      <c r="X86" s="1">
        <v>0</v>
      </c>
      <c r="Y86" s="1">
        <f>Z86</f>
        <v>0</v>
      </c>
      <c r="Z86" s="1">
        <v>0</v>
      </c>
      <c r="AA86" s="1">
        <v>0</v>
      </c>
      <c r="AB86" s="1">
        <v>0</v>
      </c>
      <c r="AC86" s="1">
        <v>0</v>
      </c>
      <c r="AD86" s="49">
        <f t="shared" si="19"/>
        <v>0</v>
      </c>
      <c r="AE86" s="42"/>
      <c r="AF86" s="43"/>
    </row>
    <row r="87" spans="1:32" s="44" customFormat="1" ht="47.25" hidden="1" outlineLevel="1">
      <c r="A87" s="40" t="s">
        <v>103</v>
      </c>
      <c r="B87" s="2" t="s">
        <v>170</v>
      </c>
      <c r="C87" s="2"/>
      <c r="D87" s="41"/>
      <c r="E87" s="8">
        <f t="shared" si="20"/>
        <v>1817</v>
      </c>
      <c r="F87" s="8">
        <f>1850-33</f>
        <v>1817</v>
      </c>
      <c r="G87" s="8">
        <v>0</v>
      </c>
      <c r="H87" s="8">
        <v>0</v>
      </c>
      <c r="I87" s="8">
        <v>0</v>
      </c>
      <c r="J87" s="8">
        <f t="shared" si="23"/>
        <v>675</v>
      </c>
      <c r="K87" s="126">
        <f>850-175</f>
        <v>675</v>
      </c>
      <c r="L87" s="1">
        <v>0</v>
      </c>
      <c r="M87" s="1">
        <v>0</v>
      </c>
      <c r="N87" s="1">
        <v>0</v>
      </c>
      <c r="O87" s="8">
        <f t="shared" si="24"/>
        <v>850</v>
      </c>
      <c r="P87" s="11">
        <v>850</v>
      </c>
      <c r="Q87" s="12">
        <v>0</v>
      </c>
      <c r="R87" s="12">
        <v>0</v>
      </c>
      <c r="S87" s="12">
        <v>0</v>
      </c>
      <c r="T87" s="11">
        <f t="shared" si="21"/>
        <v>850</v>
      </c>
      <c r="U87" s="12">
        <v>850</v>
      </c>
      <c r="V87" s="1">
        <v>0</v>
      </c>
      <c r="W87" s="1">
        <v>0</v>
      </c>
      <c r="X87" s="1">
        <v>0</v>
      </c>
      <c r="Y87" s="8">
        <f t="shared" si="22"/>
        <v>950</v>
      </c>
      <c r="Z87" s="1">
        <v>950</v>
      </c>
      <c r="AA87" s="1">
        <v>0</v>
      </c>
      <c r="AB87" s="1">
        <v>0</v>
      </c>
      <c r="AC87" s="1">
        <v>0</v>
      </c>
      <c r="AD87" s="49">
        <f aca="true" t="shared" si="25" ref="AD87:AD99">Y87+T87+O87+J87+E87</f>
        <v>5142</v>
      </c>
      <c r="AE87" s="42"/>
      <c r="AF87" s="43"/>
    </row>
    <row r="88" spans="1:32" s="44" customFormat="1" ht="68.25" customHeight="1" hidden="1" outlineLevel="1">
      <c r="A88" s="40" t="s">
        <v>119</v>
      </c>
      <c r="B88" s="2" t="s">
        <v>145</v>
      </c>
      <c r="C88" s="2"/>
      <c r="D88" s="41"/>
      <c r="E88" s="8">
        <f t="shared" si="20"/>
        <v>0</v>
      </c>
      <c r="F88" s="1">
        <v>0</v>
      </c>
      <c r="G88" s="8">
        <v>0</v>
      </c>
      <c r="H88" s="8">
        <v>0</v>
      </c>
      <c r="I88" s="8">
        <v>0</v>
      </c>
      <c r="J88" s="8">
        <f t="shared" si="23"/>
        <v>865</v>
      </c>
      <c r="K88" s="126">
        <f>4500-810-20-800+175+295-2475</f>
        <v>865</v>
      </c>
      <c r="L88" s="1">
        <v>0</v>
      </c>
      <c r="M88" s="1">
        <v>0</v>
      </c>
      <c r="N88" s="1">
        <v>0</v>
      </c>
      <c r="O88" s="8">
        <f t="shared" si="24"/>
        <v>0</v>
      </c>
      <c r="P88" s="12">
        <v>0</v>
      </c>
      <c r="Q88" s="12">
        <v>0</v>
      </c>
      <c r="R88" s="12">
        <v>0</v>
      </c>
      <c r="S88" s="12">
        <v>0</v>
      </c>
      <c r="T88" s="11">
        <f t="shared" si="21"/>
        <v>0</v>
      </c>
      <c r="U88" s="12">
        <v>0</v>
      </c>
      <c r="V88" s="1">
        <v>0</v>
      </c>
      <c r="W88" s="1">
        <v>0</v>
      </c>
      <c r="X88" s="1">
        <v>0</v>
      </c>
      <c r="Y88" s="8">
        <f t="shared" si="22"/>
        <v>950</v>
      </c>
      <c r="Z88" s="1">
        <v>950</v>
      </c>
      <c r="AA88" s="1">
        <v>0</v>
      </c>
      <c r="AB88" s="1">
        <v>0</v>
      </c>
      <c r="AC88" s="1">
        <v>0</v>
      </c>
      <c r="AD88" s="49">
        <f t="shared" si="25"/>
        <v>1815</v>
      </c>
      <c r="AE88" s="42"/>
      <c r="AF88" s="43"/>
    </row>
    <row r="89" spans="1:32" s="44" customFormat="1" ht="52.5" customHeight="1" hidden="1" outlineLevel="1">
      <c r="A89" s="40" t="s">
        <v>166</v>
      </c>
      <c r="B89" s="127" t="s">
        <v>231</v>
      </c>
      <c r="C89" s="2"/>
      <c r="D89" s="41"/>
      <c r="E89" s="8">
        <f t="shared" si="20"/>
        <v>0</v>
      </c>
      <c r="F89" s="1">
        <v>0</v>
      </c>
      <c r="G89" s="8">
        <v>0</v>
      </c>
      <c r="H89" s="8">
        <v>0</v>
      </c>
      <c r="I89" s="8">
        <v>0</v>
      </c>
      <c r="J89" s="8">
        <f t="shared" si="23"/>
        <v>500</v>
      </c>
      <c r="K89" s="126">
        <f>349+131+20</f>
        <v>500</v>
      </c>
      <c r="L89" s="1">
        <v>0</v>
      </c>
      <c r="M89" s="1">
        <v>0</v>
      </c>
      <c r="N89" s="1">
        <v>0</v>
      </c>
      <c r="O89" s="8">
        <f t="shared" si="24"/>
        <v>590</v>
      </c>
      <c r="P89" s="12">
        <v>590</v>
      </c>
      <c r="Q89" s="12">
        <v>0</v>
      </c>
      <c r="R89" s="12">
        <v>0</v>
      </c>
      <c r="S89" s="12">
        <v>0</v>
      </c>
      <c r="T89" s="11">
        <f t="shared" si="21"/>
        <v>590</v>
      </c>
      <c r="U89" s="12">
        <v>590</v>
      </c>
      <c r="V89" s="1">
        <v>0</v>
      </c>
      <c r="W89" s="1">
        <v>0</v>
      </c>
      <c r="X89" s="1">
        <v>0</v>
      </c>
      <c r="Y89" s="8">
        <f t="shared" si="22"/>
        <v>0</v>
      </c>
      <c r="Z89" s="1">
        <v>0</v>
      </c>
      <c r="AA89" s="1">
        <v>0</v>
      </c>
      <c r="AB89" s="1">
        <v>0</v>
      </c>
      <c r="AC89" s="1">
        <v>0</v>
      </c>
      <c r="AD89" s="49">
        <f t="shared" si="25"/>
        <v>1680</v>
      </c>
      <c r="AE89" s="42"/>
      <c r="AF89" s="43"/>
    </row>
    <row r="90" spans="1:32" s="44" customFormat="1" ht="52.5" customHeight="1" hidden="1" outlineLevel="1">
      <c r="A90" s="40" t="s">
        <v>167</v>
      </c>
      <c r="B90" s="127" t="s">
        <v>230</v>
      </c>
      <c r="C90" s="2"/>
      <c r="D90" s="41"/>
      <c r="E90" s="8">
        <f t="shared" si="20"/>
        <v>0</v>
      </c>
      <c r="F90" s="1">
        <v>0</v>
      </c>
      <c r="G90" s="8">
        <v>0</v>
      </c>
      <c r="H90" s="8">
        <v>0</v>
      </c>
      <c r="I90" s="8">
        <v>0</v>
      </c>
      <c r="J90" s="8">
        <f t="shared" si="23"/>
        <v>81</v>
      </c>
      <c r="K90" s="126">
        <v>81</v>
      </c>
      <c r="L90" s="1">
        <v>0</v>
      </c>
      <c r="M90" s="1">
        <v>0</v>
      </c>
      <c r="N90" s="1">
        <v>0</v>
      </c>
      <c r="O90" s="8">
        <f t="shared" si="24"/>
        <v>0</v>
      </c>
      <c r="P90" s="12">
        <v>0</v>
      </c>
      <c r="Q90" s="12">
        <v>0</v>
      </c>
      <c r="R90" s="12">
        <v>0</v>
      </c>
      <c r="S90" s="12">
        <v>0</v>
      </c>
      <c r="T90" s="11">
        <f t="shared" si="21"/>
        <v>0</v>
      </c>
      <c r="U90" s="12">
        <v>0</v>
      </c>
      <c r="V90" s="1">
        <v>0</v>
      </c>
      <c r="W90" s="1">
        <v>0</v>
      </c>
      <c r="X90" s="1">
        <v>0</v>
      </c>
      <c r="Y90" s="8">
        <f t="shared" si="22"/>
        <v>0</v>
      </c>
      <c r="Z90" s="1">
        <v>0</v>
      </c>
      <c r="AA90" s="1">
        <v>0</v>
      </c>
      <c r="AB90" s="1">
        <v>0</v>
      </c>
      <c r="AC90" s="1">
        <v>0</v>
      </c>
      <c r="AD90" s="49">
        <f t="shared" si="25"/>
        <v>81</v>
      </c>
      <c r="AE90" s="42"/>
      <c r="AF90" s="43"/>
    </row>
    <row r="91" spans="1:32" s="44" customFormat="1" ht="95.25" customHeight="1" hidden="1" outlineLevel="1">
      <c r="A91" s="40" t="s">
        <v>173</v>
      </c>
      <c r="B91" s="2" t="s">
        <v>171</v>
      </c>
      <c r="C91" s="2"/>
      <c r="D91" s="41"/>
      <c r="E91" s="8">
        <f t="shared" si="20"/>
        <v>387.15</v>
      </c>
      <c r="F91" s="1">
        <f>390-2.85</f>
        <v>387.15</v>
      </c>
      <c r="G91" s="8">
        <v>0</v>
      </c>
      <c r="H91" s="8">
        <v>0</v>
      </c>
      <c r="I91" s="8">
        <v>0</v>
      </c>
      <c r="J91" s="8">
        <f>SUM(K91:N91)</f>
        <v>0</v>
      </c>
      <c r="K91" s="1">
        <v>0</v>
      </c>
      <c r="L91" s="1">
        <v>0</v>
      </c>
      <c r="M91" s="1">
        <v>0</v>
      </c>
      <c r="N91" s="1">
        <v>0</v>
      </c>
      <c r="O91" s="8">
        <f>SUM(P91:S91)</f>
        <v>0</v>
      </c>
      <c r="P91" s="12">
        <v>0</v>
      </c>
      <c r="Q91" s="12">
        <v>0</v>
      </c>
      <c r="R91" s="12">
        <v>0</v>
      </c>
      <c r="S91" s="12">
        <v>0</v>
      </c>
      <c r="T91" s="11">
        <f>SUM(U91:X91)</f>
        <v>0</v>
      </c>
      <c r="U91" s="12">
        <v>0</v>
      </c>
      <c r="V91" s="1">
        <v>0</v>
      </c>
      <c r="W91" s="1">
        <v>0</v>
      </c>
      <c r="X91" s="1">
        <v>0</v>
      </c>
      <c r="Y91" s="8">
        <f>SUM(Z91:AC91)</f>
        <v>0</v>
      </c>
      <c r="Z91" s="1">
        <v>0</v>
      </c>
      <c r="AA91" s="1">
        <v>0</v>
      </c>
      <c r="AB91" s="1">
        <v>0</v>
      </c>
      <c r="AC91" s="1">
        <v>0</v>
      </c>
      <c r="AD91" s="49">
        <f t="shared" si="25"/>
        <v>387.15</v>
      </c>
      <c r="AE91" s="42"/>
      <c r="AF91" s="43"/>
    </row>
    <row r="92" spans="1:32" s="44" customFormat="1" ht="99" customHeight="1" hidden="1" outlineLevel="1">
      <c r="A92" s="40" t="s">
        <v>208</v>
      </c>
      <c r="B92" s="2" t="s">
        <v>172</v>
      </c>
      <c r="C92" s="2"/>
      <c r="D92" s="41"/>
      <c r="E92" s="8">
        <f t="shared" si="20"/>
        <v>0</v>
      </c>
      <c r="F92" s="1">
        <v>0</v>
      </c>
      <c r="G92" s="8">
        <v>0</v>
      </c>
      <c r="H92" s="8">
        <v>0</v>
      </c>
      <c r="I92" s="8">
        <v>0</v>
      </c>
      <c r="J92" s="8">
        <f>SUM(K92:N92)</f>
        <v>1200</v>
      </c>
      <c r="K92" s="1">
        <v>1200</v>
      </c>
      <c r="L92" s="1">
        <v>0</v>
      </c>
      <c r="M92" s="1">
        <v>0</v>
      </c>
      <c r="N92" s="1">
        <v>0</v>
      </c>
      <c r="O92" s="8">
        <f>SUM(P92:S92)</f>
        <v>0</v>
      </c>
      <c r="P92" s="12">
        <v>0</v>
      </c>
      <c r="Q92" s="12">
        <v>0</v>
      </c>
      <c r="R92" s="12">
        <v>0</v>
      </c>
      <c r="S92" s="12">
        <v>0</v>
      </c>
      <c r="T92" s="11">
        <f>SUM(U92:X92)</f>
        <v>0</v>
      </c>
      <c r="U92" s="12">
        <v>0</v>
      </c>
      <c r="V92" s="1">
        <v>0</v>
      </c>
      <c r="W92" s="1">
        <v>0</v>
      </c>
      <c r="X92" s="1">
        <v>0</v>
      </c>
      <c r="Y92" s="8">
        <f>SUM(Z92:AC92)</f>
        <v>3500</v>
      </c>
      <c r="Z92" s="1">
        <v>3500</v>
      </c>
      <c r="AA92" s="1">
        <v>0</v>
      </c>
      <c r="AB92" s="1">
        <v>0</v>
      </c>
      <c r="AC92" s="1">
        <v>0</v>
      </c>
      <c r="AD92" s="49">
        <f t="shared" si="25"/>
        <v>4700</v>
      </c>
      <c r="AE92" s="42"/>
      <c r="AF92" s="43"/>
    </row>
    <row r="93" spans="1:32" s="44" customFormat="1" ht="126.75" customHeight="1" hidden="1" outlineLevel="1">
      <c r="A93" s="40" t="s">
        <v>235</v>
      </c>
      <c r="B93" s="127" t="s">
        <v>232</v>
      </c>
      <c r="C93" s="2"/>
      <c r="D93" s="41"/>
      <c r="E93" s="8">
        <f t="shared" si="20"/>
        <v>0</v>
      </c>
      <c r="F93" s="1">
        <v>0</v>
      </c>
      <c r="G93" s="8">
        <v>0</v>
      </c>
      <c r="H93" s="8">
        <v>0</v>
      </c>
      <c r="I93" s="8">
        <v>0</v>
      </c>
      <c r="J93" s="8">
        <f t="shared" si="23"/>
        <v>19</v>
      </c>
      <c r="K93" s="126">
        <v>19</v>
      </c>
      <c r="L93" s="1">
        <v>0</v>
      </c>
      <c r="M93" s="1">
        <v>0</v>
      </c>
      <c r="N93" s="1">
        <v>0</v>
      </c>
      <c r="O93" s="8">
        <f t="shared" si="24"/>
        <v>0</v>
      </c>
      <c r="P93" s="12">
        <v>0</v>
      </c>
      <c r="Q93" s="12">
        <v>0</v>
      </c>
      <c r="R93" s="12">
        <v>0</v>
      </c>
      <c r="S93" s="12">
        <v>0</v>
      </c>
      <c r="T93" s="11">
        <f t="shared" si="21"/>
        <v>0</v>
      </c>
      <c r="U93" s="12">
        <v>0</v>
      </c>
      <c r="V93" s="1">
        <v>0</v>
      </c>
      <c r="W93" s="1">
        <v>0</v>
      </c>
      <c r="X93" s="1">
        <v>0</v>
      </c>
      <c r="Y93" s="8">
        <f t="shared" si="22"/>
        <v>0</v>
      </c>
      <c r="Z93" s="1">
        <v>0</v>
      </c>
      <c r="AA93" s="1">
        <v>0</v>
      </c>
      <c r="AB93" s="1">
        <v>0</v>
      </c>
      <c r="AC93" s="1">
        <v>0</v>
      </c>
      <c r="AD93" s="49">
        <f t="shared" si="25"/>
        <v>19</v>
      </c>
      <c r="AE93" s="42"/>
      <c r="AF93" s="43"/>
    </row>
    <row r="94" spans="1:32" ht="38.25" customHeight="1" collapsed="1">
      <c r="A94" s="104" t="s">
        <v>16</v>
      </c>
      <c r="B94" s="103" t="s">
        <v>31</v>
      </c>
      <c r="C94" s="103" t="s">
        <v>9</v>
      </c>
      <c r="D94" s="105" t="s">
        <v>135</v>
      </c>
      <c r="E94" s="11">
        <f>SUM(F94:I94)</f>
        <v>1186.25</v>
      </c>
      <c r="F94" s="12">
        <f>1300-7.75-106</f>
        <v>1186.25</v>
      </c>
      <c r="G94" s="11">
        <v>0</v>
      </c>
      <c r="H94" s="11">
        <v>0</v>
      </c>
      <c r="I94" s="11">
        <v>0</v>
      </c>
      <c r="J94" s="12">
        <f aca="true" t="shared" si="26" ref="J94:J99">SUM(K94:N94)</f>
        <v>1347.7</v>
      </c>
      <c r="K94" s="128">
        <f>1450+82-42.1488-42.1488-100</f>
        <v>1347.7</v>
      </c>
      <c r="L94" s="12">
        <v>0</v>
      </c>
      <c r="M94" s="12">
        <v>0</v>
      </c>
      <c r="N94" s="12">
        <v>0</v>
      </c>
      <c r="O94" s="12">
        <f>SUM(P94:S94)</f>
        <v>1450</v>
      </c>
      <c r="P94" s="12">
        <v>1450</v>
      </c>
      <c r="Q94" s="12">
        <v>0</v>
      </c>
      <c r="R94" s="12">
        <v>0</v>
      </c>
      <c r="S94" s="12">
        <v>0</v>
      </c>
      <c r="T94" s="12">
        <f>SUM(U94:X94)</f>
        <v>1450</v>
      </c>
      <c r="U94" s="12">
        <v>1450</v>
      </c>
      <c r="V94" s="12">
        <v>0</v>
      </c>
      <c r="W94" s="12">
        <v>0</v>
      </c>
      <c r="X94" s="12">
        <v>0</v>
      </c>
      <c r="Y94" s="12">
        <f>SUM(Z94:AC94)</f>
        <v>1900</v>
      </c>
      <c r="Z94" s="12">
        <v>1900</v>
      </c>
      <c r="AA94" s="12">
        <v>0</v>
      </c>
      <c r="AB94" s="12">
        <v>0</v>
      </c>
      <c r="AC94" s="12">
        <v>0</v>
      </c>
      <c r="AD94" s="11">
        <f>Y94+T94+O94+J94+E94</f>
        <v>7333.95</v>
      </c>
      <c r="AE94" s="57" t="s">
        <v>185</v>
      </c>
      <c r="AF94" s="57"/>
    </row>
    <row r="95" spans="1:32" ht="87.75" customHeight="1">
      <c r="A95" s="104" t="s">
        <v>78</v>
      </c>
      <c r="B95" s="102" t="s">
        <v>146</v>
      </c>
      <c r="C95" s="103" t="s">
        <v>9</v>
      </c>
      <c r="D95" s="105" t="s">
        <v>135</v>
      </c>
      <c r="E95" s="12">
        <f>SUM(E96:E99)</f>
        <v>792</v>
      </c>
      <c r="F95" s="12">
        <f>SUM(F96:F99)</f>
        <v>792</v>
      </c>
      <c r="G95" s="12">
        <f>SUM(G96:G99)</f>
        <v>0</v>
      </c>
      <c r="H95" s="11">
        <v>0</v>
      </c>
      <c r="I95" s="11">
        <v>0</v>
      </c>
      <c r="J95" s="12">
        <f t="shared" si="26"/>
        <v>550</v>
      </c>
      <c r="K95" s="12">
        <f>SUM(K96:K99)</f>
        <v>550</v>
      </c>
      <c r="L95" s="12">
        <v>0</v>
      </c>
      <c r="M95" s="12">
        <v>0</v>
      </c>
      <c r="N95" s="12">
        <v>0</v>
      </c>
      <c r="O95" s="12">
        <f>SUM(P95:S95)</f>
        <v>0</v>
      </c>
      <c r="P95" s="12">
        <v>0</v>
      </c>
      <c r="Q95" s="12">
        <v>0</v>
      </c>
      <c r="R95" s="12">
        <v>0</v>
      </c>
      <c r="S95" s="12">
        <v>0</v>
      </c>
      <c r="T95" s="12">
        <f>SUM(U95:X95)</f>
        <v>0</v>
      </c>
      <c r="U95" s="12">
        <v>0</v>
      </c>
      <c r="V95" s="12">
        <v>0</v>
      </c>
      <c r="W95" s="12">
        <v>0</v>
      </c>
      <c r="X95" s="12">
        <v>0</v>
      </c>
      <c r="Y95" s="12">
        <f>SUM(Z95:AC95)</f>
        <v>790</v>
      </c>
      <c r="Z95" s="12">
        <v>790</v>
      </c>
      <c r="AA95" s="12">
        <v>0</v>
      </c>
      <c r="AB95" s="12">
        <v>0</v>
      </c>
      <c r="AC95" s="12">
        <v>0</v>
      </c>
      <c r="AD95" s="11">
        <f>Y95+T95+O95+J95+E95</f>
        <v>2132</v>
      </c>
      <c r="AE95" s="57" t="s">
        <v>186</v>
      </c>
      <c r="AF95" s="57"/>
    </row>
    <row r="96" spans="1:32" ht="58.5" customHeight="1" hidden="1" outlineLevel="1">
      <c r="A96" s="145" t="s">
        <v>210</v>
      </c>
      <c r="B96" s="147" t="s">
        <v>212</v>
      </c>
      <c r="C96" s="147" t="s">
        <v>9</v>
      </c>
      <c r="D96" s="143" t="s">
        <v>135</v>
      </c>
      <c r="E96" s="8">
        <f>SUM(F96:I96)</f>
        <v>35</v>
      </c>
      <c r="F96" s="1">
        <v>35</v>
      </c>
      <c r="G96" s="8">
        <v>0</v>
      </c>
      <c r="H96" s="8">
        <v>0</v>
      </c>
      <c r="I96" s="8">
        <v>0</v>
      </c>
      <c r="J96" s="8">
        <f t="shared" si="26"/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f t="shared" si="25"/>
        <v>35</v>
      </c>
      <c r="AE96" s="57"/>
      <c r="AF96" s="57"/>
    </row>
    <row r="97" spans="1:32" ht="58.5" customHeight="1" hidden="1" outlineLevel="1">
      <c r="A97" s="146"/>
      <c r="B97" s="148"/>
      <c r="C97" s="148"/>
      <c r="D97" s="144"/>
      <c r="E97" s="8">
        <f>SUM(F97:I97)</f>
        <v>536.3</v>
      </c>
      <c r="F97" s="1">
        <v>536.3</v>
      </c>
      <c r="G97" s="8">
        <v>0</v>
      </c>
      <c r="H97" s="8">
        <v>0</v>
      </c>
      <c r="I97" s="8">
        <v>0</v>
      </c>
      <c r="J97" s="8">
        <f t="shared" si="26"/>
        <v>550</v>
      </c>
      <c r="K97" s="8">
        <v>550</v>
      </c>
      <c r="L97" s="8">
        <v>0</v>
      </c>
      <c r="M97" s="8">
        <v>0</v>
      </c>
      <c r="N97" s="8">
        <v>0</v>
      </c>
      <c r="O97" s="8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8">
        <v>0</v>
      </c>
      <c r="W97" s="8">
        <v>0</v>
      </c>
      <c r="X97" s="8">
        <v>0</v>
      </c>
      <c r="Y97" s="8">
        <v>790</v>
      </c>
      <c r="Z97" s="8">
        <v>790</v>
      </c>
      <c r="AA97" s="8">
        <v>0</v>
      </c>
      <c r="AB97" s="8">
        <v>0</v>
      </c>
      <c r="AC97" s="8">
        <v>0</v>
      </c>
      <c r="AD97" s="8">
        <f t="shared" si="25"/>
        <v>1876.3</v>
      </c>
      <c r="AE97" s="57"/>
      <c r="AF97" s="57"/>
    </row>
    <row r="98" spans="1:32" ht="57.75" customHeight="1" hidden="1" outlineLevel="1">
      <c r="A98" s="145" t="s">
        <v>211</v>
      </c>
      <c r="B98" s="147" t="s">
        <v>213</v>
      </c>
      <c r="C98" s="147" t="s">
        <v>9</v>
      </c>
      <c r="D98" s="143" t="s">
        <v>135</v>
      </c>
      <c r="E98" s="8">
        <f>SUM(F98:I98)</f>
        <v>97</v>
      </c>
      <c r="F98" s="1">
        <v>97</v>
      </c>
      <c r="G98" s="8">
        <v>0</v>
      </c>
      <c r="H98" s="8">
        <v>0</v>
      </c>
      <c r="I98" s="8">
        <v>0</v>
      </c>
      <c r="J98" s="8">
        <f t="shared" si="26"/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f t="shared" si="25"/>
        <v>97</v>
      </c>
      <c r="AE98" s="57"/>
      <c r="AF98" s="57"/>
    </row>
    <row r="99" spans="1:32" ht="57.75" customHeight="1" hidden="1" outlineLevel="1">
      <c r="A99" s="146"/>
      <c r="B99" s="148"/>
      <c r="C99" s="148"/>
      <c r="D99" s="144"/>
      <c r="E99" s="8">
        <f>SUM(F99:I99)</f>
        <v>123.7</v>
      </c>
      <c r="F99" s="1">
        <v>123.7</v>
      </c>
      <c r="G99" s="8">
        <v>0</v>
      </c>
      <c r="H99" s="8">
        <v>0</v>
      </c>
      <c r="I99" s="8">
        <v>0</v>
      </c>
      <c r="J99" s="8">
        <f t="shared" si="26"/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f t="shared" si="25"/>
        <v>123.7</v>
      </c>
      <c r="AE99" s="57"/>
      <c r="AF99" s="57"/>
    </row>
    <row r="100" spans="1:31" ht="21" customHeight="1" collapsed="1">
      <c r="A100" s="158" t="s">
        <v>4</v>
      </c>
      <c r="B100" s="158"/>
      <c r="C100" s="158"/>
      <c r="D100" s="158"/>
      <c r="E100" s="46">
        <f aca="true" t="shared" si="27" ref="E100:AC100">E95+E94+E81</f>
        <v>9191.4</v>
      </c>
      <c r="F100" s="46">
        <f>F95+F94+F81</f>
        <v>9191.4</v>
      </c>
      <c r="G100" s="46">
        <f t="shared" si="27"/>
        <v>0</v>
      </c>
      <c r="H100" s="46">
        <f t="shared" si="27"/>
        <v>0</v>
      </c>
      <c r="I100" s="46">
        <f t="shared" si="27"/>
        <v>0</v>
      </c>
      <c r="J100" s="46">
        <f t="shared" si="27"/>
        <v>9223.7</v>
      </c>
      <c r="K100" s="129">
        <f>K95+K94+K81</f>
        <v>9223.7</v>
      </c>
      <c r="L100" s="46">
        <f t="shared" si="27"/>
        <v>0</v>
      </c>
      <c r="M100" s="46">
        <f t="shared" si="27"/>
        <v>0</v>
      </c>
      <c r="N100" s="46">
        <f t="shared" si="27"/>
        <v>0</v>
      </c>
      <c r="O100" s="46">
        <f t="shared" si="27"/>
        <v>3451</v>
      </c>
      <c r="P100" s="46">
        <f t="shared" si="27"/>
        <v>3451</v>
      </c>
      <c r="Q100" s="46">
        <f t="shared" si="27"/>
        <v>0</v>
      </c>
      <c r="R100" s="46">
        <f t="shared" si="27"/>
        <v>0</v>
      </c>
      <c r="S100" s="46">
        <f t="shared" si="27"/>
        <v>0</v>
      </c>
      <c r="T100" s="46">
        <f t="shared" si="27"/>
        <v>3451</v>
      </c>
      <c r="U100" s="46">
        <f>U95+U94+U81</f>
        <v>3451</v>
      </c>
      <c r="V100" s="46">
        <f t="shared" si="27"/>
        <v>0</v>
      </c>
      <c r="W100" s="46">
        <f t="shared" si="27"/>
        <v>0</v>
      </c>
      <c r="X100" s="46">
        <f t="shared" si="27"/>
        <v>0</v>
      </c>
      <c r="Y100" s="46">
        <f t="shared" si="27"/>
        <v>8780</v>
      </c>
      <c r="Z100" s="46">
        <f t="shared" si="27"/>
        <v>8780</v>
      </c>
      <c r="AA100" s="46">
        <f t="shared" si="27"/>
        <v>0</v>
      </c>
      <c r="AB100" s="46">
        <f t="shared" si="27"/>
        <v>0</v>
      </c>
      <c r="AC100" s="46">
        <f t="shared" si="27"/>
        <v>0</v>
      </c>
      <c r="AD100" s="97">
        <f>Y100+T100+O100+J100+E100</f>
        <v>34097.1</v>
      </c>
      <c r="AE100" s="11">
        <f>E100+J100+O100+T100+Y100</f>
        <v>34097.1</v>
      </c>
    </row>
    <row r="101" spans="1:30" ht="21.75" customHeight="1">
      <c r="A101" s="58">
        <v>4</v>
      </c>
      <c r="B101" s="93" t="s">
        <v>79</v>
      </c>
      <c r="C101" s="160" t="s">
        <v>33</v>
      </c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3"/>
    </row>
    <row r="102" spans="1:30" ht="143.25" customHeight="1">
      <c r="A102" s="91" t="s">
        <v>17</v>
      </c>
      <c r="B102" s="59" t="s">
        <v>34</v>
      </c>
      <c r="C102" s="94" t="s">
        <v>35</v>
      </c>
      <c r="D102" s="92" t="s">
        <v>135</v>
      </c>
      <c r="E102" s="9">
        <f>SUM(F102:I102)</f>
        <v>1910</v>
      </c>
      <c r="F102" s="9">
        <v>1910</v>
      </c>
      <c r="G102" s="9">
        <v>0</v>
      </c>
      <c r="H102" s="9">
        <v>0</v>
      </c>
      <c r="I102" s="9">
        <v>0</v>
      </c>
      <c r="J102" s="9">
        <f>SUM(K102:N102)</f>
        <v>1988</v>
      </c>
      <c r="K102" s="9">
        <v>1988</v>
      </c>
      <c r="L102" s="9">
        <v>0</v>
      </c>
      <c r="M102" s="9">
        <v>0</v>
      </c>
      <c r="N102" s="9">
        <v>0</v>
      </c>
      <c r="O102" s="9">
        <f>SUM(P102:S102)</f>
        <v>2066</v>
      </c>
      <c r="P102" s="9">
        <v>2066</v>
      </c>
      <c r="Q102" s="9">
        <v>0</v>
      </c>
      <c r="R102" s="9">
        <v>0</v>
      </c>
      <c r="S102" s="9">
        <v>0</v>
      </c>
      <c r="T102" s="9">
        <f>SUM(U102:X102)</f>
        <v>2149</v>
      </c>
      <c r="U102" s="9">
        <v>2149</v>
      </c>
      <c r="V102" s="9">
        <v>0</v>
      </c>
      <c r="W102" s="9">
        <v>0</v>
      </c>
      <c r="X102" s="9">
        <v>0</v>
      </c>
      <c r="Y102" s="9">
        <f>SUM(Z102:AC102)</f>
        <v>2238.6</v>
      </c>
      <c r="Z102" s="9">
        <v>2238.6</v>
      </c>
      <c r="AA102" s="9">
        <v>0</v>
      </c>
      <c r="AB102" s="9">
        <v>0</v>
      </c>
      <c r="AC102" s="9">
        <v>0</v>
      </c>
      <c r="AD102" s="11">
        <f>Y102+T102+O102+J102+E102</f>
        <v>10351.6</v>
      </c>
    </row>
    <row r="103" spans="1:30" ht="134.25" customHeight="1">
      <c r="A103" s="91" t="s">
        <v>162</v>
      </c>
      <c r="B103" s="94" t="s">
        <v>84</v>
      </c>
      <c r="C103" s="94" t="s">
        <v>35</v>
      </c>
      <c r="D103" s="92" t="s">
        <v>135</v>
      </c>
      <c r="E103" s="9">
        <f>SUM(F103:I103)</f>
        <v>34</v>
      </c>
      <c r="F103" s="9">
        <v>34</v>
      </c>
      <c r="G103" s="9">
        <v>0</v>
      </c>
      <c r="H103" s="9">
        <v>0</v>
      </c>
      <c r="I103" s="9">
        <v>0</v>
      </c>
      <c r="J103" s="9">
        <f>SUM(K103:N103)</f>
        <v>34</v>
      </c>
      <c r="K103" s="9">
        <v>34</v>
      </c>
      <c r="L103" s="9">
        <v>0</v>
      </c>
      <c r="M103" s="9">
        <v>0</v>
      </c>
      <c r="N103" s="9">
        <v>0</v>
      </c>
      <c r="O103" s="9">
        <f>SUM(P103:S103)</f>
        <v>35</v>
      </c>
      <c r="P103" s="9">
        <v>35</v>
      </c>
      <c r="Q103" s="9">
        <v>0</v>
      </c>
      <c r="R103" s="9">
        <v>0</v>
      </c>
      <c r="S103" s="9">
        <v>0</v>
      </c>
      <c r="T103" s="9">
        <f>SUM(U103:X103)</f>
        <v>35</v>
      </c>
      <c r="U103" s="9">
        <v>35</v>
      </c>
      <c r="V103" s="9">
        <v>0</v>
      </c>
      <c r="W103" s="9">
        <v>0</v>
      </c>
      <c r="X103" s="9">
        <v>0</v>
      </c>
      <c r="Y103" s="9">
        <f>SUM(Z103:AC103)</f>
        <v>40.2</v>
      </c>
      <c r="Z103" s="9">
        <v>40.2</v>
      </c>
      <c r="AA103" s="9">
        <v>0</v>
      </c>
      <c r="AB103" s="9">
        <v>0</v>
      </c>
      <c r="AC103" s="9">
        <v>0</v>
      </c>
      <c r="AD103" s="11">
        <f>Y103+T103+O103+J103+E103</f>
        <v>178.2</v>
      </c>
    </row>
    <row r="104" spans="1:31" ht="22.5" customHeight="1">
      <c r="A104" s="169" t="s">
        <v>67</v>
      </c>
      <c r="B104" s="169"/>
      <c r="C104" s="169"/>
      <c r="D104" s="169"/>
      <c r="E104" s="46">
        <f aca="true" t="shared" si="28" ref="E104:AC104">SUM(E102:E103)</f>
        <v>1944</v>
      </c>
      <c r="F104" s="46">
        <f t="shared" si="28"/>
        <v>1944</v>
      </c>
      <c r="G104" s="46">
        <f t="shared" si="28"/>
        <v>0</v>
      </c>
      <c r="H104" s="46">
        <f t="shared" si="28"/>
        <v>0</v>
      </c>
      <c r="I104" s="46">
        <f t="shared" si="28"/>
        <v>0</v>
      </c>
      <c r="J104" s="46">
        <f t="shared" si="28"/>
        <v>2022</v>
      </c>
      <c r="K104" s="46">
        <f t="shared" si="28"/>
        <v>2022</v>
      </c>
      <c r="L104" s="46">
        <f t="shared" si="28"/>
        <v>0</v>
      </c>
      <c r="M104" s="46">
        <f t="shared" si="28"/>
        <v>0</v>
      </c>
      <c r="N104" s="46">
        <f t="shared" si="28"/>
        <v>0</v>
      </c>
      <c r="O104" s="46">
        <f t="shared" si="28"/>
        <v>2101</v>
      </c>
      <c r="P104" s="46">
        <f t="shared" si="28"/>
        <v>2101</v>
      </c>
      <c r="Q104" s="46">
        <f t="shared" si="28"/>
        <v>0</v>
      </c>
      <c r="R104" s="46">
        <f t="shared" si="28"/>
        <v>0</v>
      </c>
      <c r="S104" s="46">
        <f t="shared" si="28"/>
        <v>0</v>
      </c>
      <c r="T104" s="46">
        <f t="shared" si="28"/>
        <v>2184</v>
      </c>
      <c r="U104" s="46">
        <f t="shared" si="28"/>
        <v>2184</v>
      </c>
      <c r="V104" s="46">
        <f t="shared" si="28"/>
        <v>0</v>
      </c>
      <c r="W104" s="46">
        <f t="shared" si="28"/>
        <v>0</v>
      </c>
      <c r="X104" s="46">
        <f t="shared" si="28"/>
        <v>0</v>
      </c>
      <c r="Y104" s="46">
        <f t="shared" si="28"/>
        <v>2278.8</v>
      </c>
      <c r="Z104" s="46">
        <f t="shared" si="28"/>
        <v>2278.8</v>
      </c>
      <c r="AA104" s="46">
        <f t="shared" si="28"/>
        <v>0</v>
      </c>
      <c r="AB104" s="46">
        <f t="shared" si="28"/>
        <v>0</v>
      </c>
      <c r="AC104" s="46">
        <f t="shared" si="28"/>
        <v>0</v>
      </c>
      <c r="AD104" s="46">
        <f>SUM(AD102:AD103)</f>
        <v>10529.8</v>
      </c>
      <c r="AE104" s="11">
        <f>E104+J104+O104+T104+Y104</f>
        <v>10529.8</v>
      </c>
    </row>
    <row r="105" spans="1:30" ht="21" customHeight="1">
      <c r="A105" s="58">
        <v>5</v>
      </c>
      <c r="B105" s="93" t="s">
        <v>68</v>
      </c>
      <c r="C105" s="170" t="s">
        <v>175</v>
      </c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</row>
    <row r="106" spans="1:30" ht="362.25" customHeight="1">
      <c r="A106" s="91" t="s">
        <v>18</v>
      </c>
      <c r="B106" s="59" t="s">
        <v>125</v>
      </c>
      <c r="C106" s="94" t="s">
        <v>30</v>
      </c>
      <c r="D106" s="92" t="s">
        <v>135</v>
      </c>
      <c r="E106" s="9">
        <f>SUM(F106:I106)</f>
        <v>237</v>
      </c>
      <c r="F106" s="9">
        <v>237</v>
      </c>
      <c r="G106" s="9">
        <v>0</v>
      </c>
      <c r="H106" s="9">
        <v>0</v>
      </c>
      <c r="I106" s="9">
        <v>0</v>
      </c>
      <c r="J106" s="9">
        <f>SUM(K106:N106)</f>
        <v>220</v>
      </c>
      <c r="K106" s="9">
        <v>220</v>
      </c>
      <c r="L106" s="9">
        <v>0</v>
      </c>
      <c r="M106" s="9">
        <v>0</v>
      </c>
      <c r="N106" s="9">
        <v>0</v>
      </c>
      <c r="O106" s="9">
        <f>SUM(P106:S106)</f>
        <v>220</v>
      </c>
      <c r="P106" s="9">
        <v>220</v>
      </c>
      <c r="Q106" s="9">
        <v>0</v>
      </c>
      <c r="R106" s="9">
        <v>0</v>
      </c>
      <c r="S106" s="9">
        <v>0</v>
      </c>
      <c r="T106" s="9">
        <f>SUM(U106:X106)</f>
        <v>220</v>
      </c>
      <c r="U106" s="9">
        <v>220</v>
      </c>
      <c r="V106" s="9">
        <v>0</v>
      </c>
      <c r="W106" s="9">
        <v>0</v>
      </c>
      <c r="X106" s="9">
        <v>0</v>
      </c>
      <c r="Y106" s="9">
        <f>SUM(Z106:AC106)</f>
        <v>260</v>
      </c>
      <c r="Z106" s="9">
        <v>260</v>
      </c>
      <c r="AA106" s="9">
        <v>0</v>
      </c>
      <c r="AB106" s="9">
        <v>0</v>
      </c>
      <c r="AC106" s="9">
        <v>0</v>
      </c>
      <c r="AD106" s="11">
        <f>Y106+T106+O106+J106+E106</f>
        <v>1157</v>
      </c>
    </row>
    <row r="107" spans="1:31" ht="21.75" customHeight="1">
      <c r="A107" s="169" t="s">
        <v>6</v>
      </c>
      <c r="B107" s="169"/>
      <c r="C107" s="169"/>
      <c r="D107" s="169"/>
      <c r="E107" s="46">
        <f>SUM(F107:I107)</f>
        <v>237</v>
      </c>
      <c r="F107" s="46">
        <f>F106</f>
        <v>237</v>
      </c>
      <c r="G107" s="46">
        <f>G106</f>
        <v>0</v>
      </c>
      <c r="H107" s="46">
        <f>H106</f>
        <v>0</v>
      </c>
      <c r="I107" s="46">
        <f>I106</f>
        <v>0</v>
      </c>
      <c r="J107" s="46">
        <f>SUM(K107:N107)</f>
        <v>220</v>
      </c>
      <c r="K107" s="46">
        <f>K106</f>
        <v>220</v>
      </c>
      <c r="L107" s="46">
        <f>L106</f>
        <v>0</v>
      </c>
      <c r="M107" s="46">
        <f>M106</f>
        <v>0</v>
      </c>
      <c r="N107" s="46">
        <f>N106</f>
        <v>0</v>
      </c>
      <c r="O107" s="46">
        <f>SUM(P107:S107)</f>
        <v>220</v>
      </c>
      <c r="P107" s="46">
        <f>P106</f>
        <v>220</v>
      </c>
      <c r="Q107" s="46">
        <f>Q106</f>
        <v>0</v>
      </c>
      <c r="R107" s="46">
        <f>R106</f>
        <v>0</v>
      </c>
      <c r="S107" s="46">
        <f>S106</f>
        <v>0</v>
      </c>
      <c r="T107" s="46">
        <f>SUM(U107:X107)</f>
        <v>220</v>
      </c>
      <c r="U107" s="46">
        <f>U106</f>
        <v>220</v>
      </c>
      <c r="V107" s="46">
        <f>V106</f>
        <v>0</v>
      </c>
      <c r="W107" s="46">
        <f>W106</f>
        <v>0</v>
      </c>
      <c r="X107" s="46">
        <f>X106</f>
        <v>0</v>
      </c>
      <c r="Y107" s="46">
        <f>SUM(Z107:AC107)</f>
        <v>260</v>
      </c>
      <c r="Z107" s="46">
        <f>Z106</f>
        <v>260</v>
      </c>
      <c r="AA107" s="46">
        <f>AA106</f>
        <v>0</v>
      </c>
      <c r="AB107" s="46">
        <f>AB106</f>
        <v>0</v>
      </c>
      <c r="AC107" s="46">
        <f>AC106</f>
        <v>0</v>
      </c>
      <c r="AD107" s="97">
        <f>Y107+T107+O107+J107+E107</f>
        <v>1157</v>
      </c>
      <c r="AE107" s="11">
        <f>E107+J107+O107+T107+Y107</f>
        <v>1157</v>
      </c>
    </row>
    <row r="108" spans="1:30" ht="21" customHeight="1">
      <c r="A108" s="58">
        <v>6</v>
      </c>
      <c r="B108" s="93" t="s">
        <v>22</v>
      </c>
      <c r="C108" s="170" t="s">
        <v>85</v>
      </c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</row>
    <row r="109" spans="1:30" ht="227.25" customHeight="1">
      <c r="A109" s="91" t="s">
        <v>7</v>
      </c>
      <c r="B109" s="59" t="s">
        <v>174</v>
      </c>
      <c r="C109" s="94" t="s">
        <v>30</v>
      </c>
      <c r="D109" s="92" t="s">
        <v>135</v>
      </c>
      <c r="E109" s="9">
        <f>SUM(F109:I109)</f>
        <v>202243</v>
      </c>
      <c r="F109" s="9">
        <f>199533+985+1275+450</f>
        <v>202243</v>
      </c>
      <c r="G109" s="9">
        <v>0</v>
      </c>
      <c r="H109" s="9">
        <v>0</v>
      </c>
      <c r="I109" s="9">
        <v>0</v>
      </c>
      <c r="J109" s="112">
        <f>SUM(K109:N109)</f>
        <v>214727</v>
      </c>
      <c r="K109" s="112">
        <f>208861+5787+79</f>
        <v>214727</v>
      </c>
      <c r="L109" s="9">
        <v>0</v>
      </c>
      <c r="M109" s="9">
        <v>0</v>
      </c>
      <c r="N109" s="9">
        <v>0</v>
      </c>
      <c r="O109" s="9">
        <f>SUM(P109:S109)</f>
        <v>207061</v>
      </c>
      <c r="P109" s="9">
        <v>207061</v>
      </c>
      <c r="Q109" s="9">
        <v>0</v>
      </c>
      <c r="R109" s="9">
        <v>0</v>
      </c>
      <c r="S109" s="9">
        <v>0</v>
      </c>
      <c r="T109" s="9">
        <f>SUM(U109:X109)</f>
        <v>207061</v>
      </c>
      <c r="U109" s="9">
        <v>207061</v>
      </c>
      <c r="V109" s="9">
        <v>0</v>
      </c>
      <c r="W109" s="9">
        <v>0</v>
      </c>
      <c r="X109" s="9">
        <v>0</v>
      </c>
      <c r="Y109" s="9">
        <f>SUM(Z109:AC109)</f>
        <v>224559.3</v>
      </c>
      <c r="Z109" s="9">
        <v>224559.3</v>
      </c>
      <c r="AA109" s="9">
        <v>0</v>
      </c>
      <c r="AB109" s="9">
        <v>0</v>
      </c>
      <c r="AC109" s="9">
        <v>0</v>
      </c>
      <c r="AD109" s="11">
        <f>Y109+T109+O109+J109+E109</f>
        <v>1055651.3</v>
      </c>
    </row>
    <row r="110" spans="1:32" ht="21.75" customHeight="1">
      <c r="A110" s="169" t="s">
        <v>23</v>
      </c>
      <c r="B110" s="169"/>
      <c r="C110" s="169"/>
      <c r="D110" s="169"/>
      <c r="E110" s="46">
        <f>E109</f>
        <v>202243</v>
      </c>
      <c r="F110" s="46">
        <f aca="true" t="shared" si="29" ref="F110:AC110">F109</f>
        <v>202243</v>
      </c>
      <c r="G110" s="46">
        <f t="shared" si="29"/>
        <v>0</v>
      </c>
      <c r="H110" s="46">
        <f t="shared" si="29"/>
        <v>0</v>
      </c>
      <c r="I110" s="46">
        <f t="shared" si="29"/>
        <v>0</v>
      </c>
      <c r="J110" s="46">
        <f t="shared" si="29"/>
        <v>214727</v>
      </c>
      <c r="K110" s="46">
        <f t="shared" si="29"/>
        <v>214727</v>
      </c>
      <c r="L110" s="46">
        <f t="shared" si="29"/>
        <v>0</v>
      </c>
      <c r="M110" s="46">
        <f t="shared" si="29"/>
        <v>0</v>
      </c>
      <c r="N110" s="46">
        <f t="shared" si="29"/>
        <v>0</v>
      </c>
      <c r="O110" s="46">
        <f t="shared" si="29"/>
        <v>207061</v>
      </c>
      <c r="P110" s="46">
        <f t="shared" si="29"/>
        <v>207061</v>
      </c>
      <c r="Q110" s="46">
        <f t="shared" si="29"/>
        <v>0</v>
      </c>
      <c r="R110" s="46">
        <f t="shared" si="29"/>
        <v>0</v>
      </c>
      <c r="S110" s="46">
        <f t="shared" si="29"/>
        <v>0</v>
      </c>
      <c r="T110" s="46">
        <f t="shared" si="29"/>
        <v>207061</v>
      </c>
      <c r="U110" s="46">
        <f t="shared" si="29"/>
        <v>207061</v>
      </c>
      <c r="V110" s="46">
        <f t="shared" si="29"/>
        <v>0</v>
      </c>
      <c r="W110" s="46">
        <f t="shared" si="29"/>
        <v>0</v>
      </c>
      <c r="X110" s="46">
        <f t="shared" si="29"/>
        <v>0</v>
      </c>
      <c r="Y110" s="46">
        <f t="shared" si="29"/>
        <v>224559.3</v>
      </c>
      <c r="Z110" s="46">
        <f t="shared" si="29"/>
        <v>224559.3</v>
      </c>
      <c r="AA110" s="46">
        <f t="shared" si="29"/>
        <v>0</v>
      </c>
      <c r="AB110" s="46">
        <f t="shared" si="29"/>
        <v>0</v>
      </c>
      <c r="AC110" s="46">
        <f t="shared" si="29"/>
        <v>0</v>
      </c>
      <c r="AD110" s="46">
        <f>AD109</f>
        <v>1055651.3</v>
      </c>
      <c r="AE110" s="11">
        <f>E110+J110+O110+T110+Y110</f>
        <v>1055651.3</v>
      </c>
      <c r="AF110" s="11"/>
    </row>
    <row r="111" spans="1:32" ht="29.25" customHeight="1">
      <c r="A111" s="95" t="s">
        <v>163</v>
      </c>
      <c r="B111" s="93" t="s">
        <v>24</v>
      </c>
      <c r="C111" s="172" t="s">
        <v>94</v>
      </c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46"/>
      <c r="V111" s="46"/>
      <c r="W111" s="46"/>
      <c r="X111" s="46"/>
      <c r="Y111" s="46"/>
      <c r="Z111" s="46"/>
      <c r="AA111" s="46"/>
      <c r="AB111" s="46"/>
      <c r="AC111" s="46"/>
      <c r="AD111" s="97"/>
      <c r="AE111" s="61"/>
      <c r="AF111" s="60"/>
    </row>
    <row r="112" spans="1:32" ht="169.5" customHeight="1">
      <c r="A112" s="62" t="s">
        <v>25</v>
      </c>
      <c r="B112" s="94" t="s">
        <v>95</v>
      </c>
      <c r="C112" s="94" t="s">
        <v>96</v>
      </c>
      <c r="D112" s="92" t="s">
        <v>135</v>
      </c>
      <c r="E112" s="9">
        <f>SUM(F112:I112)</f>
        <v>2410</v>
      </c>
      <c r="F112" s="13">
        <f>360+500+200+1350</f>
        <v>2410</v>
      </c>
      <c r="G112" s="13">
        <v>0</v>
      </c>
      <c r="H112" s="13">
        <v>0</v>
      </c>
      <c r="I112" s="13">
        <v>0</v>
      </c>
      <c r="J112" s="9">
        <f>SUM(K112:N112)</f>
        <v>15599</v>
      </c>
      <c r="K112" s="13">
        <f>2160+859+1404+100+539+10053-152+339+297</f>
        <v>15599</v>
      </c>
      <c r="L112" s="13">
        <v>0</v>
      </c>
      <c r="M112" s="13">
        <v>0</v>
      </c>
      <c r="N112" s="13">
        <v>0</v>
      </c>
      <c r="O112" s="9">
        <f>SUM(P112:S112)</f>
        <v>0</v>
      </c>
      <c r="P112" s="13">
        <v>0</v>
      </c>
      <c r="Q112" s="13">
        <v>0</v>
      </c>
      <c r="R112" s="13">
        <v>0</v>
      </c>
      <c r="S112" s="13">
        <v>0</v>
      </c>
      <c r="T112" s="9">
        <f>SUM(U112:X112)</f>
        <v>0</v>
      </c>
      <c r="U112" s="13">
        <v>0</v>
      </c>
      <c r="V112" s="13">
        <v>0</v>
      </c>
      <c r="W112" s="13">
        <v>0</v>
      </c>
      <c r="X112" s="13">
        <v>0</v>
      </c>
      <c r="Y112" s="9">
        <f>SUM(Z112:AC112)</f>
        <v>0</v>
      </c>
      <c r="Z112" s="13">
        <v>0</v>
      </c>
      <c r="AA112" s="13">
        <v>0</v>
      </c>
      <c r="AB112" s="13">
        <v>0</v>
      </c>
      <c r="AC112" s="13">
        <v>0</v>
      </c>
      <c r="AD112" s="11">
        <f>Y112+T112+O112+J112+E112</f>
        <v>18009</v>
      </c>
      <c r="AE112" s="61"/>
      <c r="AF112" s="60"/>
    </row>
    <row r="113" spans="1:32" ht="138.75" customHeight="1">
      <c r="A113" s="62" t="s">
        <v>164</v>
      </c>
      <c r="B113" s="94" t="s">
        <v>136</v>
      </c>
      <c r="C113" s="94" t="s">
        <v>96</v>
      </c>
      <c r="D113" s="92" t="s">
        <v>135</v>
      </c>
      <c r="E113" s="9">
        <f>SUM(F113:I113)</f>
        <v>0</v>
      </c>
      <c r="F113" s="13">
        <v>0</v>
      </c>
      <c r="G113" s="13">
        <v>0</v>
      </c>
      <c r="H113" s="13">
        <v>0</v>
      </c>
      <c r="I113" s="13">
        <v>0</v>
      </c>
      <c r="J113" s="9">
        <f>SUM(K113:N113)</f>
        <v>0</v>
      </c>
      <c r="K113" s="13">
        <v>0</v>
      </c>
      <c r="L113" s="13">
        <v>0</v>
      </c>
      <c r="M113" s="13">
        <v>0</v>
      </c>
      <c r="N113" s="13">
        <v>0</v>
      </c>
      <c r="O113" s="9">
        <f>SUM(P113:S113)</f>
        <v>0</v>
      </c>
      <c r="P113" s="13">
        <v>0</v>
      </c>
      <c r="Q113" s="13">
        <v>0</v>
      </c>
      <c r="R113" s="13">
        <v>0</v>
      </c>
      <c r="S113" s="13">
        <v>0</v>
      </c>
      <c r="T113" s="9">
        <f>SUM(U113:X113)</f>
        <v>0</v>
      </c>
      <c r="U113" s="13">
        <v>0</v>
      </c>
      <c r="V113" s="13">
        <v>0</v>
      </c>
      <c r="W113" s="13">
        <v>0</v>
      </c>
      <c r="X113" s="13">
        <v>0</v>
      </c>
      <c r="Y113" s="9">
        <f>SUM(Z113:AC113)</f>
        <v>0</v>
      </c>
      <c r="Z113" s="13">
        <v>0</v>
      </c>
      <c r="AA113" s="13">
        <v>0</v>
      </c>
      <c r="AB113" s="13">
        <v>0</v>
      </c>
      <c r="AC113" s="13">
        <v>0</v>
      </c>
      <c r="AD113" s="11">
        <f>Y113+T113+O113+J113+E113</f>
        <v>0</v>
      </c>
      <c r="AE113" s="61"/>
      <c r="AF113" s="60"/>
    </row>
    <row r="114" spans="1:32" ht="21.75" customHeight="1">
      <c r="A114" s="169" t="s">
        <v>26</v>
      </c>
      <c r="B114" s="169"/>
      <c r="C114" s="169"/>
      <c r="D114" s="169"/>
      <c r="E114" s="10">
        <f>SUM(E112:E113)</f>
        <v>2410</v>
      </c>
      <c r="F114" s="10">
        <f aca="true" t="shared" si="30" ref="F114:AC114">SUM(F112:F113)</f>
        <v>2410</v>
      </c>
      <c r="G114" s="10">
        <f t="shared" si="30"/>
        <v>0</v>
      </c>
      <c r="H114" s="10">
        <f t="shared" si="30"/>
        <v>0</v>
      </c>
      <c r="I114" s="10">
        <f t="shared" si="30"/>
        <v>0</v>
      </c>
      <c r="J114" s="10">
        <f t="shared" si="30"/>
        <v>15599</v>
      </c>
      <c r="K114" s="10">
        <f t="shared" si="30"/>
        <v>15599</v>
      </c>
      <c r="L114" s="10">
        <f t="shared" si="30"/>
        <v>0</v>
      </c>
      <c r="M114" s="10">
        <f t="shared" si="30"/>
        <v>0</v>
      </c>
      <c r="N114" s="10">
        <f t="shared" si="30"/>
        <v>0</v>
      </c>
      <c r="O114" s="10">
        <f t="shared" si="30"/>
        <v>0</v>
      </c>
      <c r="P114" s="10">
        <f t="shared" si="30"/>
        <v>0</v>
      </c>
      <c r="Q114" s="10">
        <f t="shared" si="30"/>
        <v>0</v>
      </c>
      <c r="R114" s="10">
        <f t="shared" si="30"/>
        <v>0</v>
      </c>
      <c r="S114" s="10">
        <f t="shared" si="30"/>
        <v>0</v>
      </c>
      <c r="T114" s="10">
        <f t="shared" si="30"/>
        <v>0</v>
      </c>
      <c r="U114" s="10">
        <f t="shared" si="30"/>
        <v>0</v>
      </c>
      <c r="V114" s="10">
        <f t="shared" si="30"/>
        <v>0</v>
      </c>
      <c r="W114" s="10">
        <f t="shared" si="30"/>
        <v>0</v>
      </c>
      <c r="X114" s="10">
        <f t="shared" si="30"/>
        <v>0</v>
      </c>
      <c r="Y114" s="10">
        <f t="shared" si="30"/>
        <v>0</v>
      </c>
      <c r="Z114" s="10">
        <f t="shared" si="30"/>
        <v>0</v>
      </c>
      <c r="AA114" s="10">
        <f t="shared" si="30"/>
        <v>0</v>
      </c>
      <c r="AB114" s="10">
        <f t="shared" si="30"/>
        <v>0</v>
      </c>
      <c r="AC114" s="10">
        <f t="shared" si="30"/>
        <v>0</v>
      </c>
      <c r="AD114" s="10">
        <f>SUM(AD112:AD113)</f>
        <v>18009</v>
      </c>
      <c r="AE114" s="97">
        <f>AD114</f>
        <v>18009</v>
      </c>
      <c r="AF114" s="118"/>
    </row>
    <row r="115" spans="1:34" ht="33" customHeight="1">
      <c r="A115" s="158" t="s">
        <v>81</v>
      </c>
      <c r="B115" s="158"/>
      <c r="C115" s="158"/>
      <c r="D115" s="158"/>
      <c r="E115" s="10">
        <f>E110+E107+E104+E100+E79+E23+E114</f>
        <v>244620.97</v>
      </c>
      <c r="F115" s="10">
        <f aca="true" t="shared" si="31" ref="F115:AC115">F110+F107+F104+F100+F79+F23+F114</f>
        <v>243515.1</v>
      </c>
      <c r="G115" s="10">
        <f t="shared" si="31"/>
        <v>1105.87</v>
      </c>
      <c r="H115" s="10">
        <f t="shared" si="31"/>
        <v>0</v>
      </c>
      <c r="I115" s="10">
        <f t="shared" si="31"/>
        <v>0</v>
      </c>
      <c r="J115" s="10">
        <f t="shared" si="31"/>
        <v>274991.5</v>
      </c>
      <c r="K115" s="10">
        <f t="shared" si="31"/>
        <v>274504.67</v>
      </c>
      <c r="L115" s="10">
        <f t="shared" si="31"/>
        <v>486.83</v>
      </c>
      <c r="M115" s="10">
        <f t="shared" si="31"/>
        <v>0</v>
      </c>
      <c r="N115" s="10">
        <f t="shared" si="31"/>
        <v>0</v>
      </c>
      <c r="O115" s="10">
        <f t="shared" si="31"/>
        <v>239672.83</v>
      </c>
      <c r="P115" s="10">
        <f t="shared" si="31"/>
        <v>239217</v>
      </c>
      <c r="Q115" s="10">
        <f t="shared" si="31"/>
        <v>455.83</v>
      </c>
      <c r="R115" s="10">
        <f t="shared" si="31"/>
        <v>0</v>
      </c>
      <c r="S115" s="10">
        <f t="shared" si="31"/>
        <v>0</v>
      </c>
      <c r="T115" s="10">
        <f>T110+T107+T104+T100+T79+T23+T114</f>
        <v>239755.83</v>
      </c>
      <c r="U115" s="10">
        <f t="shared" si="31"/>
        <v>239300</v>
      </c>
      <c r="V115" s="10">
        <f t="shared" si="31"/>
        <v>455.83</v>
      </c>
      <c r="W115" s="10">
        <f t="shared" si="31"/>
        <v>0</v>
      </c>
      <c r="X115" s="10">
        <f t="shared" si="31"/>
        <v>0</v>
      </c>
      <c r="Y115" s="10">
        <f t="shared" si="31"/>
        <v>271868.6</v>
      </c>
      <c r="Z115" s="10">
        <f t="shared" si="31"/>
        <v>271868.6</v>
      </c>
      <c r="AA115" s="10">
        <f t="shared" si="31"/>
        <v>0</v>
      </c>
      <c r="AB115" s="10">
        <f t="shared" si="31"/>
        <v>0</v>
      </c>
      <c r="AC115" s="10">
        <f t="shared" si="31"/>
        <v>0</v>
      </c>
      <c r="AD115" s="10">
        <f>AD110+AD107+AD104+AD100+AD79+AD23+AD114</f>
        <v>1270909.73</v>
      </c>
      <c r="AE115" s="11">
        <f>SUM(AE17:AE114)</f>
        <v>1270909.73</v>
      </c>
      <c r="AF115" s="133" t="s">
        <v>236</v>
      </c>
      <c r="AG115" s="134">
        <f>F115+K115+P115+U115+Z115</f>
        <v>1268405.37</v>
      </c>
      <c r="AH115" s="134">
        <f>G115+L115+Q115+V115+AA115</f>
        <v>2504.36</v>
      </c>
    </row>
    <row r="116" ht="15.75"/>
    <row r="117" spans="1:32" ht="15.75">
      <c r="A117" s="63"/>
      <c r="C117" s="64"/>
      <c r="D117" s="65"/>
      <c r="AE117" s="31"/>
      <c r="AF117" s="32"/>
    </row>
    <row r="118" spans="1:32" s="21" customFormat="1" ht="15.75">
      <c r="A118" s="66"/>
      <c r="B118" s="67"/>
      <c r="C118" s="68"/>
      <c r="D118" s="69"/>
      <c r="E118" s="67"/>
      <c r="F118" s="67"/>
      <c r="G118" s="67"/>
      <c r="H118" s="67"/>
      <c r="I118" s="67"/>
      <c r="J118" s="67"/>
      <c r="K118" s="121"/>
      <c r="L118" s="67"/>
      <c r="M118" s="67"/>
      <c r="N118" s="67"/>
      <c r="AD118" s="70"/>
      <c r="AF118" s="18"/>
    </row>
    <row r="119" spans="1:32" s="21" customFormat="1" ht="31.5">
      <c r="A119" s="66"/>
      <c r="C119" s="71"/>
      <c r="D119" s="72" t="s">
        <v>32</v>
      </c>
      <c r="E119" s="73">
        <f aca="true" t="shared" si="32" ref="E119:AC119">E109</f>
        <v>202243</v>
      </c>
      <c r="F119" s="74">
        <f t="shared" si="32"/>
        <v>202243</v>
      </c>
      <c r="G119" s="73">
        <f t="shared" si="32"/>
        <v>0</v>
      </c>
      <c r="H119" s="74">
        <f t="shared" si="32"/>
        <v>0</v>
      </c>
      <c r="I119" s="74">
        <f t="shared" si="32"/>
        <v>0</v>
      </c>
      <c r="J119" s="74">
        <f t="shared" si="32"/>
        <v>214727</v>
      </c>
      <c r="K119" s="122">
        <f t="shared" si="32"/>
        <v>214727</v>
      </c>
      <c r="L119" s="74">
        <f t="shared" si="32"/>
        <v>0</v>
      </c>
      <c r="M119" s="74">
        <f t="shared" si="32"/>
        <v>0</v>
      </c>
      <c r="N119" s="74">
        <f t="shared" si="32"/>
        <v>0</v>
      </c>
      <c r="O119" s="74">
        <f t="shared" si="32"/>
        <v>207061</v>
      </c>
      <c r="P119" s="74">
        <f t="shared" si="32"/>
        <v>207061</v>
      </c>
      <c r="Q119" s="74">
        <f t="shared" si="32"/>
        <v>0</v>
      </c>
      <c r="R119" s="74">
        <f t="shared" si="32"/>
        <v>0</v>
      </c>
      <c r="S119" s="74">
        <f t="shared" si="32"/>
        <v>0</v>
      </c>
      <c r="T119" s="74">
        <f t="shared" si="32"/>
        <v>207061</v>
      </c>
      <c r="U119" s="74">
        <f t="shared" si="32"/>
        <v>207061</v>
      </c>
      <c r="V119" s="74">
        <f t="shared" si="32"/>
        <v>0</v>
      </c>
      <c r="W119" s="74">
        <f t="shared" si="32"/>
        <v>0</v>
      </c>
      <c r="X119" s="74">
        <f t="shared" si="32"/>
        <v>0</v>
      </c>
      <c r="Y119" s="74">
        <f t="shared" si="32"/>
        <v>224559.3</v>
      </c>
      <c r="Z119" s="74">
        <f t="shared" si="32"/>
        <v>224559.3</v>
      </c>
      <c r="AA119" s="74">
        <f t="shared" si="32"/>
        <v>0</v>
      </c>
      <c r="AB119" s="74">
        <f t="shared" si="32"/>
        <v>0</v>
      </c>
      <c r="AC119" s="74">
        <f t="shared" si="32"/>
        <v>0</v>
      </c>
      <c r="AD119" s="75">
        <f aca="true" t="shared" si="33" ref="AD119:AD124">Y119+T119+O119+J119+E119</f>
        <v>1055651.3</v>
      </c>
      <c r="AE119" s="70"/>
      <c r="AF119" s="18"/>
    </row>
    <row r="120" spans="1:32" s="77" customFormat="1" ht="15.75">
      <c r="A120" s="76"/>
      <c r="D120" s="78" t="s">
        <v>9</v>
      </c>
      <c r="E120" s="79">
        <f aca="true" t="shared" si="34" ref="E120:AC120">E100+E79+E23</f>
        <v>37786.97</v>
      </c>
      <c r="F120" s="80">
        <f t="shared" si="34"/>
        <v>36681.1</v>
      </c>
      <c r="G120" s="79">
        <f t="shared" si="34"/>
        <v>1105.87</v>
      </c>
      <c r="H120" s="80">
        <f t="shared" si="34"/>
        <v>0</v>
      </c>
      <c r="I120" s="80">
        <f t="shared" si="34"/>
        <v>0</v>
      </c>
      <c r="J120" s="80">
        <f t="shared" si="34"/>
        <v>42423.5</v>
      </c>
      <c r="K120" s="123">
        <f t="shared" si="34"/>
        <v>41936.67</v>
      </c>
      <c r="L120" s="80">
        <f t="shared" si="34"/>
        <v>486.83</v>
      </c>
      <c r="M120" s="80">
        <f t="shared" si="34"/>
        <v>0</v>
      </c>
      <c r="N120" s="80">
        <f t="shared" si="34"/>
        <v>0</v>
      </c>
      <c r="O120" s="80">
        <f t="shared" si="34"/>
        <v>30290.83</v>
      </c>
      <c r="P120" s="80">
        <f t="shared" si="34"/>
        <v>29835</v>
      </c>
      <c r="Q120" s="80">
        <f t="shared" si="34"/>
        <v>455.83</v>
      </c>
      <c r="R120" s="80">
        <f t="shared" si="34"/>
        <v>0</v>
      </c>
      <c r="S120" s="80">
        <f t="shared" si="34"/>
        <v>0</v>
      </c>
      <c r="T120" s="80">
        <f t="shared" si="34"/>
        <v>30290.83</v>
      </c>
      <c r="U120" s="80">
        <f t="shared" si="34"/>
        <v>29835</v>
      </c>
      <c r="V120" s="80">
        <f t="shared" si="34"/>
        <v>455.83</v>
      </c>
      <c r="W120" s="80">
        <f t="shared" si="34"/>
        <v>0</v>
      </c>
      <c r="X120" s="80">
        <f t="shared" si="34"/>
        <v>0</v>
      </c>
      <c r="Y120" s="80">
        <f t="shared" si="34"/>
        <v>44770.5</v>
      </c>
      <c r="Z120" s="80">
        <f t="shared" si="34"/>
        <v>44770.5</v>
      </c>
      <c r="AA120" s="80">
        <f t="shared" si="34"/>
        <v>0</v>
      </c>
      <c r="AB120" s="80">
        <f t="shared" si="34"/>
        <v>0</v>
      </c>
      <c r="AC120" s="80">
        <f t="shared" si="34"/>
        <v>0</v>
      </c>
      <c r="AD120" s="75">
        <f t="shared" si="33"/>
        <v>185562.63</v>
      </c>
      <c r="AE120" s="81"/>
      <c r="AF120" s="82"/>
    </row>
    <row r="121" spans="1:32" s="21" customFormat="1" ht="15.75">
      <c r="A121" s="66"/>
      <c r="D121" s="72" t="s">
        <v>35</v>
      </c>
      <c r="E121" s="73">
        <f aca="true" t="shared" si="35" ref="E121:AC121">E104</f>
        <v>1944</v>
      </c>
      <c r="F121" s="74">
        <f t="shared" si="35"/>
        <v>1944</v>
      </c>
      <c r="G121" s="73">
        <f t="shared" si="35"/>
        <v>0</v>
      </c>
      <c r="H121" s="74">
        <f t="shared" si="35"/>
        <v>0</v>
      </c>
      <c r="I121" s="74">
        <f t="shared" si="35"/>
        <v>0</v>
      </c>
      <c r="J121" s="74">
        <f t="shared" si="35"/>
        <v>2022</v>
      </c>
      <c r="K121" s="122">
        <f t="shared" si="35"/>
        <v>2022</v>
      </c>
      <c r="L121" s="74">
        <f t="shared" si="35"/>
        <v>0</v>
      </c>
      <c r="M121" s="74">
        <f t="shared" si="35"/>
        <v>0</v>
      </c>
      <c r="N121" s="74">
        <f t="shared" si="35"/>
        <v>0</v>
      </c>
      <c r="O121" s="74">
        <f t="shared" si="35"/>
        <v>2101</v>
      </c>
      <c r="P121" s="74">
        <f t="shared" si="35"/>
        <v>2101</v>
      </c>
      <c r="Q121" s="74">
        <f t="shared" si="35"/>
        <v>0</v>
      </c>
      <c r="R121" s="74">
        <f t="shared" si="35"/>
        <v>0</v>
      </c>
      <c r="S121" s="74">
        <f t="shared" si="35"/>
        <v>0</v>
      </c>
      <c r="T121" s="74">
        <f t="shared" si="35"/>
        <v>2184</v>
      </c>
      <c r="U121" s="74">
        <f t="shared" si="35"/>
        <v>2184</v>
      </c>
      <c r="V121" s="74">
        <f t="shared" si="35"/>
        <v>0</v>
      </c>
      <c r="W121" s="74">
        <f t="shared" si="35"/>
        <v>0</v>
      </c>
      <c r="X121" s="74">
        <f t="shared" si="35"/>
        <v>0</v>
      </c>
      <c r="Y121" s="74">
        <f t="shared" si="35"/>
        <v>2278.8</v>
      </c>
      <c r="Z121" s="74">
        <f t="shared" si="35"/>
        <v>2278.8</v>
      </c>
      <c r="AA121" s="74">
        <f t="shared" si="35"/>
        <v>0</v>
      </c>
      <c r="AB121" s="74">
        <f t="shared" si="35"/>
        <v>0</v>
      </c>
      <c r="AC121" s="74">
        <f t="shared" si="35"/>
        <v>0</v>
      </c>
      <c r="AD121" s="75">
        <f t="shared" si="33"/>
        <v>10529.8</v>
      </c>
      <c r="AE121" s="70"/>
      <c r="AF121" s="18"/>
    </row>
    <row r="122" spans="1:32" s="21" customFormat="1" ht="15.75">
      <c r="A122" s="66"/>
      <c r="D122" s="72" t="s">
        <v>36</v>
      </c>
      <c r="E122" s="73">
        <f aca="true" t="shared" si="36" ref="E122:AC122">E106</f>
        <v>237</v>
      </c>
      <c r="F122" s="74">
        <f t="shared" si="36"/>
        <v>237</v>
      </c>
      <c r="G122" s="73">
        <f t="shared" si="36"/>
        <v>0</v>
      </c>
      <c r="H122" s="74">
        <f t="shared" si="36"/>
        <v>0</v>
      </c>
      <c r="I122" s="74">
        <f t="shared" si="36"/>
        <v>0</v>
      </c>
      <c r="J122" s="74">
        <f t="shared" si="36"/>
        <v>220</v>
      </c>
      <c r="K122" s="122">
        <f t="shared" si="36"/>
        <v>220</v>
      </c>
      <c r="L122" s="74">
        <f t="shared" si="36"/>
        <v>0</v>
      </c>
      <c r="M122" s="74">
        <f t="shared" si="36"/>
        <v>0</v>
      </c>
      <c r="N122" s="74">
        <f t="shared" si="36"/>
        <v>0</v>
      </c>
      <c r="O122" s="74">
        <f t="shared" si="36"/>
        <v>220</v>
      </c>
      <c r="P122" s="74">
        <f t="shared" si="36"/>
        <v>220</v>
      </c>
      <c r="Q122" s="74">
        <f t="shared" si="36"/>
        <v>0</v>
      </c>
      <c r="R122" s="74">
        <f t="shared" si="36"/>
        <v>0</v>
      </c>
      <c r="S122" s="74">
        <f t="shared" si="36"/>
        <v>0</v>
      </c>
      <c r="T122" s="74">
        <f t="shared" si="36"/>
        <v>220</v>
      </c>
      <c r="U122" s="74">
        <f t="shared" si="36"/>
        <v>220</v>
      </c>
      <c r="V122" s="74">
        <f t="shared" si="36"/>
        <v>0</v>
      </c>
      <c r="W122" s="74">
        <f t="shared" si="36"/>
        <v>0</v>
      </c>
      <c r="X122" s="74">
        <f t="shared" si="36"/>
        <v>0</v>
      </c>
      <c r="Y122" s="74">
        <f t="shared" si="36"/>
        <v>260</v>
      </c>
      <c r="Z122" s="74">
        <f t="shared" si="36"/>
        <v>260</v>
      </c>
      <c r="AA122" s="74">
        <f t="shared" si="36"/>
        <v>0</v>
      </c>
      <c r="AB122" s="74">
        <f t="shared" si="36"/>
        <v>0</v>
      </c>
      <c r="AC122" s="74">
        <f t="shared" si="36"/>
        <v>0</v>
      </c>
      <c r="AD122" s="75">
        <f t="shared" si="33"/>
        <v>1157</v>
      </c>
      <c r="AE122" s="70"/>
      <c r="AF122" s="18"/>
    </row>
    <row r="123" spans="1:32" s="21" customFormat="1" ht="48" customHeight="1">
      <c r="A123" s="66"/>
      <c r="D123" s="72" t="s">
        <v>112</v>
      </c>
      <c r="E123" s="73">
        <f aca="true" t="shared" si="37" ref="E123:AC123">E114</f>
        <v>2410</v>
      </c>
      <c r="F123" s="74">
        <f t="shared" si="37"/>
        <v>2410</v>
      </c>
      <c r="G123" s="73">
        <f t="shared" si="37"/>
        <v>0</v>
      </c>
      <c r="H123" s="74">
        <f t="shared" si="37"/>
        <v>0</v>
      </c>
      <c r="I123" s="74">
        <f t="shared" si="37"/>
        <v>0</v>
      </c>
      <c r="J123" s="74">
        <f t="shared" si="37"/>
        <v>15599</v>
      </c>
      <c r="K123" s="122">
        <f t="shared" si="37"/>
        <v>15599</v>
      </c>
      <c r="L123" s="74">
        <f t="shared" si="37"/>
        <v>0</v>
      </c>
      <c r="M123" s="74">
        <f t="shared" si="37"/>
        <v>0</v>
      </c>
      <c r="N123" s="74">
        <f t="shared" si="37"/>
        <v>0</v>
      </c>
      <c r="O123" s="74">
        <f t="shared" si="37"/>
        <v>0</v>
      </c>
      <c r="P123" s="74">
        <f t="shared" si="37"/>
        <v>0</v>
      </c>
      <c r="Q123" s="74">
        <f t="shared" si="37"/>
        <v>0</v>
      </c>
      <c r="R123" s="74">
        <f t="shared" si="37"/>
        <v>0</v>
      </c>
      <c r="S123" s="74">
        <f t="shared" si="37"/>
        <v>0</v>
      </c>
      <c r="T123" s="74">
        <f t="shared" si="37"/>
        <v>0</v>
      </c>
      <c r="U123" s="74">
        <f t="shared" si="37"/>
        <v>0</v>
      </c>
      <c r="V123" s="74">
        <f t="shared" si="37"/>
        <v>0</v>
      </c>
      <c r="W123" s="74">
        <f t="shared" si="37"/>
        <v>0</v>
      </c>
      <c r="X123" s="74">
        <f t="shared" si="37"/>
        <v>0</v>
      </c>
      <c r="Y123" s="74">
        <f t="shared" si="37"/>
        <v>0</v>
      </c>
      <c r="Z123" s="74">
        <f t="shared" si="37"/>
        <v>0</v>
      </c>
      <c r="AA123" s="74">
        <f t="shared" si="37"/>
        <v>0</v>
      </c>
      <c r="AB123" s="74">
        <f t="shared" si="37"/>
        <v>0</v>
      </c>
      <c r="AC123" s="74">
        <f t="shared" si="37"/>
        <v>0</v>
      </c>
      <c r="AD123" s="75">
        <f t="shared" si="33"/>
        <v>18009</v>
      </c>
      <c r="AE123" s="70"/>
      <c r="AF123" s="18"/>
    </row>
    <row r="124" spans="1:32" s="47" customFormat="1" ht="15.75">
      <c r="A124" s="83"/>
      <c r="D124" s="84" t="s">
        <v>20</v>
      </c>
      <c r="E124" s="85">
        <f>SUM(E119:E123)</f>
        <v>244620.97</v>
      </c>
      <c r="F124" s="85">
        <f>SUM(F119:F123)</f>
        <v>243515.1</v>
      </c>
      <c r="G124" s="85">
        <f aca="true" t="shared" si="38" ref="G124:AC124">SUM(G119:G123)</f>
        <v>1105.87</v>
      </c>
      <c r="H124" s="85">
        <f t="shared" si="38"/>
        <v>0</v>
      </c>
      <c r="I124" s="85">
        <f t="shared" si="38"/>
        <v>0</v>
      </c>
      <c r="J124" s="85">
        <f t="shared" si="38"/>
        <v>274991.5</v>
      </c>
      <c r="K124" s="124">
        <f t="shared" si="38"/>
        <v>274504.67</v>
      </c>
      <c r="L124" s="85">
        <f t="shared" si="38"/>
        <v>486.83</v>
      </c>
      <c r="M124" s="85">
        <f t="shared" si="38"/>
        <v>0</v>
      </c>
      <c r="N124" s="85">
        <f t="shared" si="38"/>
        <v>0</v>
      </c>
      <c r="O124" s="85">
        <f t="shared" si="38"/>
        <v>239672.83</v>
      </c>
      <c r="P124" s="85">
        <f t="shared" si="38"/>
        <v>239217</v>
      </c>
      <c r="Q124" s="85">
        <f t="shared" si="38"/>
        <v>455.83</v>
      </c>
      <c r="R124" s="85">
        <f t="shared" si="38"/>
        <v>0</v>
      </c>
      <c r="S124" s="85">
        <f t="shared" si="38"/>
        <v>0</v>
      </c>
      <c r="T124" s="85">
        <f t="shared" si="38"/>
        <v>239755.83</v>
      </c>
      <c r="U124" s="85">
        <f t="shared" si="38"/>
        <v>239300</v>
      </c>
      <c r="V124" s="85">
        <f t="shared" si="38"/>
        <v>455.83</v>
      </c>
      <c r="W124" s="85">
        <f t="shared" si="38"/>
        <v>0</v>
      </c>
      <c r="X124" s="85">
        <f t="shared" si="38"/>
        <v>0</v>
      </c>
      <c r="Y124" s="85">
        <f t="shared" si="38"/>
        <v>271868.6</v>
      </c>
      <c r="Z124" s="85">
        <f t="shared" si="38"/>
        <v>271868.6</v>
      </c>
      <c r="AA124" s="85">
        <f t="shared" si="38"/>
        <v>0</v>
      </c>
      <c r="AB124" s="85">
        <f t="shared" si="38"/>
        <v>0</v>
      </c>
      <c r="AC124" s="85">
        <f t="shared" si="38"/>
        <v>0</v>
      </c>
      <c r="AD124" s="75">
        <f t="shared" si="33"/>
        <v>1270909.73</v>
      </c>
      <c r="AE124" s="70"/>
      <c r="AF124" s="60"/>
    </row>
    <row r="125" spans="4:32" ht="15.75">
      <c r="D125" s="65"/>
      <c r="AD125" s="17"/>
      <c r="AE125" s="86"/>
      <c r="AF125" s="87"/>
    </row>
    <row r="126" spans="4:32" ht="15.75">
      <c r="D126" s="65" t="s">
        <v>187</v>
      </c>
      <c r="F126" s="17">
        <f>F109</f>
        <v>202243</v>
      </c>
      <c r="G126" s="17">
        <f>G109</f>
        <v>0</v>
      </c>
      <c r="J126" s="17">
        <f>J109</f>
        <v>214727</v>
      </c>
      <c r="K126" s="119">
        <f>K109</f>
        <v>214727</v>
      </c>
      <c r="L126" s="17">
        <f>L109</f>
        <v>0</v>
      </c>
      <c r="O126" s="17">
        <f>O109</f>
        <v>207061</v>
      </c>
      <c r="P126" s="17">
        <f>P109</f>
        <v>207061</v>
      </c>
      <c r="Q126" s="17">
        <f>Q109</f>
        <v>0</v>
      </c>
      <c r="AD126" s="17"/>
      <c r="AE126" s="86"/>
      <c r="AF126" s="87"/>
    </row>
    <row r="127" spans="4:32" ht="15.75">
      <c r="D127" s="65" t="s">
        <v>36</v>
      </c>
      <c r="F127" s="17">
        <f>F107</f>
        <v>237</v>
      </c>
      <c r="G127" s="17">
        <f>G107</f>
        <v>0</v>
      </c>
      <c r="J127" s="17">
        <f>J107</f>
        <v>220</v>
      </c>
      <c r="K127" s="119">
        <f>K107</f>
        <v>220</v>
      </c>
      <c r="L127" s="17">
        <f>L107</f>
        <v>0</v>
      </c>
      <c r="O127" s="17">
        <f>O107</f>
        <v>220</v>
      </c>
      <c r="P127" s="17">
        <f>P107</f>
        <v>220</v>
      </c>
      <c r="Q127" s="17">
        <f>Q107</f>
        <v>0</v>
      </c>
      <c r="AD127" s="17"/>
      <c r="AE127" s="86"/>
      <c r="AF127" s="87"/>
    </row>
    <row r="128" spans="4:32" ht="15.75">
      <c r="D128" s="65" t="s">
        <v>188</v>
      </c>
      <c r="F128" s="17">
        <f>F112</f>
        <v>2410</v>
      </c>
      <c r="G128" s="17">
        <f>G112</f>
        <v>0</v>
      </c>
      <c r="J128" s="17">
        <f>J112</f>
        <v>15599</v>
      </c>
      <c r="K128" s="119">
        <f>K112</f>
        <v>15599</v>
      </c>
      <c r="L128" s="17">
        <f>L112</f>
        <v>0</v>
      </c>
      <c r="O128" s="17">
        <f>O112</f>
        <v>0</v>
      </c>
      <c r="P128" s="17">
        <f>P112</f>
        <v>0</v>
      </c>
      <c r="Q128" s="17">
        <f>Q112</f>
        <v>0</v>
      </c>
      <c r="AD128" s="17"/>
      <c r="AE128" s="86"/>
      <c r="AF128" s="87"/>
    </row>
    <row r="129" spans="4:32" ht="15.75">
      <c r="D129" s="65" t="s">
        <v>189</v>
      </c>
      <c r="F129" s="17">
        <f>F100+F79+F23</f>
        <v>36681.1</v>
      </c>
      <c r="G129" s="17">
        <f>G100+G79+G23</f>
        <v>1105.87</v>
      </c>
      <c r="J129" s="17">
        <f>J100+J79+J23</f>
        <v>42423.5</v>
      </c>
      <c r="K129" s="119">
        <f>K100+K79+K23</f>
        <v>41936.67</v>
      </c>
      <c r="L129" s="17">
        <f>L100+L79+L23</f>
        <v>486.83</v>
      </c>
      <c r="O129" s="17">
        <f>O100+O79+O23</f>
        <v>30290.83</v>
      </c>
      <c r="P129" s="17">
        <f>P100+P79+P23</f>
        <v>29835</v>
      </c>
      <c r="Q129" s="17">
        <f>Q100+Q79+Q23</f>
        <v>455.83</v>
      </c>
      <c r="AD129" s="17"/>
      <c r="AE129" s="86"/>
      <c r="AF129" s="87"/>
    </row>
    <row r="130" spans="4:30" ht="63">
      <c r="D130" s="65" t="s">
        <v>82</v>
      </c>
      <c r="E130" s="17">
        <f>E120+E119+E122+E123</f>
        <v>242676.97</v>
      </c>
      <c r="F130" s="17">
        <f aca="true" t="shared" si="39" ref="F130:AD130">F120+F119+F122+F123</f>
        <v>241571.1</v>
      </c>
      <c r="G130" s="17">
        <f t="shared" si="39"/>
        <v>1105.87</v>
      </c>
      <c r="H130" s="17">
        <f t="shared" si="39"/>
        <v>0</v>
      </c>
      <c r="I130" s="17">
        <f t="shared" si="39"/>
        <v>0</v>
      </c>
      <c r="J130" s="17">
        <f t="shared" si="39"/>
        <v>272969.5</v>
      </c>
      <c r="K130" s="119">
        <f t="shared" si="39"/>
        <v>272482.67</v>
      </c>
      <c r="L130" s="17">
        <f t="shared" si="39"/>
        <v>486.83</v>
      </c>
      <c r="M130" s="17">
        <f t="shared" si="39"/>
        <v>0</v>
      </c>
      <c r="N130" s="17">
        <f t="shared" si="39"/>
        <v>0</v>
      </c>
      <c r="O130" s="17">
        <f t="shared" si="39"/>
        <v>237571.83</v>
      </c>
      <c r="P130" s="17">
        <f t="shared" si="39"/>
        <v>237116</v>
      </c>
      <c r="Q130" s="17">
        <f t="shared" si="39"/>
        <v>455.83</v>
      </c>
      <c r="R130" s="17">
        <f t="shared" si="39"/>
        <v>0</v>
      </c>
      <c r="S130" s="17">
        <f t="shared" si="39"/>
        <v>0</v>
      </c>
      <c r="T130" s="17">
        <f t="shared" si="39"/>
        <v>237571.83</v>
      </c>
      <c r="U130" s="17">
        <f t="shared" si="39"/>
        <v>237116</v>
      </c>
      <c r="V130" s="17">
        <f t="shared" si="39"/>
        <v>455.83</v>
      </c>
      <c r="W130" s="17">
        <f t="shared" si="39"/>
        <v>0</v>
      </c>
      <c r="X130" s="17">
        <f t="shared" si="39"/>
        <v>0</v>
      </c>
      <c r="Y130" s="17">
        <f t="shared" si="39"/>
        <v>269589.8</v>
      </c>
      <c r="Z130" s="17">
        <f t="shared" si="39"/>
        <v>269589.8</v>
      </c>
      <c r="AA130" s="17">
        <f t="shared" si="39"/>
        <v>0</v>
      </c>
      <c r="AB130" s="17">
        <f t="shared" si="39"/>
        <v>0</v>
      </c>
      <c r="AC130" s="17">
        <f t="shared" si="39"/>
        <v>0</v>
      </c>
      <c r="AD130" s="17">
        <f t="shared" si="39"/>
        <v>1260379.93</v>
      </c>
    </row>
    <row r="131" ht="15.75"/>
    <row r="132" ht="15.75"/>
    <row r="133" ht="15.75">
      <c r="AD133" s="17">
        <f>AD130+AD121</f>
        <v>1270909.73</v>
      </c>
    </row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</sheetData>
  <sheetProtection/>
  <autoFilter ref="A17:AL115"/>
  <mergeCells count="43">
    <mergeCell ref="A114:D114"/>
    <mergeCell ref="A115:D115"/>
    <mergeCell ref="A104:D104"/>
    <mergeCell ref="C105:AD105"/>
    <mergeCell ref="A107:D107"/>
    <mergeCell ref="C108:AD108"/>
    <mergeCell ref="A110:D110"/>
    <mergeCell ref="C111:T111"/>
    <mergeCell ref="A79:D79"/>
    <mergeCell ref="C80:AD80"/>
    <mergeCell ref="A100:D100"/>
    <mergeCell ref="C101:AD101"/>
    <mergeCell ref="Y12:AC12"/>
    <mergeCell ref="AD12:AD13"/>
    <mergeCell ref="B15:AD15"/>
    <mergeCell ref="C16:AD16"/>
    <mergeCell ref="A23:D23"/>
    <mergeCell ref="C24:AD24"/>
    <mergeCell ref="A9:AD9"/>
    <mergeCell ref="A11:A13"/>
    <mergeCell ref="B11:B13"/>
    <mergeCell ref="C11:C13"/>
    <mergeCell ref="D11:D13"/>
    <mergeCell ref="E11:AD11"/>
    <mergeCell ref="E12:I12"/>
    <mergeCell ref="J12:N12"/>
    <mergeCell ref="O12:S12"/>
    <mergeCell ref="T12:X12"/>
    <mergeCell ref="AA1:AE1"/>
    <mergeCell ref="K6:N6"/>
    <mergeCell ref="P6:S6"/>
    <mergeCell ref="Z6:AD6"/>
    <mergeCell ref="K7:N7"/>
    <mergeCell ref="P7:S7"/>
    <mergeCell ref="X7:AD8"/>
    <mergeCell ref="D96:D97"/>
    <mergeCell ref="D98:D99"/>
    <mergeCell ref="A96:A97"/>
    <mergeCell ref="A98:A99"/>
    <mergeCell ref="B96:B97"/>
    <mergeCell ref="B98:B99"/>
    <mergeCell ref="C96:C97"/>
    <mergeCell ref="C98:C99"/>
  </mergeCells>
  <printOptions/>
  <pageMargins left="0.2362204724409449" right="0.2362204724409449" top="0.35433070866141736" bottom="0.1968503937007874" header="0.31496062992125984" footer="0.11811023622047245"/>
  <pageSetup fitToHeight="0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Костерин</dc:creator>
  <cp:keywords/>
  <dc:description/>
  <cp:lastModifiedBy>Макеева Юлия Викторовна</cp:lastModifiedBy>
  <cp:lastPrinted>2023-11-17T07:07:09Z</cp:lastPrinted>
  <dcterms:created xsi:type="dcterms:W3CDTF">2013-05-15T08:50:57Z</dcterms:created>
  <dcterms:modified xsi:type="dcterms:W3CDTF">2023-11-20T12:22:53Z</dcterms:modified>
  <cp:category/>
  <cp:version/>
  <cp:contentType/>
  <cp:contentStatus/>
</cp:coreProperties>
</file>