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270" windowWidth="17400" windowHeight="11760"/>
  </bookViews>
  <sheets>
    <sheet name="3 изм" sheetId="32" r:id="rId1"/>
  </sheets>
  <definedNames>
    <definedName name="_xlnm.Print_Area" localSheetId="0">'3 изм'!$A$1:$AD$90</definedName>
  </definedNames>
  <calcPr calcId="124519"/>
</workbook>
</file>

<file path=xl/calcChain.xml><?xml version="1.0" encoding="utf-8"?>
<calcChain xmlns="http://schemas.openxmlformats.org/spreadsheetml/2006/main">
  <c r="U67" i="32"/>
  <c r="U46"/>
  <c r="U44"/>
  <c r="U43"/>
  <c r="U42"/>
  <c r="U39"/>
  <c r="U38"/>
  <c r="U15"/>
  <c r="U13"/>
  <c r="V25"/>
  <c r="U71"/>
  <c r="U70"/>
  <c r="U35"/>
  <c r="U58"/>
  <c r="V30" l="1"/>
  <c r="P84"/>
  <c r="O84"/>
  <c r="O83"/>
  <c r="AD83" s="1"/>
  <c r="AD84" s="1"/>
  <c r="AC81"/>
  <c r="AB81"/>
  <c r="AA81"/>
  <c r="Z81"/>
  <c r="Y81"/>
  <c r="X81"/>
  <c r="W81"/>
  <c r="V81"/>
  <c r="S81"/>
  <c r="R81"/>
  <c r="Q81"/>
  <c r="O81" s="1"/>
  <c r="P81"/>
  <c r="N81"/>
  <c r="M81"/>
  <c r="L81"/>
  <c r="I81"/>
  <c r="H81"/>
  <c r="G81"/>
  <c r="F81"/>
  <c r="E81"/>
  <c r="Y80"/>
  <c r="T80"/>
  <c r="K80"/>
  <c r="K81" s="1"/>
  <c r="J81" s="1"/>
  <c r="Y79"/>
  <c r="T79"/>
  <c r="U81" s="1"/>
  <c r="T81" s="1"/>
  <c r="K79"/>
  <c r="J79"/>
  <c r="AD79" s="1"/>
  <c r="AC77"/>
  <c r="AB77"/>
  <c r="AA77"/>
  <c r="Z77"/>
  <c r="Y77"/>
  <c r="X77"/>
  <c r="W77"/>
  <c r="V77"/>
  <c r="U77"/>
  <c r="S77"/>
  <c r="R77"/>
  <c r="Q77"/>
  <c r="N77"/>
  <c r="M77"/>
  <c r="L77"/>
  <c r="K77"/>
  <c r="F77"/>
  <c r="Y76"/>
  <c r="T76"/>
  <c r="T77" s="1"/>
  <c r="P76"/>
  <c r="P77" s="1"/>
  <c r="O76"/>
  <c r="O77" s="1"/>
  <c r="K76"/>
  <c r="J76"/>
  <c r="J77" s="1"/>
  <c r="F76"/>
  <c r="E76"/>
  <c r="AD76" s="1"/>
  <c r="Z74"/>
  <c r="U74"/>
  <c r="P74"/>
  <c r="K74"/>
  <c r="F74"/>
  <c r="AC73"/>
  <c r="AB73"/>
  <c r="AA73"/>
  <c r="Z73"/>
  <c r="X73"/>
  <c r="W73"/>
  <c r="V73"/>
  <c r="U73"/>
  <c r="S73"/>
  <c r="R73"/>
  <c r="Q73"/>
  <c r="P73"/>
  <c r="N73"/>
  <c r="M73"/>
  <c r="L73"/>
  <c r="I73"/>
  <c r="H73"/>
  <c r="G73"/>
  <c r="F73"/>
  <c r="Y72"/>
  <c r="T72"/>
  <c r="O72"/>
  <c r="J72"/>
  <c r="AD72" s="1"/>
  <c r="E72"/>
  <c r="Y71"/>
  <c r="T71"/>
  <c r="P71"/>
  <c r="O71"/>
  <c r="K71"/>
  <c r="J71"/>
  <c r="AD71" s="1"/>
  <c r="E71"/>
  <c r="Y70"/>
  <c r="Y73" s="1"/>
  <c r="T70"/>
  <c r="T74" s="1"/>
  <c r="P70"/>
  <c r="O70"/>
  <c r="O73" s="1"/>
  <c r="O74" s="1"/>
  <c r="K70"/>
  <c r="K73" s="1"/>
  <c r="J70"/>
  <c r="J74" s="1"/>
  <c r="F70"/>
  <c r="E70"/>
  <c r="E73" s="1"/>
  <c r="AC68"/>
  <c r="AB68"/>
  <c r="AA68"/>
  <c r="Z68"/>
  <c r="Y68"/>
  <c r="X68"/>
  <c r="W68"/>
  <c r="V68"/>
  <c r="U68"/>
  <c r="S68"/>
  <c r="R68"/>
  <c r="Q68"/>
  <c r="N68"/>
  <c r="M68"/>
  <c r="L68"/>
  <c r="I68"/>
  <c r="H68"/>
  <c r="G68"/>
  <c r="Y67"/>
  <c r="T67"/>
  <c r="T68" s="1"/>
  <c r="P67"/>
  <c r="P68" s="1"/>
  <c r="K67"/>
  <c r="J67" s="1"/>
  <c r="J68" s="1"/>
  <c r="F67"/>
  <c r="F68" s="1"/>
  <c r="AC65"/>
  <c r="AB65"/>
  <c r="AA65"/>
  <c r="Z65"/>
  <c r="Y65"/>
  <c r="X65"/>
  <c r="W65"/>
  <c r="V65"/>
  <c r="U65"/>
  <c r="T65"/>
  <c r="S65"/>
  <c r="R65"/>
  <c r="Q65"/>
  <c r="P65"/>
  <c r="N65"/>
  <c r="M65"/>
  <c r="L65"/>
  <c r="I65"/>
  <c r="H65"/>
  <c r="G65"/>
  <c r="F65"/>
  <c r="Y64"/>
  <c r="T64"/>
  <c r="P64"/>
  <c r="O64"/>
  <c r="O65" s="1"/>
  <c r="K64"/>
  <c r="K65" s="1"/>
  <c r="J64"/>
  <c r="J65" s="1"/>
  <c r="F64"/>
  <c r="E64"/>
  <c r="E65" s="1"/>
  <c r="Z60"/>
  <c r="Z62" s="1"/>
  <c r="Y62" s="1"/>
  <c r="P60"/>
  <c r="P62" s="1"/>
  <c r="O62" s="1"/>
  <c r="F60"/>
  <c r="F62" s="1"/>
  <c r="E62" s="1"/>
  <c r="Y59"/>
  <c r="U59"/>
  <c r="U60" s="1"/>
  <c r="U62" s="1"/>
  <c r="T62" s="1"/>
  <c r="P59"/>
  <c r="O59" s="1"/>
  <c r="K59"/>
  <c r="K60" s="1"/>
  <c r="F59"/>
  <c r="E59" s="1"/>
  <c r="Y58"/>
  <c r="Y60" s="1"/>
  <c r="T58"/>
  <c r="P58"/>
  <c r="O58"/>
  <c r="AD58" s="1"/>
  <c r="K58"/>
  <c r="J58"/>
  <c r="E58"/>
  <c r="AD57"/>
  <c r="AD61" s="1"/>
  <c r="Y57"/>
  <c r="T57"/>
  <c r="O57"/>
  <c r="J57"/>
  <c r="F57"/>
  <c r="F61" s="1"/>
  <c r="E61" s="1"/>
  <c r="E57"/>
  <c r="AC55"/>
  <c r="AB55"/>
  <c r="AA55"/>
  <c r="Z55"/>
  <c r="Y55"/>
  <c r="X55"/>
  <c r="W55"/>
  <c r="V55"/>
  <c r="U55"/>
  <c r="S55"/>
  <c r="R55"/>
  <c r="Q55"/>
  <c r="N55"/>
  <c r="M55"/>
  <c r="L55"/>
  <c r="I55"/>
  <c r="H55"/>
  <c r="G55"/>
  <c r="Y54"/>
  <c r="T54"/>
  <c r="T55" s="1"/>
  <c r="P54"/>
  <c r="P55" s="1"/>
  <c r="K54"/>
  <c r="J54" s="1"/>
  <c r="J55" s="1"/>
  <c r="F54"/>
  <c r="F55" s="1"/>
  <c r="Z52"/>
  <c r="H52"/>
  <c r="AC51"/>
  <c r="AB51"/>
  <c r="AA51"/>
  <c r="Z51"/>
  <c r="Z50" s="1"/>
  <c r="Y51"/>
  <c r="X51"/>
  <c r="W51"/>
  <c r="V51"/>
  <c r="U51"/>
  <c r="T51"/>
  <c r="S51"/>
  <c r="R51"/>
  <c r="Q51"/>
  <c r="P51"/>
  <c r="P50" s="1"/>
  <c r="N51"/>
  <c r="M51"/>
  <c r="L51"/>
  <c r="I51"/>
  <c r="H51"/>
  <c r="H50" s="1"/>
  <c r="W50"/>
  <c r="U50"/>
  <c r="S50"/>
  <c r="Q50"/>
  <c r="N50"/>
  <c r="M50"/>
  <c r="L50"/>
  <c r="I50"/>
  <c r="G50"/>
  <c r="Y49"/>
  <c r="T49"/>
  <c r="O49"/>
  <c r="J49"/>
  <c r="F49"/>
  <c r="E49" s="1"/>
  <c r="AD49" s="1"/>
  <c r="Y48"/>
  <c r="T48"/>
  <c r="P48"/>
  <c r="O48"/>
  <c r="O51" s="1"/>
  <c r="K48"/>
  <c r="K51" s="1"/>
  <c r="J48"/>
  <c r="J51" s="1"/>
  <c r="F48"/>
  <c r="F51" s="1"/>
  <c r="E48"/>
  <c r="E51" s="1"/>
  <c r="Y47"/>
  <c r="T47"/>
  <c r="O47"/>
  <c r="K47"/>
  <c r="J47"/>
  <c r="G47"/>
  <c r="F47"/>
  <c r="E47" s="1"/>
  <c r="AD47" s="1"/>
  <c r="Y46"/>
  <c r="T46"/>
  <c r="P46"/>
  <c r="O46"/>
  <c r="K46"/>
  <c r="J46"/>
  <c r="F46"/>
  <c r="E46"/>
  <c r="AD46" s="1"/>
  <c r="Y45"/>
  <c r="T45"/>
  <c r="O45"/>
  <c r="J45"/>
  <c r="E45"/>
  <c r="AD45" s="1"/>
  <c r="Y44"/>
  <c r="T44"/>
  <c r="O44"/>
  <c r="J44"/>
  <c r="E44"/>
  <c r="AD44" s="1"/>
  <c r="Y43"/>
  <c r="T43"/>
  <c r="P43"/>
  <c r="O43" s="1"/>
  <c r="K43"/>
  <c r="J43" s="1"/>
  <c r="F43"/>
  <c r="E43" s="1"/>
  <c r="Y42"/>
  <c r="T42"/>
  <c r="P42"/>
  <c r="O42"/>
  <c r="J42"/>
  <c r="E42"/>
  <c r="Y41"/>
  <c r="T41"/>
  <c r="O41"/>
  <c r="J41"/>
  <c r="E41"/>
  <c r="AD41" s="1"/>
  <c r="Y40"/>
  <c r="T40"/>
  <c r="O40"/>
  <c r="J40"/>
  <c r="E40"/>
  <c r="AD40" s="1"/>
  <c r="Y39"/>
  <c r="T39"/>
  <c r="P39"/>
  <c r="O39" s="1"/>
  <c r="K39"/>
  <c r="J39" s="1"/>
  <c r="E39"/>
  <c r="Y38"/>
  <c r="T38"/>
  <c r="P38"/>
  <c r="O38" s="1"/>
  <c r="K38"/>
  <c r="J38" s="1"/>
  <c r="E38"/>
  <c r="Y37"/>
  <c r="T37"/>
  <c r="O37"/>
  <c r="J37"/>
  <c r="E37"/>
  <c r="AD37" s="1"/>
  <c r="Y36"/>
  <c r="T36"/>
  <c r="O36"/>
  <c r="J36"/>
  <c r="E36"/>
  <c r="AD36" s="1"/>
  <c r="AC35"/>
  <c r="AC50" s="1"/>
  <c r="AB35"/>
  <c r="AB50" s="1"/>
  <c r="AA35"/>
  <c r="Y35" s="1"/>
  <c r="Y52" s="1"/>
  <c r="Y50" s="1"/>
  <c r="X35"/>
  <c r="X50" s="1"/>
  <c r="W35"/>
  <c r="V35"/>
  <c r="V50" s="1"/>
  <c r="U52"/>
  <c r="T35"/>
  <c r="S35"/>
  <c r="R35"/>
  <c r="R50" s="1"/>
  <c r="Q35"/>
  <c r="P35"/>
  <c r="P52" s="1"/>
  <c r="K35"/>
  <c r="J35" s="1"/>
  <c r="J52" s="1"/>
  <c r="J50" s="1"/>
  <c r="E35"/>
  <c r="AC33"/>
  <c r="AB33"/>
  <c r="AA33"/>
  <c r="Z33"/>
  <c r="X33"/>
  <c r="W33"/>
  <c r="V33"/>
  <c r="U33"/>
  <c r="T33"/>
  <c r="S33"/>
  <c r="R33"/>
  <c r="Q33"/>
  <c r="N33"/>
  <c r="M33"/>
  <c r="L33"/>
  <c r="I33"/>
  <c r="H33"/>
  <c r="G33"/>
  <c r="Y32"/>
  <c r="Y33" s="1"/>
  <c r="T32"/>
  <c r="P32"/>
  <c r="P33" s="1"/>
  <c r="K32"/>
  <c r="K33" s="1"/>
  <c r="F32"/>
  <c r="E32" s="1"/>
  <c r="AC30"/>
  <c r="AB30"/>
  <c r="AA30"/>
  <c r="Z30"/>
  <c r="X30"/>
  <c r="W30"/>
  <c r="U30"/>
  <c r="S30"/>
  <c r="R30"/>
  <c r="P30"/>
  <c r="N30"/>
  <c r="M30"/>
  <c r="K30"/>
  <c r="I30"/>
  <c r="H30"/>
  <c r="G30"/>
  <c r="F30"/>
  <c r="E30"/>
  <c r="AC29"/>
  <c r="AB29"/>
  <c r="AA29"/>
  <c r="Z29"/>
  <c r="X29"/>
  <c r="W29"/>
  <c r="V29"/>
  <c r="U29"/>
  <c r="S29"/>
  <c r="R29"/>
  <c r="Q29"/>
  <c r="N29"/>
  <c r="M29"/>
  <c r="L29"/>
  <c r="I29"/>
  <c r="H29"/>
  <c r="G29"/>
  <c r="AC28"/>
  <c r="AB28"/>
  <c r="AA28"/>
  <c r="AA27" s="1"/>
  <c r="Z28"/>
  <c r="Z27" s="1"/>
  <c r="Z85" s="1"/>
  <c r="X28"/>
  <c r="W28"/>
  <c r="V28"/>
  <c r="S28"/>
  <c r="R28"/>
  <c r="Q28"/>
  <c r="P28"/>
  <c r="N28"/>
  <c r="M28"/>
  <c r="L28"/>
  <c r="H28"/>
  <c r="G28"/>
  <c r="G27" s="1"/>
  <c r="G85" s="1"/>
  <c r="F28"/>
  <c r="AC27"/>
  <c r="AB27"/>
  <c r="X27"/>
  <c r="X85" s="1"/>
  <c r="W27"/>
  <c r="W85" s="1"/>
  <c r="S27"/>
  <c r="S85" s="1"/>
  <c r="R27"/>
  <c r="N27"/>
  <c r="N85" s="1"/>
  <c r="M27"/>
  <c r="M85" s="1"/>
  <c r="L27"/>
  <c r="L85" s="1"/>
  <c r="H27"/>
  <c r="H85" s="1"/>
  <c r="AD26"/>
  <c r="Y26"/>
  <c r="T26"/>
  <c r="O26"/>
  <c r="J26"/>
  <c r="F26"/>
  <c r="E26"/>
  <c r="Q25"/>
  <c r="O25" s="1"/>
  <c r="J25"/>
  <c r="Y24"/>
  <c r="Y30" s="1"/>
  <c r="T24"/>
  <c r="Q24"/>
  <c r="Q30" s="1"/>
  <c r="Q27" s="1"/>
  <c r="Q85" s="1"/>
  <c r="L24"/>
  <c r="J24" s="1"/>
  <c r="U23"/>
  <c r="T23"/>
  <c r="P23"/>
  <c r="O23"/>
  <c r="AD23" s="1"/>
  <c r="K23"/>
  <c r="J23"/>
  <c r="Y22"/>
  <c r="T22"/>
  <c r="O22"/>
  <c r="J22"/>
  <c r="F22"/>
  <c r="E22" s="1"/>
  <c r="AD22" s="1"/>
  <c r="Y21"/>
  <c r="T21"/>
  <c r="O21"/>
  <c r="J21"/>
  <c r="AD21" s="1"/>
  <c r="E21"/>
  <c r="Y20"/>
  <c r="T20"/>
  <c r="O20"/>
  <c r="J20"/>
  <c r="AD20" s="1"/>
  <c r="E20"/>
  <c r="J19"/>
  <c r="E19"/>
  <c r="AD19" s="1"/>
  <c r="Y18"/>
  <c r="T18"/>
  <c r="P18"/>
  <c r="P29" s="1"/>
  <c r="P27" s="1"/>
  <c r="K18"/>
  <c r="J18" s="1"/>
  <c r="F18"/>
  <c r="F29" s="1"/>
  <c r="Y17"/>
  <c r="Y29" s="1"/>
  <c r="T17"/>
  <c r="O17"/>
  <c r="J17"/>
  <c r="AD17" s="1"/>
  <c r="E17"/>
  <c r="I16"/>
  <c r="F16"/>
  <c r="E16" s="1"/>
  <c r="AD16" s="1"/>
  <c r="Y15"/>
  <c r="T15"/>
  <c r="T29" s="1"/>
  <c r="O15"/>
  <c r="J15"/>
  <c r="J29" s="1"/>
  <c r="F15"/>
  <c r="E15"/>
  <c r="Y14"/>
  <c r="T14"/>
  <c r="I14"/>
  <c r="I27" s="1"/>
  <c r="I85" s="1"/>
  <c r="F14"/>
  <c r="E14"/>
  <c r="AD14" s="1"/>
  <c r="Y13"/>
  <c r="Y28" s="1"/>
  <c r="Y27" s="1"/>
  <c r="U27"/>
  <c r="T13"/>
  <c r="P13"/>
  <c r="O13"/>
  <c r="O28" s="1"/>
  <c r="O88" s="1"/>
  <c r="K13"/>
  <c r="K28" s="1"/>
  <c r="J13"/>
  <c r="J28" s="1"/>
  <c r="F13"/>
  <c r="E13"/>
  <c r="AD42" l="1"/>
  <c r="AD39"/>
  <c r="U85"/>
  <c r="T52"/>
  <c r="T50" s="1"/>
  <c r="AD13"/>
  <c r="E33"/>
  <c r="J60"/>
  <c r="K62"/>
  <c r="J62" s="1"/>
  <c r="AD62" s="1"/>
  <c r="AD51"/>
  <c r="E60"/>
  <c r="P85"/>
  <c r="O27"/>
  <c r="F50"/>
  <c r="AD35"/>
  <c r="AD38"/>
  <c r="AD81"/>
  <c r="E29"/>
  <c r="AC85"/>
  <c r="O29"/>
  <c r="R85"/>
  <c r="AB85"/>
  <c r="V27"/>
  <c r="V85" s="1"/>
  <c r="AD43"/>
  <c r="J30"/>
  <c r="J27" s="1"/>
  <c r="O50"/>
  <c r="AD48"/>
  <c r="F52"/>
  <c r="AD64"/>
  <c r="AD65" s="1"/>
  <c r="T73"/>
  <c r="E18"/>
  <c r="AD18" s="1"/>
  <c r="O18"/>
  <c r="O24"/>
  <c r="AD24" s="1"/>
  <c r="T25"/>
  <c r="T30" s="1"/>
  <c r="I28"/>
  <c r="E28" s="1"/>
  <c r="U28"/>
  <c r="K29"/>
  <c r="K27" s="1"/>
  <c r="K85" s="1"/>
  <c r="J85" s="1"/>
  <c r="J32"/>
  <c r="J33" s="1"/>
  <c r="F33"/>
  <c r="O35"/>
  <c r="O52" s="1"/>
  <c r="E52"/>
  <c r="AD52" s="1"/>
  <c r="K52"/>
  <c r="K50" s="1"/>
  <c r="E54"/>
  <c r="O54"/>
  <c r="O55" s="1"/>
  <c r="J59"/>
  <c r="AD59" s="1"/>
  <c r="AD60" s="1"/>
  <c r="T59"/>
  <c r="T60" s="1"/>
  <c r="O60"/>
  <c r="E67"/>
  <c r="O67"/>
  <c r="O68" s="1"/>
  <c r="E74"/>
  <c r="Y74"/>
  <c r="E77"/>
  <c r="AD77" s="1"/>
  <c r="J80"/>
  <c r="AD80" s="1"/>
  <c r="AD15"/>
  <c r="T28"/>
  <c r="L30"/>
  <c r="AA50"/>
  <c r="AA85" s="1"/>
  <c r="Y85" s="1"/>
  <c r="K55"/>
  <c r="K68"/>
  <c r="AD70"/>
  <c r="AD73" s="1"/>
  <c r="AD74" s="1"/>
  <c r="J73"/>
  <c r="F27"/>
  <c r="F85" s="1"/>
  <c r="E85" s="1"/>
  <c r="O32"/>
  <c r="O33" s="1"/>
  <c r="T85" l="1"/>
  <c r="AD85" s="1"/>
  <c r="E27"/>
  <c r="AD28"/>
  <c r="AD54"/>
  <c r="AD55" s="1"/>
  <c r="E55"/>
  <c r="AD25"/>
  <c r="O85"/>
  <c r="AD32"/>
  <c r="AD33" s="1"/>
  <c r="AD67"/>
  <c r="AD68" s="1"/>
  <c r="E68"/>
  <c r="E50"/>
  <c r="AD50" s="1"/>
  <c r="O87"/>
  <c r="O90" s="1"/>
  <c r="O30"/>
  <c r="AD30" s="1"/>
  <c r="O89"/>
  <c r="T27"/>
  <c r="AD29"/>
  <c r="AD27" l="1"/>
</calcChain>
</file>

<file path=xl/comments1.xml><?xml version="1.0" encoding="utf-8"?>
<comments xmlns="http://schemas.openxmlformats.org/spreadsheetml/2006/main">
  <authors>
    <author>rab</author>
  </authors>
  <commentList>
    <comment ref="F15" authorId="0">
      <text>
        <r>
          <rPr>
            <b/>
            <sz val="8"/>
            <color indexed="81"/>
            <rFont val="Tahoma"/>
            <family val="2"/>
            <charset val="204"/>
          </rPr>
          <t>-221,0 т.р.</t>
        </r>
        <r>
          <rPr>
            <sz val="8"/>
            <color indexed="81"/>
            <rFont val="Tahoma"/>
            <family val="2"/>
            <charset val="204"/>
          </rPr>
          <t xml:space="preserve">
</t>
        </r>
      </text>
    </comment>
  </commentList>
</comments>
</file>

<file path=xl/sharedStrings.xml><?xml version="1.0" encoding="utf-8"?>
<sst xmlns="http://schemas.openxmlformats.org/spreadsheetml/2006/main" count="241" uniqueCount="166">
  <si>
    <t xml:space="preserve"> Перечень мероприятий муниципальной программы </t>
  </si>
  <si>
    <t>№ п/п</t>
  </si>
  <si>
    <t>Ответственный исполнитель</t>
  </si>
  <si>
    <t>сроки реализации</t>
  </si>
  <si>
    <t>Итого</t>
  </si>
  <si>
    <t>Всего</t>
  </si>
  <si>
    <t>местный бюджет</t>
  </si>
  <si>
    <t>областной бюджет</t>
  </si>
  <si>
    <t>федеральный бюджет</t>
  </si>
  <si>
    <t>внебюджетные средства</t>
  </si>
  <si>
    <t>1.1.</t>
  </si>
  <si>
    <t>1.2.</t>
  </si>
  <si>
    <t>Департамент образования</t>
  </si>
  <si>
    <t>1.3.</t>
  </si>
  <si>
    <t>1.4.</t>
  </si>
  <si>
    <t>1.5.</t>
  </si>
  <si>
    <t>МАУ "МФЦ" (Департамент информационных технологий и связи)</t>
  </si>
  <si>
    <t>2.1.</t>
  </si>
  <si>
    <t>3.1.</t>
  </si>
  <si>
    <t>4.1.</t>
  </si>
  <si>
    <t>5.1.</t>
  </si>
  <si>
    <t>6.1.</t>
  </si>
  <si>
    <t>7.1.</t>
  </si>
  <si>
    <t xml:space="preserve">Департамент социального обеспечения </t>
  </si>
  <si>
    <t>8.1.</t>
  </si>
  <si>
    <t>9.1.</t>
  </si>
  <si>
    <t>10.1.</t>
  </si>
  <si>
    <t>11.1.</t>
  </si>
  <si>
    <t xml:space="preserve">Денежные выплаты на оплату социальных услуг, предоставляемых на условиях оплаты отдельным категориям граждан </t>
  </si>
  <si>
    <t>Департамент социального обеспечения</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</si>
  <si>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</si>
  <si>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</si>
  <si>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</si>
  <si>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</si>
  <si>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</si>
  <si>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План на 2020 год</t>
  </si>
  <si>
    <t>План на 2021 год</t>
  </si>
  <si>
    <t>План на 2022 год</t>
  </si>
  <si>
    <t>План на 2023 год</t>
  </si>
  <si>
    <t>План на 2024 год</t>
  </si>
  <si>
    <t>2020-2024гг.</t>
  </si>
  <si>
    <t>Департамент информационных технологий и связи(МАУ "МФЦ")</t>
  </si>
  <si>
    <t xml:space="preserve">Предоставление ежемесячной денежной выплаты на проезд для отдельных категорий граждан из числа инвалидов </t>
  </si>
  <si>
    <t>9.</t>
  </si>
  <si>
    <t>10.2.</t>
  </si>
  <si>
    <t>Департамент информационных технологий и связи(МАУ "МФЦ"), Управление мунциипальной службы и кадровой полтитики ( УМСиКП)</t>
  </si>
  <si>
    <t>Департамент информационных технологий и связи(МАУ "МФЦ",)Управление мунциипальной службы и кадровой полтитики ( УМСиКП)</t>
  </si>
  <si>
    <t>Департамент информационных технологий и связи(МАУ "МФЦ"), Департамент социального обеспечения</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</si>
  <si>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</si>
  <si>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 xml:space="preserve"> Предоставление ежемесячной денежной выплаты Почетным гражданам городского округа Тольятти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</si>
  <si>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</si>
  <si>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</si>
  <si>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</si>
  <si>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</si>
  <si>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</si>
  <si>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 xml:space="preserve">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
</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</si>
  <si>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</si>
  <si>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 xml:space="preserve"> Предоставление ежемесячного пособия на содержание ребенка, переданного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</si>
  <si>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</si>
  <si>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</si>
  <si>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на первоочередные нужды</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</si>
  <si>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</si>
  <si>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Предоставление единовременного пособия в связи с принятием ребенка на воспитание в приемную семью, на патронатное воспитание</t>
  </si>
  <si>
    <t>48  тыскомиссии  на каждый год на выплаты по задаче 13</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</si>
  <si>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</si>
  <si>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t>Департамент информационных технологий и связи</t>
  </si>
  <si>
    <t>ДСО</t>
  </si>
  <si>
    <t>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t>
  </si>
  <si>
    <t xml:space="preserve">Департамент информационных технологий и связи(МАУ "МФЦ"), Управление физической культуры и спорта </t>
  </si>
  <si>
    <t>3.2.</t>
  </si>
  <si>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</si>
  <si>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t>1.6.</t>
  </si>
  <si>
    <t>2020-2024 гг.</t>
  </si>
  <si>
    <t>2020-2024</t>
  </si>
  <si>
    <t>1.7.</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</si>
  <si>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</si>
  <si>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</si>
  <si>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 xml:space="preserve">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
</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</si>
  <si>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</si>
  <si>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зеленым - соответсвует перечню услуг</t>
  </si>
  <si>
    <t xml:space="preserve">Осуществление денежных выплат на вознаграждение, причитающееся приёмным родителям, патронатным воспитателям </t>
  </si>
  <si>
    <t>1.8.</t>
  </si>
  <si>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</si>
  <si>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Предоставление ежемесячных денежных выплат для отдельных категорий граждан, имеющих детей в возрасте до 1 года</t>
  </si>
  <si>
    <t>1.9.</t>
  </si>
  <si>
    <t>1.10.</t>
  </si>
  <si>
    <t>1.11.</t>
  </si>
  <si>
    <t>1.12.</t>
  </si>
  <si>
    <t>1.13.</t>
  </si>
  <si>
    <t>1.14.</t>
  </si>
  <si>
    <t>Предоставление единовременного пособия гражданам в связи с рождением детей в День исторического рождения города Тольятти (20 июня)</t>
  </si>
  <si>
    <t>Департамент информационных технологий и связи (МАУ МФЦ)</t>
  </si>
  <si>
    <t>Наименование цели, задач и мероприятий муниципальной программы</t>
  </si>
  <si>
    <t>1. </t>
  </si>
  <si>
    <t>2. </t>
  </si>
  <si>
    <t>4. </t>
  </si>
  <si>
    <t>6. </t>
  </si>
  <si>
    <t>3. </t>
  </si>
  <si>
    <t>3.3.</t>
  </si>
  <si>
    <t>3.4.</t>
  </si>
  <si>
    <t>3.5.</t>
  </si>
  <si>
    <t>3.6.</t>
  </si>
  <si>
    <t>3.7.</t>
  </si>
  <si>
    <t>3.8.</t>
  </si>
  <si>
    <t>3.9.</t>
  </si>
  <si>
    <t>3.10.</t>
  </si>
  <si>
    <t>3.11.</t>
  </si>
  <si>
    <t>3.12.</t>
  </si>
  <si>
    <t>3.13.</t>
  </si>
  <si>
    <t>3.14.</t>
  </si>
  <si>
    <t>3.15.</t>
  </si>
  <si>
    <t>5. </t>
  </si>
  <si>
    <t>5.2.</t>
  </si>
  <si>
    <t>7.</t>
  </si>
  <si>
    <t>8.</t>
  </si>
  <si>
    <t>8.2.</t>
  </si>
  <si>
    <t>8.3.</t>
  </si>
  <si>
    <t xml:space="preserve">Задача 10: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</si>
  <si>
    <t xml:space="preserve">Приложение №1 к постановлению администрации                              </t>
  </si>
  <si>
    <t xml:space="preserve">городского   округа Тольятти     </t>
  </si>
  <si>
    <t>от                          №</t>
  </si>
  <si>
    <t xml:space="preserve"> 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</si>
  <si>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Департамент информационных технологий и связи(МАУ "МФЦ"), Департамент образования</t>
  </si>
  <si>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 за счёт  средств бюджета городского округа Тольятти путём заключения соглашения о предоставлении субсидии в соответствии с абзацем вторым пункта 1 статьи 78.1 Бюджетного кодекса Российской Федерации</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</si>
  <si>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</si>
  <si>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</si>
  <si>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t xml:space="preserve">Приложение 1 к муниципальной программе "Создание условий для улучшения качества жизни жителей городского округа Тольятти" на 2020-2024 годы </t>
  </si>
  <si>
    <r>
      <t xml:space="preserve">Задача 7: </t>
    </r>
    <r>
      <rPr>
        <sz val="18"/>
        <color theme="1"/>
        <rFont val="Times New Roman"/>
        <family val="1"/>
        <charset val="204"/>
      </rPr>
      <t>Предоставление дополнительных мер социальной поддержки отдельным категориям граждан в виде ежемесячной денежной выплаты к пенсии</t>
    </r>
  </si>
  <si>
    <t>2020-01.03.2021</t>
  </si>
  <si>
    <t>2020,2024гг.</t>
  </si>
  <si>
    <t>2021-2024гг.</t>
  </si>
  <si>
    <t xml:space="preserve"> Департамент информационных технологий и связи(МАУ "МФЦ")</t>
  </si>
  <si>
    <t xml:space="preserve">  Департамент социального обеспечения </t>
  </si>
  <si>
    <t>2020-2021 гг.</t>
  </si>
  <si>
    <t>Предоставление дополнительных мер социальной поддержки для отдельных категорий граждан, зарегистрированных в городском округе Тольятти, в виде единовременных денежных выплат к отдельным датам</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</si>
  <si>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</si>
  <si>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Выплата  в рамках договоров   пожизненной ренты</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</si>
  <si>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</si>
  <si>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 xml:space="preserve">Итого по главным распорядителям по задаче  5 </t>
  </si>
  <si>
    <t>ИТОГО по муниципальной программе  :</t>
  </si>
  <si>
    <t>2020-2022 гг.</t>
  </si>
  <si>
    <t>2020-2022гг.</t>
  </si>
  <si>
    <t>Задача 11: Предоставление меры социальной поддержки при ликвидации муниципального бюджетного образовательного учреждения высшего образования городского округа Тольятти</t>
  </si>
  <si>
    <t>Предоставление единовременной денежной выплаты отдельным категориям граждан в случае ликвидации муниципального бюджетного образовательного учреждения высшего образования городского округа Тольятти, в том числе:</t>
  </si>
  <si>
    <t>ИТОГО по задаче 1:</t>
  </si>
  <si>
    <t>ИТОГО по задаче 2:</t>
  </si>
  <si>
    <t>ИТОГО по задаче 3:</t>
  </si>
  <si>
    <t>ИТОГО по задаче 4:</t>
  </si>
  <si>
    <t>ИТОГО по задаче 6:</t>
  </si>
  <si>
    <t>ИТОГО по задаче 7:</t>
  </si>
  <si>
    <t>ИТОГО по задаче 11:</t>
  </si>
  <si>
    <t>ИТОГО по задаче 10:</t>
  </si>
  <si>
    <t>ИТОГО по задаче 9:</t>
  </si>
  <si>
    <t>ИТОГО по задаче 8:</t>
  </si>
  <si>
    <t>ДО</t>
  </si>
  <si>
    <t>ДИТИС</t>
  </si>
  <si>
    <r>
      <t xml:space="preserve">Финансовое обеспечение реализации муниципальной программы, </t>
    </r>
    <r>
      <rPr>
        <b/>
        <i/>
        <sz val="14"/>
        <color theme="1"/>
        <rFont val="Times New Roman"/>
        <family val="1"/>
        <charset val="204"/>
      </rPr>
      <t>тыс.руб.</t>
    </r>
  </si>
  <si>
    <r>
      <t>Цель:</t>
    </r>
    <r>
      <rPr>
        <sz val="14"/>
        <color theme="1"/>
        <rFont val="Times New Roman"/>
        <family val="1"/>
        <charset val="204"/>
      </rPr>
      <t xml:space="preserve">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r>
  </si>
  <si>
    <r>
      <rPr>
        <i/>
        <u/>
        <sz val="18"/>
        <color theme="1"/>
        <rFont val="Times New Roman"/>
        <family val="1"/>
        <charset val="204"/>
      </rPr>
      <t>Задача 1</t>
    </r>
    <r>
      <rPr>
        <b/>
        <i/>
        <sz val="18"/>
        <color theme="1"/>
        <rFont val="Times New Roman"/>
        <family val="1"/>
        <charset val="204"/>
      </rPr>
      <t xml:space="preserve">: </t>
    </r>
    <r>
      <rPr>
        <sz val="18"/>
        <color theme="1"/>
        <rFont val="Times New Roman"/>
        <family val="1"/>
        <charset val="204"/>
      </rPr>
      <t>Финансовая поддержка семей с детьми</t>
    </r>
  </si>
  <si>
    <r>
      <t xml:space="preserve">Задача 2: </t>
    </r>
    <r>
      <rPr>
        <b/>
        <sz val="18"/>
        <color theme="1"/>
        <rFont val="Times New Roman"/>
        <family val="1"/>
        <charset val="204"/>
      </rPr>
      <t xml:space="preserve"> </t>
    </r>
    <r>
      <rPr>
        <sz val="18"/>
        <color theme="1"/>
        <rFont val="Times New Roman"/>
        <family val="1"/>
        <charset val="204"/>
      </rPr>
      <t>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r>
  </si>
  <si>
    <r>
      <t>Задача 3:</t>
    </r>
    <r>
      <rPr>
        <sz val="16"/>
        <color theme="1"/>
        <rFont val="Times New Roman"/>
        <family val="1"/>
        <charset val="204"/>
      </rPr>
      <t>Предоставление социальных выплат гражданам, имеющим особые заслуги перед обществом</t>
    </r>
  </si>
  <si>
    <r>
      <t xml:space="preserve">Задача 4: </t>
    </r>
    <r>
      <rPr>
        <sz val="18"/>
        <color theme="1"/>
        <rFont val="Times New Roman"/>
        <family val="1"/>
        <charset val="204"/>
      </rPr>
      <t xml:space="preserve"> Предоставление дополнительных мер социальной поддержки для граждан, находящихся в трудной жизненной ситуации, чрезвычайных обстоятельствах</t>
    </r>
  </si>
  <si>
    <r>
      <t xml:space="preserve">Задача 5: </t>
    </r>
    <r>
      <rPr>
        <b/>
        <sz val="18"/>
        <color theme="1"/>
        <rFont val="Times New Roman"/>
        <family val="1"/>
        <charset val="204"/>
      </rPr>
      <t xml:space="preserve"> </t>
    </r>
    <r>
      <rPr>
        <sz val="18"/>
        <color theme="1"/>
        <rFont val="Times New Roman"/>
        <family val="1"/>
        <charset val="204"/>
      </rPr>
      <t>Организация пожизненной ренты граждан, передающих на праве собственности жилые помещения в муниципальную собственность городского округа Тольятти</t>
    </r>
  </si>
  <si>
    <r>
      <t xml:space="preserve">Задача 6: </t>
    </r>
    <r>
      <rPr>
        <b/>
        <i/>
        <sz val="18"/>
        <color theme="1"/>
        <rFont val="Times New Roman"/>
        <family val="1"/>
        <charset val="204"/>
      </rPr>
      <t xml:space="preserve"> </t>
    </r>
    <r>
      <rPr>
        <sz val="18"/>
        <color theme="1"/>
        <rFont val="Times New Roman"/>
        <family val="1"/>
        <charset val="204"/>
      </rPr>
      <t>Обеспечение условия для реализации дополнительных мер социальной поддежки населения</t>
    </r>
  </si>
  <si>
    <r>
      <t xml:space="preserve">Задача 8: </t>
    </r>
    <r>
      <rPr>
        <sz val="18"/>
        <color theme="1"/>
        <rFont val="Times New Roman"/>
        <family val="1"/>
        <charset val="204"/>
      </rPr>
      <t>Предоставление дополнительных мер социальной поддержки для отдельных категорий граждан из числа инвалидов</t>
    </r>
  </si>
  <si>
    <r>
      <t>Задача 9:</t>
    </r>
    <r>
      <rPr>
        <sz val="18"/>
        <color theme="1"/>
        <rFont val="Times New Roman"/>
        <family val="1"/>
        <charset val="204"/>
      </rPr>
      <t xml:space="preserve">  Популяризация семейных ценностей</t>
    </r>
  </si>
</sst>
</file>

<file path=xl/styles.xml><?xml version="1.0" encoding="utf-8"?>
<styleSheet xmlns="http://schemas.openxmlformats.org/spreadsheetml/2006/main">
  <numFmts count="3">
    <numFmt numFmtId="164" formatCode="#,##0.0"/>
    <numFmt numFmtId="165" formatCode="#,##0.00\ &quot;₽&quot;"/>
    <numFmt numFmtId="166" formatCode="0.0"/>
  </numFmts>
  <fonts count="18">
    <font>
      <sz val="11"/>
      <color theme="1"/>
      <name val="Calibri"/>
      <family val="2"/>
      <charset val="204"/>
      <scheme val="minor"/>
    </font>
    <font>
      <sz val="8"/>
      <color indexed="81"/>
      <name val="Tahoma"/>
      <family val="2"/>
      <charset val="204"/>
    </font>
    <font>
      <b/>
      <sz val="8"/>
      <color indexed="81"/>
      <name val="Tahoma"/>
      <family val="2"/>
      <charset val="204"/>
    </font>
    <font>
      <sz val="14"/>
      <color theme="1"/>
      <name val="Times New Roman"/>
      <family val="1"/>
      <charset val="204"/>
    </font>
    <font>
      <b/>
      <sz val="14"/>
      <color theme="1"/>
      <name val="Times New Roman"/>
      <family val="1"/>
      <charset val="204"/>
    </font>
    <font>
      <sz val="14"/>
      <color rgb="FFFF0000"/>
      <name val="Times New Roman"/>
      <family val="1"/>
      <charset val="204"/>
    </font>
    <font>
      <sz val="18"/>
      <color theme="1"/>
      <name val="Times New Roman"/>
      <family val="1"/>
      <charset val="204"/>
    </font>
    <font>
      <i/>
      <u/>
      <sz val="18"/>
      <color theme="1"/>
      <name val="Times New Roman"/>
      <family val="1"/>
      <charset val="204"/>
    </font>
    <font>
      <sz val="14"/>
      <color theme="1"/>
      <name val="Calibri"/>
      <family val="2"/>
      <charset val="204"/>
    </font>
    <font>
      <b/>
      <i/>
      <sz val="14"/>
      <color theme="1"/>
      <name val="Times New Roman"/>
      <family val="1"/>
      <charset val="204"/>
    </font>
    <font>
      <i/>
      <u/>
      <sz val="14"/>
      <color theme="1"/>
      <name val="Times New Roman"/>
      <family val="1"/>
      <charset val="204"/>
    </font>
    <font>
      <i/>
      <sz val="18"/>
      <color theme="1"/>
      <name val="Times New Roman"/>
      <family val="1"/>
      <charset val="204"/>
    </font>
    <font>
      <b/>
      <i/>
      <sz val="18"/>
      <color theme="1"/>
      <name val="Times New Roman"/>
      <family val="1"/>
      <charset val="204"/>
    </font>
    <font>
      <sz val="16"/>
      <color theme="1"/>
      <name val="Times New Roman"/>
      <family val="1"/>
      <charset val="204"/>
    </font>
    <font>
      <b/>
      <sz val="18"/>
      <color theme="1"/>
      <name val="Times New Roman"/>
      <family val="1"/>
      <charset val="204"/>
    </font>
    <font>
      <i/>
      <u/>
      <sz val="16"/>
      <color theme="1"/>
      <name val="Times New Roman"/>
      <family val="1"/>
      <charset val="204"/>
    </font>
    <font>
      <b/>
      <sz val="14"/>
      <color theme="1"/>
      <name val="Calibri"/>
      <family val="2"/>
      <charset val="204"/>
    </font>
    <font>
      <u/>
      <sz val="18"/>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110">
    <xf numFmtId="0" fontId="0" fillId="0" borderId="0" xfId="0"/>
    <xf numFmtId="164" fontId="3" fillId="0" borderId="1" xfId="0" applyNumberFormat="1"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xf>
    <xf numFmtId="164" fontId="4" fillId="0" borderId="1" xfId="0" applyNumberFormat="1" applyFont="1" applyFill="1" applyBorder="1" applyAlignment="1">
      <alignment horizontal="center" vertical="top"/>
    </xf>
    <xf numFmtId="0" fontId="6" fillId="0" borderId="1" xfId="0" applyFont="1" applyFill="1" applyBorder="1" applyAlignment="1">
      <alignment horizontal="left" vertical="top" wrapText="1"/>
    </xf>
    <xf numFmtId="164" fontId="5" fillId="0" borderId="1" xfId="0" applyNumberFormat="1" applyFont="1" applyFill="1" applyBorder="1" applyAlignment="1">
      <alignment horizontal="center" vertical="top"/>
    </xf>
    <xf numFmtId="0" fontId="3" fillId="0" borderId="1"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3" fillId="0" borderId="0" xfId="0" applyFont="1" applyFill="1" applyAlignment="1">
      <alignment horizontal="center"/>
    </xf>
    <xf numFmtId="0" fontId="3" fillId="0" borderId="0" xfId="0" applyFont="1" applyFill="1"/>
    <xf numFmtId="0" fontId="8" fillId="0" borderId="0" xfId="0" applyFont="1" applyFill="1"/>
    <xf numFmtId="0" fontId="3" fillId="0" borderId="0" xfId="0" applyFont="1"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wrapText="1"/>
    </xf>
    <xf numFmtId="0" fontId="3" fillId="0" borderId="0" xfId="0" applyFont="1" applyFill="1" applyAlignment="1">
      <alignment horizont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wrapText="1"/>
    </xf>
    <xf numFmtId="0" fontId="4" fillId="0" borderId="5" xfId="0" applyFont="1" applyFill="1" applyBorder="1" applyAlignment="1">
      <alignment horizontal="center" wrapText="1"/>
    </xf>
    <xf numFmtId="0" fontId="4" fillId="0" borderId="6" xfId="0" applyFont="1" applyFill="1" applyBorder="1" applyAlignment="1">
      <alignment horizont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2" xfId="0" applyFont="1" applyFill="1" applyBorder="1" applyAlignment="1">
      <alignment horizontal="center" vertical="center" textRotation="90" wrapText="1"/>
    </xf>
    <xf numFmtId="0" fontId="3" fillId="0" borderId="1" xfId="0" applyFont="1" applyFill="1" applyBorder="1" applyAlignment="1">
      <alignment horizontal="center" wrapText="1"/>
    </xf>
    <xf numFmtId="0" fontId="10" fillId="0" borderId="4" xfId="0" applyFont="1" applyFill="1" applyBorder="1" applyAlignment="1">
      <alignment horizontal="center" vertical="top" wrapText="1"/>
    </xf>
    <xf numFmtId="0" fontId="10" fillId="0" borderId="5" xfId="0" applyFont="1" applyFill="1" applyBorder="1" applyAlignment="1">
      <alignment horizontal="center" vertical="top" wrapText="1"/>
    </xf>
    <xf numFmtId="0" fontId="10" fillId="0" borderId="6" xfId="0" applyFont="1" applyFill="1" applyBorder="1" applyAlignment="1">
      <alignment horizontal="center" vertical="top" wrapText="1"/>
    </xf>
    <xf numFmtId="0" fontId="11" fillId="0" borderId="4"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6" xfId="0" applyFont="1" applyFill="1" applyBorder="1" applyAlignment="1">
      <alignment horizontal="left" vertical="top" wrapText="1"/>
    </xf>
    <xf numFmtId="0" fontId="6" fillId="0" borderId="9" xfId="0" applyNumberFormat="1" applyFont="1" applyFill="1" applyBorder="1" applyAlignment="1">
      <alignment horizontal="left" vertical="top"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top" wrapText="1"/>
    </xf>
    <xf numFmtId="164" fontId="13" fillId="0" borderId="1" xfId="0" applyNumberFormat="1" applyFont="1" applyFill="1" applyBorder="1" applyAlignment="1">
      <alignment horizontal="center" vertical="top"/>
    </xf>
    <xf numFmtId="0" fontId="6" fillId="0" borderId="4" xfId="0" applyNumberFormat="1" applyFont="1" applyFill="1" applyBorder="1" applyAlignment="1">
      <alignment vertical="top" wrapText="1"/>
    </xf>
    <xf numFmtId="0" fontId="3" fillId="0" borderId="2" xfId="0" applyFont="1" applyFill="1" applyBorder="1" applyAlignment="1">
      <alignment horizontal="center" vertical="center" wrapText="1"/>
    </xf>
    <xf numFmtId="0" fontId="6" fillId="0" borderId="3" xfId="0" applyFont="1" applyFill="1" applyBorder="1" applyAlignment="1">
      <alignment horizontal="left" vertical="top" wrapText="1"/>
    </xf>
    <xf numFmtId="0" fontId="3" fillId="0" borderId="2" xfId="0" applyFont="1" applyFill="1" applyBorder="1" applyAlignment="1">
      <alignment horizontal="center" vertical="center" wrapText="1"/>
    </xf>
    <xf numFmtId="0" fontId="6" fillId="0" borderId="1" xfId="0" applyFont="1" applyFill="1" applyBorder="1" applyAlignment="1">
      <alignment vertical="top"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top" wrapText="1"/>
    </xf>
    <xf numFmtId="164" fontId="3" fillId="2" borderId="1" xfId="0" applyNumberFormat="1" applyFont="1" applyFill="1" applyBorder="1" applyAlignment="1">
      <alignment horizontal="center" vertical="top"/>
    </xf>
    <xf numFmtId="166" fontId="13" fillId="0" borderId="0" xfId="0" applyNumberFormat="1" applyFont="1" applyFill="1" applyAlignment="1">
      <alignment horizontal="center" vertical="top"/>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1"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9" xfId="0" applyFont="1" applyFill="1" applyBorder="1" applyAlignment="1">
      <alignment horizontal="left" vertical="center"/>
    </xf>
    <xf numFmtId="0" fontId="6" fillId="0" borderId="8" xfId="0" applyFont="1" applyFill="1" applyBorder="1" applyAlignment="1">
      <alignment horizontal="left" vertical="center"/>
    </xf>
    <xf numFmtId="164" fontId="8" fillId="0" borderId="0" xfId="0" applyNumberFormat="1" applyFont="1" applyFill="1"/>
    <xf numFmtId="0" fontId="6" fillId="0" borderId="1" xfId="0" applyFont="1" applyFill="1" applyBorder="1" applyAlignment="1">
      <alignment horizontal="justify" vertical="top" wrapText="1"/>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6" xfId="0" applyFont="1" applyFill="1" applyBorder="1" applyAlignment="1">
      <alignment horizontal="left" vertical="center"/>
    </xf>
    <xf numFmtId="0" fontId="15" fillId="0" borderId="4"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3" fillId="0" borderId="3"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center" wrapText="1"/>
    </xf>
    <xf numFmtId="16" fontId="3" fillId="0" borderId="1" xfId="0" applyNumberFormat="1" applyFont="1" applyFill="1" applyBorder="1" applyAlignment="1">
      <alignment horizontal="center" vertical="top"/>
    </xf>
    <xf numFmtId="0" fontId="16" fillId="0" borderId="0" xfId="0" applyFont="1" applyFill="1"/>
    <xf numFmtId="17" fontId="3" fillId="0" borderId="1" xfId="0" applyNumberFormat="1" applyFont="1" applyFill="1" applyBorder="1" applyAlignment="1">
      <alignment horizontal="center" vertical="top"/>
    </xf>
    <xf numFmtId="0" fontId="6" fillId="0" borderId="1" xfId="0" applyNumberFormat="1" applyFont="1" applyFill="1" applyBorder="1" applyAlignment="1">
      <alignment vertical="top" wrapText="1"/>
    </xf>
    <xf numFmtId="0" fontId="3" fillId="0" borderId="3" xfId="0" applyFont="1" applyFill="1" applyBorder="1" applyAlignment="1">
      <alignment horizontal="center" vertical="top" wrapText="1"/>
    </xf>
    <xf numFmtId="164" fontId="3" fillId="0" borderId="5" xfId="0" applyNumberFormat="1" applyFont="1" applyFill="1" applyBorder="1" applyAlignment="1">
      <alignment horizontal="center" vertical="top"/>
    </xf>
    <xf numFmtId="164" fontId="3" fillId="0" borderId="6" xfId="0" applyNumberFormat="1" applyFont="1" applyFill="1" applyBorder="1" applyAlignment="1">
      <alignment horizontal="center" vertical="top"/>
    </xf>
    <xf numFmtId="0" fontId="3" fillId="0" borderId="3" xfId="0" applyFont="1" applyFill="1" applyBorder="1" applyAlignment="1">
      <alignment horizontal="center" vertical="top"/>
    </xf>
    <xf numFmtId="0" fontId="6" fillId="0" borderId="3" xfId="0" applyFont="1" applyFill="1" applyBorder="1" applyAlignment="1">
      <alignment vertical="top" wrapText="1"/>
    </xf>
    <xf numFmtId="0" fontId="3" fillId="0" borderId="8" xfId="0" applyFont="1" applyFill="1" applyBorder="1" applyAlignment="1">
      <alignment horizontal="center" vertical="top" wrapText="1"/>
    </xf>
    <xf numFmtId="0" fontId="3" fillId="0" borderId="2" xfId="0" applyFont="1" applyFill="1" applyBorder="1" applyAlignment="1">
      <alignment horizontal="center" vertical="top"/>
    </xf>
    <xf numFmtId="0" fontId="6" fillId="0" borderId="2" xfId="0" applyFont="1" applyFill="1" applyBorder="1" applyAlignment="1">
      <alignment vertical="top" wrapText="1"/>
    </xf>
    <xf numFmtId="0" fontId="14" fillId="0" borderId="1" xfId="0" applyFont="1" applyFill="1" applyBorder="1" applyAlignment="1">
      <alignment horizontal="left" vertical="center"/>
    </xf>
    <xf numFmtId="0" fontId="14" fillId="0" borderId="5" xfId="0" applyFont="1" applyFill="1" applyBorder="1" applyAlignment="1">
      <alignment horizontal="left" vertical="center"/>
    </xf>
    <xf numFmtId="0" fontId="4" fillId="0" borderId="1" xfId="0" applyFont="1" applyFill="1" applyBorder="1" applyAlignment="1">
      <alignment horizontal="left" vertical="center"/>
    </xf>
    <xf numFmtId="49" fontId="3" fillId="0" borderId="1" xfId="0" applyNumberFormat="1" applyFont="1" applyFill="1" applyBorder="1" applyAlignment="1">
      <alignment horizontal="center" vertical="center"/>
    </xf>
    <xf numFmtId="0" fontId="17" fillId="0" borderId="4"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6"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0" xfId="0" applyFont="1" applyFill="1" applyAlignment="1">
      <alignment wrapText="1"/>
    </xf>
    <xf numFmtId="164" fontId="3" fillId="0" borderId="1" xfId="0" applyNumberFormat="1" applyFont="1" applyFill="1" applyBorder="1" applyAlignment="1">
      <alignment horizontal="center" vertical="top" wrapText="1"/>
    </xf>
    <xf numFmtId="0" fontId="3" fillId="0" borderId="1" xfId="0" applyFont="1" applyFill="1" applyBorder="1" applyAlignment="1">
      <alignment wrapText="1"/>
    </xf>
    <xf numFmtId="164" fontId="4" fillId="0" borderId="1" xfId="0" applyNumberFormat="1" applyFont="1" applyFill="1" applyBorder="1" applyAlignment="1">
      <alignment horizontal="center" vertical="top" wrapText="1"/>
    </xf>
    <xf numFmtId="0" fontId="6" fillId="0" borderId="6" xfId="0" applyFont="1" applyFill="1" applyBorder="1" applyAlignment="1">
      <alignment horizontal="left" vertical="center"/>
    </xf>
    <xf numFmtId="0" fontId="3" fillId="0" borderId="3" xfId="0" applyFont="1" applyFill="1" applyBorder="1" applyAlignment="1">
      <alignment horizontal="left" vertical="center" wrapText="1"/>
    </xf>
    <xf numFmtId="0" fontId="6" fillId="0" borderId="6" xfId="0" applyFont="1" applyFill="1" applyBorder="1" applyAlignment="1">
      <alignment horizontal="left" vertical="top"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164" fontId="3" fillId="0" borderId="0" xfId="0" applyNumberFormat="1" applyFont="1" applyFill="1"/>
    <xf numFmtId="0" fontId="3" fillId="0" borderId="0" xfId="0" applyFont="1" applyFill="1" applyAlignment="1">
      <alignment horizontal="center" wrapText="1"/>
    </xf>
    <xf numFmtId="0" fontId="3" fillId="0" borderId="0" xfId="0" applyFont="1" applyFill="1" applyAlignment="1">
      <alignment horizontal="right"/>
    </xf>
    <xf numFmtId="164" fontId="3" fillId="0" borderId="0" xfId="0" applyNumberFormat="1" applyFont="1" applyFill="1" applyAlignment="1">
      <alignment horizontal="right"/>
    </xf>
    <xf numFmtId="165" fontId="3" fillId="0" borderId="0" xfId="0" applyNumberFormat="1" applyFont="1" applyFill="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11"/>
  <sheetViews>
    <sheetView tabSelected="1" view="pageBreakPreview" zoomScale="60" workbookViewId="0">
      <pane xSplit="2" ySplit="14" topLeftCell="O76" activePane="bottomRight" state="frozen"/>
      <selection pane="topRight" activeCell="C1" sqref="C1"/>
      <selection pane="bottomLeft" activeCell="A15" sqref="A15"/>
      <selection pane="bottomRight" activeCell="T67" sqref="T67:U67"/>
    </sheetView>
  </sheetViews>
  <sheetFormatPr defaultRowHeight="18.75"/>
  <cols>
    <col min="1" max="1" width="6.140625" style="17" customWidth="1"/>
    <col min="2" max="2" width="205.7109375" style="18" customWidth="1"/>
    <col min="3" max="3" width="42.42578125" style="18" customWidth="1"/>
    <col min="4" max="4" width="23.5703125" style="18" customWidth="1"/>
    <col min="5" max="5" width="21.28515625" style="18" customWidth="1"/>
    <col min="6" max="6" width="22.42578125" style="18" customWidth="1"/>
    <col min="7" max="7" width="16.140625" style="18" customWidth="1"/>
    <col min="8" max="9" width="16.85546875" style="18" customWidth="1"/>
    <col min="10" max="10" width="21.140625" style="18" customWidth="1"/>
    <col min="11" max="11" width="18.140625" style="18" customWidth="1"/>
    <col min="12" max="12" width="15" style="18" customWidth="1"/>
    <col min="13" max="13" width="14.7109375" style="18" customWidth="1"/>
    <col min="14" max="14" width="14.28515625" style="18" customWidth="1"/>
    <col min="15" max="15" width="17.140625" style="18" customWidth="1"/>
    <col min="16" max="16" width="18.7109375" style="18" customWidth="1"/>
    <col min="17" max="17" width="17.28515625" style="18" customWidth="1"/>
    <col min="18" max="18" width="19" style="18" customWidth="1"/>
    <col min="19" max="19" width="13" style="18" customWidth="1"/>
    <col min="20" max="20" width="16.42578125" style="18" customWidth="1"/>
    <col min="21" max="21" width="12.7109375" style="18" customWidth="1"/>
    <col min="22" max="22" width="11.85546875" style="18" customWidth="1"/>
    <col min="23" max="23" width="11.7109375" style="18" customWidth="1"/>
    <col min="24" max="24" width="10.28515625" style="18" customWidth="1"/>
    <col min="25" max="25" width="18" style="18" customWidth="1"/>
    <col min="26" max="26" width="14.5703125" style="18" customWidth="1"/>
    <col min="27" max="27" width="13" style="18" customWidth="1"/>
    <col min="28" max="28" width="12.7109375" style="18" customWidth="1"/>
    <col min="29" max="29" width="14.28515625" style="18" customWidth="1"/>
    <col min="30" max="30" width="17.7109375" style="18" customWidth="1"/>
    <col min="31" max="16384" width="9.140625" style="19"/>
  </cols>
  <sheetData>
    <row r="1" spans="1:30">
      <c r="Z1" s="18" t="s">
        <v>118</v>
      </c>
    </row>
    <row r="2" spans="1:30">
      <c r="Z2" s="18" t="s">
        <v>119</v>
      </c>
    </row>
    <row r="3" spans="1:30">
      <c r="L3" s="20"/>
      <c r="M3" s="20"/>
      <c r="N3" s="20"/>
      <c r="O3" s="20"/>
      <c r="P3" s="20"/>
      <c r="Q3" s="20"/>
      <c r="R3" s="20"/>
      <c r="S3" s="20"/>
      <c r="T3" s="20"/>
      <c r="U3" s="20"/>
      <c r="V3" s="20"/>
      <c r="W3" s="20"/>
      <c r="X3" s="20"/>
      <c r="Y3" s="20"/>
      <c r="Z3" s="21" t="s">
        <v>120</v>
      </c>
      <c r="AA3" s="21"/>
      <c r="AB3" s="21"/>
      <c r="AC3" s="21"/>
      <c r="AD3" s="21"/>
    </row>
    <row r="4" spans="1:30">
      <c r="V4" s="22" t="s">
        <v>126</v>
      </c>
      <c r="W4" s="22"/>
      <c r="X4" s="22"/>
      <c r="Y4" s="22"/>
      <c r="Z4" s="22"/>
      <c r="AA4" s="22"/>
      <c r="AB4" s="22"/>
      <c r="AC4" s="22"/>
      <c r="AD4" s="22"/>
    </row>
    <row r="5" spans="1:30">
      <c r="A5" s="23" t="s">
        <v>0</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row>
    <row r="7" spans="1:30" ht="19.5">
      <c r="A7" s="24" t="s">
        <v>1</v>
      </c>
      <c r="B7" s="24" t="s">
        <v>92</v>
      </c>
      <c r="C7" s="24" t="s">
        <v>2</v>
      </c>
      <c r="D7" s="24" t="s">
        <v>3</v>
      </c>
      <c r="E7" s="25" t="s">
        <v>156</v>
      </c>
      <c r="F7" s="26"/>
      <c r="G7" s="26"/>
      <c r="H7" s="26"/>
      <c r="I7" s="26"/>
      <c r="J7" s="26"/>
      <c r="K7" s="26"/>
      <c r="L7" s="26"/>
      <c r="M7" s="26"/>
      <c r="N7" s="26"/>
      <c r="O7" s="26"/>
      <c r="P7" s="26"/>
      <c r="Q7" s="26"/>
      <c r="R7" s="26"/>
      <c r="S7" s="26"/>
      <c r="T7" s="26"/>
      <c r="U7" s="26"/>
      <c r="V7" s="26"/>
      <c r="W7" s="26"/>
      <c r="X7" s="26"/>
      <c r="Y7" s="26"/>
      <c r="Z7" s="26"/>
      <c r="AA7" s="26"/>
      <c r="AB7" s="26"/>
      <c r="AC7" s="26"/>
      <c r="AD7" s="27"/>
    </row>
    <row r="8" spans="1:30">
      <c r="A8" s="28"/>
      <c r="B8" s="28"/>
      <c r="C8" s="28"/>
      <c r="D8" s="28"/>
      <c r="E8" s="29" t="s">
        <v>35</v>
      </c>
      <c r="F8" s="30"/>
      <c r="G8" s="30"/>
      <c r="H8" s="30"/>
      <c r="I8" s="31"/>
      <c r="J8" s="29" t="s">
        <v>36</v>
      </c>
      <c r="K8" s="30"/>
      <c r="L8" s="30"/>
      <c r="M8" s="30"/>
      <c r="N8" s="31"/>
      <c r="O8" s="29" t="s">
        <v>37</v>
      </c>
      <c r="P8" s="30"/>
      <c r="Q8" s="30"/>
      <c r="R8" s="30"/>
      <c r="S8" s="31"/>
      <c r="T8" s="29" t="s">
        <v>38</v>
      </c>
      <c r="U8" s="30"/>
      <c r="V8" s="30"/>
      <c r="W8" s="30"/>
      <c r="X8" s="31"/>
      <c r="Y8" s="29" t="s">
        <v>39</v>
      </c>
      <c r="Z8" s="30"/>
      <c r="AA8" s="30"/>
      <c r="AB8" s="30"/>
      <c r="AC8" s="31"/>
      <c r="AD8" s="24" t="s">
        <v>4</v>
      </c>
    </row>
    <row r="9" spans="1:30" ht="89.25">
      <c r="A9" s="32"/>
      <c r="B9" s="32"/>
      <c r="C9" s="32"/>
      <c r="D9" s="32"/>
      <c r="E9" s="33" t="s">
        <v>5</v>
      </c>
      <c r="F9" s="34" t="s">
        <v>6</v>
      </c>
      <c r="G9" s="34" t="s">
        <v>7</v>
      </c>
      <c r="H9" s="34" t="s">
        <v>8</v>
      </c>
      <c r="I9" s="35" t="s">
        <v>9</v>
      </c>
      <c r="J9" s="33" t="s">
        <v>5</v>
      </c>
      <c r="K9" s="34" t="s">
        <v>6</v>
      </c>
      <c r="L9" s="34" t="s">
        <v>7</v>
      </c>
      <c r="M9" s="34" t="s">
        <v>8</v>
      </c>
      <c r="N9" s="35" t="s">
        <v>9</v>
      </c>
      <c r="O9" s="33" t="s">
        <v>5</v>
      </c>
      <c r="P9" s="34" t="s">
        <v>6</v>
      </c>
      <c r="Q9" s="34" t="s">
        <v>7</v>
      </c>
      <c r="R9" s="34" t="s">
        <v>8</v>
      </c>
      <c r="S9" s="35" t="s">
        <v>9</v>
      </c>
      <c r="T9" s="33" t="s">
        <v>5</v>
      </c>
      <c r="U9" s="34" t="s">
        <v>6</v>
      </c>
      <c r="V9" s="34" t="s">
        <v>7</v>
      </c>
      <c r="W9" s="34" t="s">
        <v>8</v>
      </c>
      <c r="X9" s="35" t="s">
        <v>9</v>
      </c>
      <c r="Y9" s="33" t="s">
        <v>5</v>
      </c>
      <c r="Z9" s="34" t="s">
        <v>6</v>
      </c>
      <c r="AA9" s="34" t="s">
        <v>7</v>
      </c>
      <c r="AB9" s="34" t="s">
        <v>8</v>
      </c>
      <c r="AC9" s="35" t="s">
        <v>9</v>
      </c>
      <c r="AD9" s="32"/>
    </row>
    <row r="10" spans="1:30">
      <c r="A10" s="36">
        <v>1</v>
      </c>
      <c r="B10" s="36">
        <v>2</v>
      </c>
      <c r="C10" s="36">
        <v>3</v>
      </c>
      <c r="D10" s="36">
        <v>4</v>
      </c>
      <c r="E10" s="36">
        <v>5</v>
      </c>
      <c r="F10" s="36">
        <v>6</v>
      </c>
      <c r="G10" s="36">
        <v>7</v>
      </c>
      <c r="H10" s="36">
        <v>8</v>
      </c>
      <c r="I10" s="36">
        <v>9</v>
      </c>
      <c r="J10" s="36">
        <v>10</v>
      </c>
      <c r="K10" s="36">
        <v>11</v>
      </c>
      <c r="L10" s="36">
        <v>12</v>
      </c>
      <c r="M10" s="36">
        <v>13</v>
      </c>
      <c r="N10" s="36">
        <v>14</v>
      </c>
      <c r="O10" s="36">
        <v>15</v>
      </c>
      <c r="P10" s="36">
        <v>16</v>
      </c>
      <c r="Q10" s="36">
        <v>17</v>
      </c>
      <c r="R10" s="36">
        <v>18</v>
      </c>
      <c r="S10" s="36">
        <v>19</v>
      </c>
      <c r="T10" s="36">
        <v>20</v>
      </c>
      <c r="U10" s="36">
        <v>21</v>
      </c>
      <c r="V10" s="36">
        <v>22</v>
      </c>
      <c r="W10" s="36">
        <v>23</v>
      </c>
      <c r="X10" s="36">
        <v>24</v>
      </c>
      <c r="Y10" s="36">
        <v>25</v>
      </c>
      <c r="Z10" s="36">
        <v>26</v>
      </c>
      <c r="AA10" s="36">
        <v>27</v>
      </c>
      <c r="AB10" s="36">
        <v>28</v>
      </c>
      <c r="AC10" s="36">
        <v>29</v>
      </c>
      <c r="AD10" s="36">
        <v>30</v>
      </c>
    </row>
    <row r="11" spans="1:30">
      <c r="A11" s="37" t="s">
        <v>157</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9"/>
    </row>
    <row r="12" spans="1:30" ht="23.25">
      <c r="A12" s="2" t="s">
        <v>93</v>
      </c>
      <c r="B12" s="40" t="s">
        <v>158</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2"/>
    </row>
    <row r="13" spans="1:30" ht="93">
      <c r="A13" s="3" t="s">
        <v>10</v>
      </c>
      <c r="B13" s="43" t="s">
        <v>33</v>
      </c>
      <c r="C13" s="44" t="s">
        <v>12</v>
      </c>
      <c r="D13" s="45" t="s">
        <v>40</v>
      </c>
      <c r="E13" s="46">
        <f>SUM(F13:I13)</f>
        <v>28350</v>
      </c>
      <c r="F13" s="46">
        <f>43350-15000</f>
        <v>28350</v>
      </c>
      <c r="G13" s="46">
        <v>0</v>
      </c>
      <c r="H13" s="46">
        <v>0</v>
      </c>
      <c r="I13" s="46">
        <v>0</v>
      </c>
      <c r="J13" s="46">
        <f>K13+L13+M13+N13</f>
        <v>26292</v>
      </c>
      <c r="K13" s="46">
        <f>19722+15778-9208</f>
        <v>26292</v>
      </c>
      <c r="L13" s="46">
        <v>0</v>
      </c>
      <c r="M13" s="1">
        <v>0</v>
      </c>
      <c r="N13" s="1">
        <v>0</v>
      </c>
      <c r="O13" s="1">
        <f>P13+Q13+R13+S13</f>
        <v>27273</v>
      </c>
      <c r="P13" s="1">
        <f>42513-15240</f>
        <v>27273</v>
      </c>
      <c r="Q13" s="1">
        <v>0</v>
      </c>
      <c r="R13" s="1">
        <v>0</v>
      </c>
      <c r="S13" s="1">
        <v>0</v>
      </c>
      <c r="T13" s="6">
        <f>U13+V13+W13+X13</f>
        <v>21084</v>
      </c>
      <c r="U13" s="6">
        <f>36216-4362-339-10431</f>
        <v>21084</v>
      </c>
      <c r="V13" s="1">
        <v>0</v>
      </c>
      <c r="W13" s="1">
        <v>0</v>
      </c>
      <c r="X13" s="1">
        <v>0</v>
      </c>
      <c r="Y13" s="1">
        <f>Z13+AA13+AB13+AC13</f>
        <v>0</v>
      </c>
      <c r="Z13" s="1">
        <v>0</v>
      </c>
      <c r="AA13" s="1">
        <v>0</v>
      </c>
      <c r="AB13" s="1">
        <v>0</v>
      </c>
      <c r="AC13" s="1">
        <v>0</v>
      </c>
      <c r="AD13" s="4">
        <f t="shared" ref="AD13:AD18" si="0">E13+J13+O13+T13+Y13</f>
        <v>102999</v>
      </c>
    </row>
    <row r="14" spans="1:30" ht="93">
      <c r="A14" s="3" t="s">
        <v>11</v>
      </c>
      <c r="B14" s="47" t="s">
        <v>123</v>
      </c>
      <c r="C14" s="48"/>
      <c r="D14" s="45" t="s">
        <v>40</v>
      </c>
      <c r="E14" s="46">
        <f>SUM(F14:I14)</f>
        <v>7359</v>
      </c>
      <c r="F14" s="46">
        <f>12748-5387-2060</f>
        <v>5301</v>
      </c>
      <c r="G14" s="46">
        <v>0</v>
      </c>
      <c r="H14" s="46">
        <v>0</v>
      </c>
      <c r="I14" s="46">
        <f>4602-2544</f>
        <v>2058</v>
      </c>
      <c r="J14" s="46">
        <v>0</v>
      </c>
      <c r="K14" s="46">
        <v>0</v>
      </c>
      <c r="L14" s="46">
        <v>0</v>
      </c>
      <c r="M14" s="1">
        <v>0</v>
      </c>
      <c r="N14" s="1">
        <v>0</v>
      </c>
      <c r="O14" s="1">
        <v>0</v>
      </c>
      <c r="P14" s="1">
        <v>0</v>
      </c>
      <c r="Q14" s="1">
        <v>0</v>
      </c>
      <c r="R14" s="1">
        <v>0</v>
      </c>
      <c r="S14" s="1">
        <v>0</v>
      </c>
      <c r="T14" s="1">
        <f>U14+V14+W14+X14</f>
        <v>0</v>
      </c>
      <c r="U14" s="1">
        <v>0</v>
      </c>
      <c r="V14" s="1">
        <v>0</v>
      </c>
      <c r="W14" s="1">
        <v>0</v>
      </c>
      <c r="X14" s="1">
        <v>0</v>
      </c>
      <c r="Y14" s="1">
        <f>Z14+AA14+AB14+AC14</f>
        <v>0</v>
      </c>
      <c r="Z14" s="1">
        <v>0</v>
      </c>
      <c r="AA14" s="1">
        <v>0</v>
      </c>
      <c r="AB14" s="1">
        <v>0</v>
      </c>
      <c r="AC14" s="1">
        <v>0</v>
      </c>
      <c r="AD14" s="4">
        <f t="shared" si="0"/>
        <v>7359</v>
      </c>
    </row>
    <row r="15" spans="1:30" ht="93">
      <c r="A15" s="3" t="s">
        <v>13</v>
      </c>
      <c r="B15" s="49" t="s">
        <v>55</v>
      </c>
      <c r="C15" s="50" t="s">
        <v>91</v>
      </c>
      <c r="D15" s="2" t="s">
        <v>40</v>
      </c>
      <c r="E15" s="46">
        <f>F15+G15+H15+I15</f>
        <v>8260</v>
      </c>
      <c r="F15" s="46">
        <f>8260</f>
        <v>8260</v>
      </c>
      <c r="G15" s="46">
        <v>0</v>
      </c>
      <c r="H15" s="46">
        <v>0</v>
      </c>
      <c r="I15" s="46">
        <v>0</v>
      </c>
      <c r="J15" s="46">
        <f>K15+L15+M15+N15</f>
        <v>11513</v>
      </c>
      <c r="K15" s="46">
        <v>11513</v>
      </c>
      <c r="L15" s="46">
        <v>0</v>
      </c>
      <c r="M15" s="1">
        <v>0</v>
      </c>
      <c r="N15" s="1">
        <v>0</v>
      </c>
      <c r="O15" s="1">
        <f>P15+Q15+R15+S15</f>
        <v>10547</v>
      </c>
      <c r="P15" s="1">
        <v>10547</v>
      </c>
      <c r="Q15" s="1">
        <v>0</v>
      </c>
      <c r="R15" s="1">
        <v>0</v>
      </c>
      <c r="S15" s="1">
        <v>0</v>
      </c>
      <c r="T15" s="6">
        <f>U15+V15+W15+X15</f>
        <v>12492</v>
      </c>
      <c r="U15" s="6">
        <f>11663+829</f>
        <v>12492</v>
      </c>
      <c r="V15" s="1">
        <v>0</v>
      </c>
      <c r="W15" s="1">
        <v>0</v>
      </c>
      <c r="X15" s="1">
        <v>0</v>
      </c>
      <c r="Y15" s="1">
        <f>Z15+AA15+AB15+AC15</f>
        <v>0</v>
      </c>
      <c r="Z15" s="1">
        <v>0</v>
      </c>
      <c r="AA15" s="1">
        <v>0</v>
      </c>
      <c r="AB15" s="1">
        <v>0</v>
      </c>
      <c r="AC15" s="1">
        <v>0</v>
      </c>
      <c r="AD15" s="4">
        <f t="shared" si="0"/>
        <v>42812</v>
      </c>
    </row>
    <row r="16" spans="1:30" ht="69.75">
      <c r="A16" s="3" t="s">
        <v>14</v>
      </c>
      <c r="B16" s="51" t="s">
        <v>124</v>
      </c>
      <c r="C16" s="52" t="s">
        <v>12</v>
      </c>
      <c r="D16" s="2" t="s">
        <v>40</v>
      </c>
      <c r="E16" s="46">
        <f>F16+G16+H16+I16</f>
        <v>586.36999999999978</v>
      </c>
      <c r="F16" s="46">
        <f>3300-2825.3</f>
        <v>474.69999999999982</v>
      </c>
      <c r="G16" s="46">
        <v>0</v>
      </c>
      <c r="H16" s="46">
        <v>0</v>
      </c>
      <c r="I16" s="46">
        <f>775-663.33</f>
        <v>111.66999999999996</v>
      </c>
      <c r="J16" s="46">
        <v>0</v>
      </c>
      <c r="K16" s="46">
        <v>0</v>
      </c>
      <c r="L16" s="46">
        <v>0</v>
      </c>
      <c r="M16" s="1">
        <v>0</v>
      </c>
      <c r="N16" s="1">
        <v>0</v>
      </c>
      <c r="O16" s="1">
        <v>0</v>
      </c>
      <c r="P16" s="1">
        <v>0</v>
      </c>
      <c r="Q16" s="1">
        <v>0</v>
      </c>
      <c r="R16" s="1">
        <v>0</v>
      </c>
      <c r="S16" s="1">
        <v>0</v>
      </c>
      <c r="T16" s="1">
        <v>0</v>
      </c>
      <c r="U16" s="1">
        <v>0</v>
      </c>
      <c r="V16" s="1">
        <v>0</v>
      </c>
      <c r="W16" s="1">
        <v>0</v>
      </c>
      <c r="X16" s="1">
        <v>0</v>
      </c>
      <c r="Y16" s="1">
        <v>0</v>
      </c>
      <c r="Z16" s="1">
        <v>0</v>
      </c>
      <c r="AA16" s="1">
        <v>0</v>
      </c>
      <c r="AB16" s="1">
        <v>0</v>
      </c>
      <c r="AC16" s="1">
        <v>0</v>
      </c>
      <c r="AD16" s="4">
        <f t="shared" si="0"/>
        <v>586.36999999999978</v>
      </c>
    </row>
    <row r="17" spans="1:31" ht="37.5">
      <c r="A17" s="3" t="s">
        <v>15</v>
      </c>
      <c r="B17" s="51" t="s">
        <v>83</v>
      </c>
      <c r="C17" s="50" t="s">
        <v>41</v>
      </c>
      <c r="D17" s="53">
        <v>2020</v>
      </c>
      <c r="E17" s="46">
        <f t="shared" ref="E17:E22" si="1">F17+G17+H17+I17</f>
        <v>1192</v>
      </c>
      <c r="F17" s="46">
        <v>1192</v>
      </c>
      <c r="G17" s="46">
        <v>0</v>
      </c>
      <c r="H17" s="46">
        <v>0</v>
      </c>
      <c r="I17" s="46">
        <v>0</v>
      </c>
      <c r="J17" s="46">
        <f t="shared" ref="J17:J22" si="2">K17+L17+M17+N17</f>
        <v>0</v>
      </c>
      <c r="K17" s="46">
        <v>0</v>
      </c>
      <c r="L17" s="46">
        <v>0</v>
      </c>
      <c r="M17" s="1">
        <v>0</v>
      </c>
      <c r="N17" s="1">
        <v>0</v>
      </c>
      <c r="O17" s="1">
        <f>P17+Q17+R17+S17</f>
        <v>0</v>
      </c>
      <c r="P17" s="1">
        <v>0</v>
      </c>
      <c r="Q17" s="1">
        <v>0</v>
      </c>
      <c r="R17" s="1">
        <v>0</v>
      </c>
      <c r="S17" s="1">
        <v>0</v>
      </c>
      <c r="T17" s="1">
        <f>U17+V17+W17+X17</f>
        <v>0</v>
      </c>
      <c r="U17" s="1">
        <v>0</v>
      </c>
      <c r="V17" s="1">
        <v>0</v>
      </c>
      <c r="W17" s="1">
        <v>0</v>
      </c>
      <c r="X17" s="1">
        <v>0</v>
      </c>
      <c r="Y17" s="1">
        <f>Z17+AA17+AB17+AC17</f>
        <v>0</v>
      </c>
      <c r="Z17" s="1">
        <v>0</v>
      </c>
      <c r="AA17" s="1">
        <v>0</v>
      </c>
      <c r="AB17" s="1">
        <v>0</v>
      </c>
      <c r="AC17" s="1">
        <v>0</v>
      </c>
      <c r="AD17" s="1">
        <f t="shared" si="0"/>
        <v>1192</v>
      </c>
    </row>
    <row r="18" spans="1:31" ht="46.5">
      <c r="A18" s="3" t="s">
        <v>71</v>
      </c>
      <c r="B18" s="51" t="s">
        <v>57</v>
      </c>
      <c r="C18" s="50" t="s">
        <v>41</v>
      </c>
      <c r="D18" s="53" t="s">
        <v>72</v>
      </c>
      <c r="E18" s="46">
        <f t="shared" si="1"/>
        <v>6060</v>
      </c>
      <c r="F18" s="46">
        <f>6183-123</f>
        <v>6060</v>
      </c>
      <c r="G18" s="46">
        <v>0</v>
      </c>
      <c r="H18" s="46">
        <v>0</v>
      </c>
      <c r="I18" s="46">
        <v>0</v>
      </c>
      <c r="J18" s="46">
        <f t="shared" si="2"/>
        <v>5586</v>
      </c>
      <c r="K18" s="46">
        <f>5832-126-120</f>
        <v>5586</v>
      </c>
      <c r="L18" s="46">
        <v>0</v>
      </c>
      <c r="M18" s="1">
        <v>0</v>
      </c>
      <c r="N18" s="1">
        <v>0</v>
      </c>
      <c r="O18" s="54">
        <f>P18+Q18+R18+S18</f>
        <v>5310</v>
      </c>
      <c r="P18" s="54">
        <f>5760-60-390</f>
        <v>5310</v>
      </c>
      <c r="Q18" s="54">
        <v>0</v>
      </c>
      <c r="R18" s="54">
        <v>0</v>
      </c>
      <c r="S18" s="54">
        <v>0</v>
      </c>
      <c r="T18" s="1">
        <f>U18+V18+W18+X18</f>
        <v>5004</v>
      </c>
      <c r="U18" s="1">
        <v>5004</v>
      </c>
      <c r="V18" s="1">
        <v>0</v>
      </c>
      <c r="W18" s="1">
        <v>0</v>
      </c>
      <c r="X18" s="1">
        <v>0</v>
      </c>
      <c r="Y18" s="1">
        <f>Z18+AA18+AB18+AC18</f>
        <v>0</v>
      </c>
      <c r="Z18" s="1">
        <v>0</v>
      </c>
      <c r="AA18" s="1">
        <v>0</v>
      </c>
      <c r="AB18" s="1">
        <v>0</v>
      </c>
      <c r="AC18" s="1">
        <v>0</v>
      </c>
      <c r="AD18" s="1">
        <f t="shared" si="0"/>
        <v>21960</v>
      </c>
    </row>
    <row r="19" spans="1:31" ht="37.5">
      <c r="A19" s="3" t="s">
        <v>74</v>
      </c>
      <c r="B19" s="5" t="s">
        <v>60</v>
      </c>
      <c r="C19" s="50" t="s">
        <v>41</v>
      </c>
      <c r="D19" s="53" t="s">
        <v>128</v>
      </c>
      <c r="E19" s="46">
        <f t="shared" si="1"/>
        <v>785</v>
      </c>
      <c r="F19" s="46">
        <v>785</v>
      </c>
      <c r="G19" s="46">
        <v>0</v>
      </c>
      <c r="H19" s="46">
        <v>0</v>
      </c>
      <c r="I19" s="46">
        <v>0</v>
      </c>
      <c r="J19" s="46">
        <f t="shared" si="2"/>
        <v>90</v>
      </c>
      <c r="K19" s="46">
        <v>90</v>
      </c>
      <c r="L19" s="46">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f>E19+J19+O19+T19+Y19</f>
        <v>875</v>
      </c>
    </row>
    <row r="20" spans="1:31" ht="46.5">
      <c r="A20" s="3" t="s">
        <v>81</v>
      </c>
      <c r="B20" s="5" t="s">
        <v>62</v>
      </c>
      <c r="C20" s="50" t="s">
        <v>41</v>
      </c>
      <c r="D20" s="53">
        <v>2020</v>
      </c>
      <c r="E20" s="46">
        <f t="shared" si="1"/>
        <v>110</v>
      </c>
      <c r="F20" s="46">
        <v>110</v>
      </c>
      <c r="G20" s="46">
        <v>0</v>
      </c>
      <c r="H20" s="46">
        <v>0</v>
      </c>
      <c r="I20" s="46">
        <v>0</v>
      </c>
      <c r="J20" s="46">
        <f t="shared" si="2"/>
        <v>0</v>
      </c>
      <c r="K20" s="46">
        <v>0</v>
      </c>
      <c r="L20" s="46">
        <v>0</v>
      </c>
      <c r="M20" s="1">
        <v>0</v>
      </c>
      <c r="N20" s="1">
        <v>0</v>
      </c>
      <c r="O20" s="1">
        <f t="shared" ref="O20:O26" si="3">P20+Q20+R20+S20</f>
        <v>0</v>
      </c>
      <c r="P20" s="1">
        <v>0</v>
      </c>
      <c r="Q20" s="1">
        <v>0</v>
      </c>
      <c r="R20" s="1">
        <v>0</v>
      </c>
      <c r="S20" s="1">
        <v>0</v>
      </c>
      <c r="T20" s="1">
        <f t="shared" ref="T20:T26" si="4">U20+V20+W20+X20</f>
        <v>0</v>
      </c>
      <c r="U20" s="1">
        <v>0</v>
      </c>
      <c r="V20" s="1">
        <v>0</v>
      </c>
      <c r="W20" s="1">
        <v>0</v>
      </c>
      <c r="X20" s="1">
        <v>0</v>
      </c>
      <c r="Y20" s="1">
        <f>Z20+AA20+AB20+AC20</f>
        <v>0</v>
      </c>
      <c r="Z20" s="1">
        <v>0</v>
      </c>
      <c r="AA20" s="1">
        <v>0</v>
      </c>
      <c r="AB20" s="1">
        <v>0</v>
      </c>
      <c r="AC20" s="1">
        <v>0</v>
      </c>
      <c r="AD20" s="1">
        <f t="shared" ref="AD20:AD26" si="5">E20+J20+O20+T20+Y20</f>
        <v>110</v>
      </c>
    </row>
    <row r="21" spans="1:31" ht="46.5">
      <c r="A21" s="3" t="s">
        <v>84</v>
      </c>
      <c r="B21" s="5" t="s">
        <v>58</v>
      </c>
      <c r="C21" s="50" t="s">
        <v>41</v>
      </c>
      <c r="D21" s="53">
        <v>2020</v>
      </c>
      <c r="E21" s="46">
        <f t="shared" si="1"/>
        <v>53</v>
      </c>
      <c r="F21" s="46">
        <v>53</v>
      </c>
      <c r="G21" s="46">
        <v>0</v>
      </c>
      <c r="H21" s="46">
        <v>0</v>
      </c>
      <c r="I21" s="46">
        <v>0</v>
      </c>
      <c r="J21" s="46">
        <f t="shared" si="2"/>
        <v>0</v>
      </c>
      <c r="K21" s="46">
        <v>0</v>
      </c>
      <c r="L21" s="46">
        <v>0</v>
      </c>
      <c r="M21" s="1">
        <v>0</v>
      </c>
      <c r="N21" s="1">
        <v>0</v>
      </c>
      <c r="O21" s="1">
        <f t="shared" si="3"/>
        <v>0</v>
      </c>
      <c r="P21" s="1">
        <v>0</v>
      </c>
      <c r="Q21" s="1">
        <v>0</v>
      </c>
      <c r="R21" s="1">
        <v>0</v>
      </c>
      <c r="S21" s="1">
        <v>0</v>
      </c>
      <c r="T21" s="1">
        <f t="shared" si="4"/>
        <v>0</v>
      </c>
      <c r="U21" s="1">
        <v>0</v>
      </c>
      <c r="V21" s="1">
        <v>0</v>
      </c>
      <c r="W21" s="1">
        <v>0</v>
      </c>
      <c r="X21" s="1">
        <v>0</v>
      </c>
      <c r="Y21" s="1">
        <f>Z21+AA21+AB21+AC21</f>
        <v>0</v>
      </c>
      <c r="Z21" s="1">
        <v>0</v>
      </c>
      <c r="AA21" s="1">
        <v>0</v>
      </c>
      <c r="AB21" s="1">
        <v>0</v>
      </c>
      <c r="AC21" s="1">
        <v>0</v>
      </c>
      <c r="AD21" s="1">
        <f t="shared" si="5"/>
        <v>53</v>
      </c>
    </row>
    <row r="22" spans="1:31" ht="46.5">
      <c r="A22" s="3" t="s">
        <v>85</v>
      </c>
      <c r="B22" s="5" t="s">
        <v>59</v>
      </c>
      <c r="C22" s="50" t="s">
        <v>41</v>
      </c>
      <c r="D22" s="53">
        <v>2020</v>
      </c>
      <c r="E22" s="46">
        <f t="shared" si="1"/>
        <v>130</v>
      </c>
      <c r="F22" s="46">
        <f>112+18</f>
        <v>130</v>
      </c>
      <c r="G22" s="46">
        <v>0</v>
      </c>
      <c r="H22" s="46">
        <v>0</v>
      </c>
      <c r="I22" s="46">
        <v>0</v>
      </c>
      <c r="J22" s="46">
        <f t="shared" si="2"/>
        <v>0</v>
      </c>
      <c r="K22" s="46">
        <v>0</v>
      </c>
      <c r="L22" s="46">
        <v>0</v>
      </c>
      <c r="M22" s="1">
        <v>0</v>
      </c>
      <c r="N22" s="1">
        <v>0</v>
      </c>
      <c r="O22" s="1">
        <f t="shared" si="3"/>
        <v>0</v>
      </c>
      <c r="P22" s="1">
        <v>0</v>
      </c>
      <c r="Q22" s="1">
        <v>0</v>
      </c>
      <c r="R22" s="1">
        <v>0</v>
      </c>
      <c r="S22" s="1">
        <v>0</v>
      </c>
      <c r="T22" s="1">
        <f t="shared" si="4"/>
        <v>0</v>
      </c>
      <c r="U22" s="1">
        <v>0</v>
      </c>
      <c r="V22" s="1">
        <v>0</v>
      </c>
      <c r="W22" s="1">
        <v>0</v>
      </c>
      <c r="X22" s="1">
        <v>0</v>
      </c>
      <c r="Y22" s="1">
        <f>Z22+AA22+AB22+AC22</f>
        <v>0</v>
      </c>
      <c r="Z22" s="1">
        <v>0</v>
      </c>
      <c r="AA22" s="1">
        <v>0</v>
      </c>
      <c r="AB22" s="1">
        <v>0</v>
      </c>
      <c r="AC22" s="1">
        <v>0</v>
      </c>
      <c r="AD22" s="1">
        <f t="shared" si="5"/>
        <v>130</v>
      </c>
    </row>
    <row r="23" spans="1:31" ht="46.5">
      <c r="A23" s="3" t="s">
        <v>86</v>
      </c>
      <c r="B23" s="5" t="s">
        <v>61</v>
      </c>
      <c r="C23" s="50" t="s">
        <v>41</v>
      </c>
      <c r="D23" s="53" t="s">
        <v>72</v>
      </c>
      <c r="E23" s="46">
        <v>120</v>
      </c>
      <c r="F23" s="46">
        <v>120</v>
      </c>
      <c r="G23" s="46">
        <v>0</v>
      </c>
      <c r="H23" s="46">
        <v>0</v>
      </c>
      <c r="I23" s="46">
        <v>0</v>
      </c>
      <c r="J23" s="46">
        <f>K23+L23+M23+N23</f>
        <v>0</v>
      </c>
      <c r="K23" s="46">
        <f>60-60</f>
        <v>0</v>
      </c>
      <c r="L23" s="46">
        <v>0</v>
      </c>
      <c r="M23" s="1">
        <v>0</v>
      </c>
      <c r="N23" s="1">
        <v>0</v>
      </c>
      <c r="O23" s="1">
        <f t="shared" si="3"/>
        <v>120</v>
      </c>
      <c r="P23" s="1">
        <f>60+60</f>
        <v>120</v>
      </c>
      <c r="Q23" s="1">
        <v>0</v>
      </c>
      <c r="R23" s="1">
        <v>0</v>
      </c>
      <c r="S23" s="1">
        <v>0</v>
      </c>
      <c r="T23" s="1">
        <f>U23+V23+W23+X23</f>
        <v>60</v>
      </c>
      <c r="U23" s="1">
        <f>30+30</f>
        <v>60</v>
      </c>
      <c r="V23" s="1">
        <v>0</v>
      </c>
      <c r="W23" s="1">
        <v>0</v>
      </c>
      <c r="X23" s="1">
        <v>0</v>
      </c>
      <c r="Y23" s="1">
        <v>0</v>
      </c>
      <c r="Z23" s="1">
        <v>0</v>
      </c>
      <c r="AA23" s="1">
        <v>0</v>
      </c>
      <c r="AB23" s="1">
        <v>0</v>
      </c>
      <c r="AC23" s="1">
        <v>0</v>
      </c>
      <c r="AD23" s="1">
        <f>E23+J23+O23+T23+Y23</f>
        <v>300</v>
      </c>
    </row>
    <row r="24" spans="1:31" ht="37.5">
      <c r="A24" s="3" t="s">
        <v>87</v>
      </c>
      <c r="B24" s="5" t="s">
        <v>80</v>
      </c>
      <c r="C24" s="50" t="s">
        <v>23</v>
      </c>
      <c r="D24" s="53" t="s">
        <v>133</v>
      </c>
      <c r="E24" s="46">
        <v>23068</v>
      </c>
      <c r="F24" s="46">
        <v>0</v>
      </c>
      <c r="G24" s="46">
        <v>23068</v>
      </c>
      <c r="H24" s="46">
        <v>0</v>
      </c>
      <c r="I24" s="46">
        <v>0</v>
      </c>
      <c r="J24" s="46">
        <f>K24+L24+M24+N24</f>
        <v>22592</v>
      </c>
      <c r="K24" s="46">
        <v>0</v>
      </c>
      <c r="L24" s="46">
        <f>23742-1150</f>
        <v>22592</v>
      </c>
      <c r="M24" s="1">
        <v>0</v>
      </c>
      <c r="N24" s="1">
        <v>0</v>
      </c>
      <c r="O24" s="1">
        <f t="shared" si="3"/>
        <v>25095.52</v>
      </c>
      <c r="P24" s="1">
        <v>0</v>
      </c>
      <c r="Q24" s="1">
        <f>24077+1018.52</f>
        <v>25095.52</v>
      </c>
      <c r="R24" s="1">
        <v>0</v>
      </c>
      <c r="S24" s="1">
        <v>0</v>
      </c>
      <c r="T24" s="1">
        <f t="shared" si="4"/>
        <v>25952</v>
      </c>
      <c r="U24" s="1">
        <v>0</v>
      </c>
      <c r="V24" s="1">
        <v>25952</v>
      </c>
      <c r="W24" s="1">
        <v>0</v>
      </c>
      <c r="X24" s="1">
        <v>0</v>
      </c>
      <c r="Y24" s="1">
        <f>Z24+AA24+AB24+AC24</f>
        <v>25952</v>
      </c>
      <c r="Z24" s="1">
        <v>0</v>
      </c>
      <c r="AA24" s="1">
        <v>25952</v>
      </c>
      <c r="AB24" s="1">
        <v>0</v>
      </c>
      <c r="AC24" s="1">
        <v>0</v>
      </c>
      <c r="AD24" s="1">
        <f>E24+J24+O24+T24+Y24</f>
        <v>122659.52</v>
      </c>
    </row>
    <row r="25" spans="1:31" ht="46.5">
      <c r="A25" s="3" t="s">
        <v>88</v>
      </c>
      <c r="B25" s="5" t="s">
        <v>78</v>
      </c>
      <c r="C25" s="50" t="s">
        <v>23</v>
      </c>
      <c r="D25" s="53" t="s">
        <v>140</v>
      </c>
      <c r="E25" s="46">
        <v>238</v>
      </c>
      <c r="F25" s="55">
        <v>0</v>
      </c>
      <c r="G25" s="46">
        <v>238</v>
      </c>
      <c r="H25" s="46">
        <v>0</v>
      </c>
      <c r="I25" s="46">
        <v>0</v>
      </c>
      <c r="J25" s="46">
        <f>K25+L25+M25+N25</f>
        <v>476</v>
      </c>
      <c r="K25" s="46">
        <v>0</v>
      </c>
      <c r="L25" s="46">
        <v>476</v>
      </c>
      <c r="M25" s="1">
        <v>0</v>
      </c>
      <c r="N25" s="1">
        <v>0</v>
      </c>
      <c r="O25" s="1">
        <f t="shared" si="3"/>
        <v>2380</v>
      </c>
      <c r="P25" s="1">
        <v>0</v>
      </c>
      <c r="Q25" s="1">
        <f>476+1428+476</f>
        <v>2380</v>
      </c>
      <c r="R25" s="1">
        <v>0</v>
      </c>
      <c r="S25" s="1">
        <v>0</v>
      </c>
      <c r="T25" s="1">
        <f>V25</f>
        <v>4285</v>
      </c>
      <c r="U25" s="1">
        <v>0</v>
      </c>
      <c r="V25" s="1">
        <f>2142+2142+1</f>
        <v>4285</v>
      </c>
      <c r="W25" s="1">
        <v>0</v>
      </c>
      <c r="X25" s="1">
        <v>0</v>
      </c>
      <c r="Y25" s="1">
        <v>1428</v>
      </c>
      <c r="Z25" s="1">
        <v>0</v>
      </c>
      <c r="AA25" s="1">
        <v>1428</v>
      </c>
      <c r="AB25" s="1">
        <v>0</v>
      </c>
      <c r="AC25" s="1">
        <v>0</v>
      </c>
      <c r="AD25" s="1">
        <f>E25+J25+O25+T25+Y25</f>
        <v>8807</v>
      </c>
    </row>
    <row r="26" spans="1:31" ht="46.5">
      <c r="A26" s="3" t="s">
        <v>89</v>
      </c>
      <c r="B26" s="51" t="s">
        <v>90</v>
      </c>
      <c r="C26" s="50" t="s">
        <v>41</v>
      </c>
      <c r="D26" s="53">
        <v>2020</v>
      </c>
      <c r="E26" s="46">
        <f>F26+G26+H26+I26</f>
        <v>120</v>
      </c>
      <c r="F26" s="46">
        <f>300-180</f>
        <v>120</v>
      </c>
      <c r="G26" s="46">
        <v>0</v>
      </c>
      <c r="H26" s="46">
        <v>0</v>
      </c>
      <c r="I26" s="46">
        <v>0</v>
      </c>
      <c r="J26" s="46">
        <f>K26+L26+M26+N26</f>
        <v>0</v>
      </c>
      <c r="K26" s="46">
        <v>0</v>
      </c>
      <c r="L26" s="46">
        <v>0</v>
      </c>
      <c r="M26" s="1">
        <v>0</v>
      </c>
      <c r="N26" s="1">
        <v>0</v>
      </c>
      <c r="O26" s="1">
        <f t="shared" si="3"/>
        <v>0</v>
      </c>
      <c r="P26" s="1">
        <v>0</v>
      </c>
      <c r="Q26" s="1">
        <v>0</v>
      </c>
      <c r="R26" s="1">
        <v>0</v>
      </c>
      <c r="S26" s="1">
        <v>0</v>
      </c>
      <c r="T26" s="1">
        <f t="shared" si="4"/>
        <v>0</v>
      </c>
      <c r="U26" s="1">
        <v>0</v>
      </c>
      <c r="V26" s="1">
        <v>0</v>
      </c>
      <c r="W26" s="1">
        <v>0</v>
      </c>
      <c r="X26" s="1">
        <v>0</v>
      </c>
      <c r="Y26" s="1">
        <f>Z26+AA26+AB26+AC26</f>
        <v>0</v>
      </c>
      <c r="Z26" s="1">
        <v>0</v>
      </c>
      <c r="AA26" s="1">
        <v>0</v>
      </c>
      <c r="AB26" s="1">
        <v>0</v>
      </c>
      <c r="AC26" s="1">
        <v>0</v>
      </c>
      <c r="AD26" s="1">
        <f t="shared" si="5"/>
        <v>120</v>
      </c>
    </row>
    <row r="27" spans="1:31" ht="23.25">
      <c r="A27" s="56" t="s">
        <v>144</v>
      </c>
      <c r="B27" s="57"/>
      <c r="C27" s="58"/>
      <c r="D27" s="8"/>
      <c r="E27" s="4">
        <f>E28+E29+E30</f>
        <v>76431.37</v>
      </c>
      <c r="F27" s="4">
        <f>SUM(F13:F26)</f>
        <v>50955.7</v>
      </c>
      <c r="G27" s="4">
        <f>G28+G29+G30</f>
        <v>23306</v>
      </c>
      <c r="H27" s="4">
        <f>SUM(H13:H17)</f>
        <v>0</v>
      </c>
      <c r="I27" s="4">
        <f>SUM(I13:I17)</f>
        <v>2169.67</v>
      </c>
      <c r="J27" s="4">
        <f>J28+J29+J30</f>
        <v>66549</v>
      </c>
      <c r="K27" s="4">
        <f>K28+K29</f>
        <v>43481</v>
      </c>
      <c r="L27" s="4">
        <f>L13+L14+L15+L16+L17+L18+L19+L20+L21+L22+L23+L24+L25+L26</f>
        <v>23068</v>
      </c>
      <c r="M27" s="4">
        <f>SUM(M13:M17)</f>
        <v>0</v>
      </c>
      <c r="N27" s="4">
        <f>SUM(N13:N17)</f>
        <v>0</v>
      </c>
      <c r="O27" s="4">
        <f>P27+Q27+R27+S27</f>
        <v>70725.52</v>
      </c>
      <c r="P27" s="4">
        <f>P28+P29</f>
        <v>43250</v>
      </c>
      <c r="Q27" s="4">
        <f>Q28+Q29+Q30</f>
        <v>27475.52</v>
      </c>
      <c r="R27" s="4">
        <f>SUM(R13:R17)</f>
        <v>0</v>
      </c>
      <c r="S27" s="4">
        <f>SUM(S13:S17)</f>
        <v>0</v>
      </c>
      <c r="T27" s="4">
        <f>SUM(T13:T26)</f>
        <v>68877</v>
      </c>
      <c r="U27" s="4">
        <f>SUM(U13:U26)</f>
        <v>38640</v>
      </c>
      <c r="V27" s="4">
        <f>V28+V29+V30</f>
        <v>30237</v>
      </c>
      <c r="W27" s="4">
        <f>SUM(W13:W16)</f>
        <v>0</v>
      </c>
      <c r="X27" s="4">
        <f>SUM(X13:X16)</f>
        <v>0</v>
      </c>
      <c r="Y27" s="4">
        <f>Y28+Y29+Y30</f>
        <v>27380</v>
      </c>
      <c r="Z27" s="4">
        <f>Z28+Z29+Z30</f>
        <v>0</v>
      </c>
      <c r="AA27" s="4">
        <f>AA28+AA29+AA30</f>
        <v>27380</v>
      </c>
      <c r="AB27" s="4">
        <f>SUM(AB13:AB17)</f>
        <v>0</v>
      </c>
      <c r="AC27" s="4">
        <f>SUM(AC13:AC17)</f>
        <v>0</v>
      </c>
      <c r="AD27" s="4">
        <f>AD28+AD29+AD30</f>
        <v>309962.89</v>
      </c>
    </row>
    <row r="28" spans="1:31" ht="23.25">
      <c r="A28" s="59" t="s">
        <v>12</v>
      </c>
      <c r="B28" s="60"/>
      <c r="C28" s="61"/>
      <c r="D28" s="9"/>
      <c r="E28" s="1">
        <f>F28+G28+H28+I28</f>
        <v>36295.369999999995</v>
      </c>
      <c r="F28" s="1">
        <f>F13+F14+F16</f>
        <v>34125.699999999997</v>
      </c>
      <c r="G28" s="1">
        <f>G13+G14+G16</f>
        <v>0</v>
      </c>
      <c r="H28" s="1">
        <f>G13+G14+G16</f>
        <v>0</v>
      </c>
      <c r="I28" s="1">
        <f>I14+I16</f>
        <v>2169.67</v>
      </c>
      <c r="J28" s="1">
        <f t="shared" ref="J28:V28" si="6">J13+J14+J16</f>
        <v>26292</v>
      </c>
      <c r="K28" s="1">
        <f t="shared" si="6"/>
        <v>26292</v>
      </c>
      <c r="L28" s="1">
        <f t="shared" si="6"/>
        <v>0</v>
      </c>
      <c r="M28" s="1">
        <f t="shared" si="6"/>
        <v>0</v>
      </c>
      <c r="N28" s="1">
        <f t="shared" si="6"/>
        <v>0</v>
      </c>
      <c r="O28" s="1">
        <f t="shared" si="6"/>
        <v>27273</v>
      </c>
      <c r="P28" s="1">
        <f t="shared" si="6"/>
        <v>27273</v>
      </c>
      <c r="Q28" s="1">
        <f t="shared" si="6"/>
        <v>0</v>
      </c>
      <c r="R28" s="1">
        <f t="shared" si="6"/>
        <v>0</v>
      </c>
      <c r="S28" s="1">
        <f t="shared" si="6"/>
        <v>0</v>
      </c>
      <c r="T28" s="1">
        <f t="shared" si="6"/>
        <v>21084</v>
      </c>
      <c r="U28" s="1">
        <f t="shared" si="6"/>
        <v>21084</v>
      </c>
      <c r="V28" s="1">
        <f t="shared" si="6"/>
        <v>0</v>
      </c>
      <c r="W28" s="1">
        <f>W13+W14+W16</f>
        <v>0</v>
      </c>
      <c r="X28" s="1">
        <f t="shared" ref="X28:AC28" si="7">X13+X14+X16</f>
        <v>0</v>
      </c>
      <c r="Y28" s="1">
        <f t="shared" si="7"/>
        <v>0</v>
      </c>
      <c r="Z28" s="1">
        <f>Z13+Z14+Z16</f>
        <v>0</v>
      </c>
      <c r="AA28" s="1">
        <f t="shared" si="7"/>
        <v>0</v>
      </c>
      <c r="AB28" s="1">
        <f t="shared" si="7"/>
        <v>0</v>
      </c>
      <c r="AC28" s="1">
        <f t="shared" si="7"/>
        <v>0</v>
      </c>
      <c r="AD28" s="1">
        <f>E28+J28+O28+T28+Y28</f>
        <v>110944.37</v>
      </c>
    </row>
    <row r="29" spans="1:31" ht="23.25">
      <c r="A29" s="59" t="s">
        <v>65</v>
      </c>
      <c r="B29" s="62"/>
      <c r="C29" s="63"/>
      <c r="D29" s="9"/>
      <c r="E29" s="1">
        <f>E15+E17+E18+E19+E20+E21+E22+E23+E26</f>
        <v>16830</v>
      </c>
      <c r="F29" s="1">
        <f>F15+F17+F18+F19+F20+F21+F22+F23+F26</f>
        <v>16830</v>
      </c>
      <c r="G29" s="1">
        <f>G15+G16</f>
        <v>0</v>
      </c>
      <c r="H29" s="1">
        <f>H15+H17+H18+H19+H20+H21+H22+H23+H26</f>
        <v>0</v>
      </c>
      <c r="I29" s="1">
        <f>I15+I17+I17+I18+I19+I20+I21+I22+I23+I26</f>
        <v>0</v>
      </c>
      <c r="J29" s="1">
        <f>J15+J17+J18+J19+J20+J21+J22+J23+J26</f>
        <v>17189</v>
      </c>
      <c r="K29" s="1">
        <f>K15+K17+K18+K19+K20+K21+K22+K23+K26</f>
        <v>17189</v>
      </c>
      <c r="L29" s="1">
        <f>L15+L17+L18+L19+L20+L21+L22+L23+L26</f>
        <v>0</v>
      </c>
      <c r="M29" s="1">
        <f>M24+M25</f>
        <v>0</v>
      </c>
      <c r="N29" s="1">
        <f>N24+N25</f>
        <v>0</v>
      </c>
      <c r="O29" s="1">
        <f>O15+O17+O18+O19+O20+O21+O22+O23+O26</f>
        <v>15977</v>
      </c>
      <c r="P29" s="1">
        <f>P15+P17+P18+P19+P20+P21+P22+P23+P26</f>
        <v>15977</v>
      </c>
      <c r="Q29" s="1">
        <f t="shared" ref="Q29:AC29" si="8">Q15+Q17+Q18+Q19+Q20+Q21+Q22+Q23+Q26</f>
        <v>0</v>
      </c>
      <c r="R29" s="1">
        <f t="shared" si="8"/>
        <v>0</v>
      </c>
      <c r="S29" s="1">
        <f t="shared" si="8"/>
        <v>0</v>
      </c>
      <c r="T29" s="1">
        <f>T15+T18+T23</f>
        <v>17556</v>
      </c>
      <c r="U29" s="1">
        <f>U15+U17+U18+U19+U20+U21+U22+U23</f>
        <v>17556</v>
      </c>
      <c r="V29" s="1">
        <f>V15+V17+V18+V19+V20+V21+V22</f>
        <v>0</v>
      </c>
      <c r="W29" s="1">
        <f t="shared" si="8"/>
        <v>0</v>
      </c>
      <c r="X29" s="1">
        <f t="shared" si="8"/>
        <v>0</v>
      </c>
      <c r="Y29" s="1">
        <f>Y15+Y17+Y18+Y19+Y20+Y21+Y22</f>
        <v>0</v>
      </c>
      <c r="Z29" s="1">
        <f>Z15+Z17+Z18+Z19+Z20+Z21+Z22+Z23+Z26</f>
        <v>0</v>
      </c>
      <c r="AA29" s="1">
        <f t="shared" si="8"/>
        <v>0</v>
      </c>
      <c r="AB29" s="1">
        <f t="shared" si="8"/>
        <v>0</v>
      </c>
      <c r="AC29" s="1">
        <f t="shared" si="8"/>
        <v>0</v>
      </c>
      <c r="AD29" s="1">
        <f>E29+J29+O29+T29+Y29</f>
        <v>67552</v>
      </c>
      <c r="AE29" s="64"/>
    </row>
    <row r="30" spans="1:31" ht="23.25">
      <c r="A30" s="60" t="s">
        <v>29</v>
      </c>
      <c r="B30" s="61"/>
      <c r="C30" s="61"/>
      <c r="D30" s="10"/>
      <c r="E30" s="1">
        <f t="shared" ref="E30:S30" si="9">E24+E25</f>
        <v>23306</v>
      </c>
      <c r="F30" s="1">
        <f t="shared" si="9"/>
        <v>0</v>
      </c>
      <c r="G30" s="1">
        <f t="shared" si="9"/>
        <v>23306</v>
      </c>
      <c r="H30" s="1">
        <f t="shared" si="9"/>
        <v>0</v>
      </c>
      <c r="I30" s="1">
        <f t="shared" si="9"/>
        <v>0</v>
      </c>
      <c r="J30" s="1">
        <f t="shared" si="9"/>
        <v>23068</v>
      </c>
      <c r="K30" s="1">
        <f t="shared" si="9"/>
        <v>0</v>
      </c>
      <c r="L30" s="1">
        <f t="shared" si="9"/>
        <v>23068</v>
      </c>
      <c r="M30" s="1">
        <f t="shared" si="9"/>
        <v>0</v>
      </c>
      <c r="N30" s="1">
        <f t="shared" si="9"/>
        <v>0</v>
      </c>
      <c r="O30" s="1">
        <f t="shared" si="9"/>
        <v>27475.52</v>
      </c>
      <c r="P30" s="1">
        <f t="shared" si="9"/>
        <v>0</v>
      </c>
      <c r="Q30" s="1">
        <f>Q24+Q25</f>
        <v>27475.52</v>
      </c>
      <c r="R30" s="1">
        <f t="shared" si="9"/>
        <v>0</v>
      </c>
      <c r="S30" s="1">
        <f t="shared" si="9"/>
        <v>0</v>
      </c>
      <c r="T30" s="1">
        <f>T24+T25</f>
        <v>30237</v>
      </c>
      <c r="U30" s="1">
        <f>U25+U24</f>
        <v>0</v>
      </c>
      <c r="V30" s="1">
        <f>V25+V24</f>
        <v>30237</v>
      </c>
      <c r="W30" s="1">
        <f t="shared" ref="W30:AC30" si="10">W24+W25</f>
        <v>0</v>
      </c>
      <c r="X30" s="1">
        <f t="shared" si="10"/>
        <v>0</v>
      </c>
      <c r="Y30" s="1">
        <f>Y24+Y25</f>
        <v>27380</v>
      </c>
      <c r="Z30" s="1">
        <f t="shared" si="10"/>
        <v>0</v>
      </c>
      <c r="AA30" s="1">
        <f>AA24+AA25</f>
        <v>27380</v>
      </c>
      <c r="AB30" s="1">
        <f t="shared" si="10"/>
        <v>0</v>
      </c>
      <c r="AC30" s="1">
        <f t="shared" si="10"/>
        <v>0</v>
      </c>
      <c r="AD30" s="1">
        <f>E30+J30+O30+T30+Y30</f>
        <v>131466.52000000002</v>
      </c>
      <c r="AE30" s="64"/>
    </row>
    <row r="31" spans="1:31" ht="23.25">
      <c r="A31" s="2" t="s">
        <v>94</v>
      </c>
      <c r="B31" s="14" t="s">
        <v>159</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6"/>
    </row>
    <row r="32" spans="1:31" ht="93">
      <c r="A32" s="3" t="s">
        <v>17</v>
      </c>
      <c r="B32" s="65" t="s">
        <v>77</v>
      </c>
      <c r="C32" s="2" t="s">
        <v>41</v>
      </c>
      <c r="D32" s="2" t="s">
        <v>40</v>
      </c>
      <c r="E32" s="1">
        <f>F32+G32+H32+I32</f>
        <v>1892</v>
      </c>
      <c r="F32" s="1">
        <f>2664-772</f>
        <v>1892</v>
      </c>
      <c r="G32" s="1">
        <v>0</v>
      </c>
      <c r="H32" s="1">
        <v>0</v>
      </c>
      <c r="I32" s="1">
        <v>0</v>
      </c>
      <c r="J32" s="1">
        <f>K32+L32+M32+N32</f>
        <v>1072</v>
      </c>
      <c r="K32" s="1">
        <f>1892-286-534</f>
        <v>1072</v>
      </c>
      <c r="L32" s="1">
        <v>0</v>
      </c>
      <c r="M32" s="1">
        <v>0</v>
      </c>
      <c r="N32" s="1">
        <v>0</v>
      </c>
      <c r="O32" s="1">
        <f>P32+Q32+R32+S32</f>
        <v>319</v>
      </c>
      <c r="P32" s="1">
        <f>1633-465-849</f>
        <v>319</v>
      </c>
      <c r="Q32" s="1">
        <v>0</v>
      </c>
      <c r="R32" s="1">
        <v>0</v>
      </c>
      <c r="S32" s="1">
        <v>0</v>
      </c>
      <c r="T32" s="1">
        <f>U32+V32+W32+X32</f>
        <v>0</v>
      </c>
      <c r="U32" s="1">
        <v>0</v>
      </c>
      <c r="V32" s="1">
        <v>0</v>
      </c>
      <c r="W32" s="1">
        <v>0</v>
      </c>
      <c r="X32" s="1">
        <v>0</v>
      </c>
      <c r="Y32" s="1">
        <f>Z32+AA32+AB32+AC32</f>
        <v>0</v>
      </c>
      <c r="Z32" s="1">
        <v>0</v>
      </c>
      <c r="AA32" s="1">
        <v>0</v>
      </c>
      <c r="AB32" s="1">
        <v>0</v>
      </c>
      <c r="AC32" s="1">
        <v>0</v>
      </c>
      <c r="AD32" s="1">
        <f>E32+J32+O32+T32+Y32</f>
        <v>3283</v>
      </c>
    </row>
    <row r="33" spans="1:31" ht="20.25">
      <c r="A33" s="66" t="s">
        <v>145</v>
      </c>
      <c r="B33" s="67"/>
      <c r="C33" s="68"/>
      <c r="D33" s="7"/>
      <c r="E33" s="4">
        <f>E32</f>
        <v>1892</v>
      </c>
      <c r="F33" s="4">
        <f>SUM(F32)</f>
        <v>1892</v>
      </c>
      <c r="G33" s="4">
        <f t="shared" ref="G33:AD33" si="11">SUM(G32:G32)</f>
        <v>0</v>
      </c>
      <c r="H33" s="4">
        <f t="shared" si="11"/>
        <v>0</v>
      </c>
      <c r="I33" s="4">
        <f t="shared" si="11"/>
        <v>0</v>
      </c>
      <c r="J33" s="4">
        <f>J32</f>
        <v>1072</v>
      </c>
      <c r="K33" s="4">
        <f t="shared" si="11"/>
        <v>1072</v>
      </c>
      <c r="L33" s="4">
        <f t="shared" si="11"/>
        <v>0</v>
      </c>
      <c r="M33" s="4">
        <f t="shared" si="11"/>
        <v>0</v>
      </c>
      <c r="N33" s="4">
        <f t="shared" si="11"/>
        <v>0</v>
      </c>
      <c r="O33" s="4">
        <f t="shared" si="11"/>
        <v>319</v>
      </c>
      <c r="P33" s="4">
        <f t="shared" si="11"/>
        <v>319</v>
      </c>
      <c r="Q33" s="4">
        <f t="shared" si="11"/>
        <v>0</v>
      </c>
      <c r="R33" s="4">
        <f t="shared" si="11"/>
        <v>0</v>
      </c>
      <c r="S33" s="4">
        <f t="shared" si="11"/>
        <v>0</v>
      </c>
      <c r="T33" s="4">
        <f t="shared" si="11"/>
        <v>0</v>
      </c>
      <c r="U33" s="4">
        <f t="shared" si="11"/>
        <v>0</v>
      </c>
      <c r="V33" s="4">
        <f t="shared" si="11"/>
        <v>0</v>
      </c>
      <c r="W33" s="4">
        <f t="shared" si="11"/>
        <v>0</v>
      </c>
      <c r="X33" s="4">
        <f t="shared" si="11"/>
        <v>0</v>
      </c>
      <c r="Y33" s="4">
        <f t="shared" si="11"/>
        <v>0</v>
      </c>
      <c r="Z33" s="4">
        <f t="shared" si="11"/>
        <v>0</v>
      </c>
      <c r="AA33" s="4">
        <f t="shared" si="11"/>
        <v>0</v>
      </c>
      <c r="AB33" s="4">
        <f t="shared" si="11"/>
        <v>0</v>
      </c>
      <c r="AC33" s="4">
        <f t="shared" si="11"/>
        <v>0</v>
      </c>
      <c r="AD33" s="4">
        <f t="shared" si="11"/>
        <v>3283</v>
      </c>
    </row>
    <row r="34" spans="1:31" ht="20.25">
      <c r="A34" s="2" t="s">
        <v>97</v>
      </c>
      <c r="B34" s="69" t="s">
        <v>160</v>
      </c>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1"/>
    </row>
    <row r="35" spans="1:31" ht="46.5">
      <c r="A35" s="3" t="s">
        <v>18</v>
      </c>
      <c r="B35" s="65" t="s">
        <v>134</v>
      </c>
      <c r="C35" s="52" t="s">
        <v>41</v>
      </c>
      <c r="D35" s="2" t="s">
        <v>40</v>
      </c>
      <c r="E35" s="1">
        <f>F35+G35+H35+I35</f>
        <v>2949</v>
      </c>
      <c r="F35" s="1">
        <v>2949</v>
      </c>
      <c r="G35" s="1">
        <v>0</v>
      </c>
      <c r="H35" s="1">
        <v>0</v>
      </c>
      <c r="I35" s="1">
        <v>0</v>
      </c>
      <c r="J35" s="1">
        <f>K35+L35+M35+N35</f>
        <v>2313</v>
      </c>
      <c r="K35" s="1">
        <f>1775+587-49</f>
        <v>2313</v>
      </c>
      <c r="L35" s="1">
        <v>0</v>
      </c>
      <c r="M35" s="1">
        <v>0</v>
      </c>
      <c r="N35" s="1">
        <v>0</v>
      </c>
      <c r="O35" s="1">
        <f xml:space="preserve"> SUM(P35:S35)</f>
        <v>1912</v>
      </c>
      <c r="P35" s="1">
        <f>2362-240-210</f>
        <v>1912</v>
      </c>
      <c r="Q35" s="1">
        <f>SUM(Q36,Q37,Q38,Q39)</f>
        <v>0</v>
      </c>
      <c r="R35" s="1">
        <f>SUM(R36,R37,R38,R39)</f>
        <v>0</v>
      </c>
      <c r="S35" s="1">
        <f>SUM(S36,S37,S38,S39)</f>
        <v>0</v>
      </c>
      <c r="T35" s="1">
        <f xml:space="preserve"> SUM(U35:X35)</f>
        <v>1692</v>
      </c>
      <c r="U35" s="1">
        <f>2022-22-308</f>
        <v>1692</v>
      </c>
      <c r="V35" s="1">
        <f>SUM(V36,V37,V38,V39)</f>
        <v>0</v>
      </c>
      <c r="W35" s="1">
        <f>SUM(W36,W37,W38,W39)</f>
        <v>0</v>
      </c>
      <c r="X35" s="1">
        <f>SUM(X36,X37,X38,X39)</f>
        <v>0</v>
      </c>
      <c r="Y35" s="1">
        <f xml:space="preserve"> SUM(Z35:AC35)</f>
        <v>0</v>
      </c>
      <c r="Z35" s="1">
        <v>0</v>
      </c>
      <c r="AA35" s="1">
        <f>SUM(AA36,AA37,AA38,AA39)</f>
        <v>0</v>
      </c>
      <c r="AB35" s="1">
        <f>SUM(AB36,AB37,AB38,AB39)</f>
        <v>0</v>
      </c>
      <c r="AC35" s="1">
        <f>SUM(AC36,AC37,AC38,AC39)</f>
        <v>0</v>
      </c>
      <c r="AD35" s="1">
        <f>E35+J35+O35+T35+Y35</f>
        <v>8866</v>
      </c>
    </row>
    <row r="36" spans="1:31" ht="139.5">
      <c r="A36" s="3" t="s">
        <v>69</v>
      </c>
      <c r="B36" s="51" t="s">
        <v>30</v>
      </c>
      <c r="C36" s="52" t="s">
        <v>41</v>
      </c>
      <c r="D36" s="2" t="s">
        <v>141</v>
      </c>
      <c r="E36" s="1">
        <f t="shared" ref="E36:E46" si="12">F36+G36+H36+I36</f>
        <v>9</v>
      </c>
      <c r="F36" s="1">
        <v>9</v>
      </c>
      <c r="G36" s="1">
        <v>0</v>
      </c>
      <c r="H36" s="1">
        <v>0</v>
      </c>
      <c r="I36" s="1">
        <v>0</v>
      </c>
      <c r="J36" s="1">
        <f t="shared" ref="J36:J46" si="13">K36+L36+M36+N36</f>
        <v>9</v>
      </c>
      <c r="K36" s="1">
        <v>9</v>
      </c>
      <c r="L36" s="1">
        <v>0</v>
      </c>
      <c r="M36" s="1">
        <v>0</v>
      </c>
      <c r="N36" s="1">
        <v>0</v>
      </c>
      <c r="O36" s="1">
        <f t="shared" ref="O36:O46" si="14">P36+Q36+R36+S36</f>
        <v>9</v>
      </c>
      <c r="P36" s="1">
        <v>9</v>
      </c>
      <c r="Q36" s="1">
        <v>0</v>
      </c>
      <c r="R36" s="1">
        <v>0</v>
      </c>
      <c r="S36" s="1">
        <v>0</v>
      </c>
      <c r="T36" s="1">
        <f t="shared" ref="T36:T46" si="15">U36+V36+W36+X36</f>
        <v>0</v>
      </c>
      <c r="U36" s="1">
        <v>0</v>
      </c>
      <c r="V36" s="1">
        <v>0</v>
      </c>
      <c r="W36" s="1">
        <v>0</v>
      </c>
      <c r="X36" s="1">
        <v>0</v>
      </c>
      <c r="Y36" s="1">
        <f t="shared" ref="Y36:Y46" si="16">Z36+AA36+AB36+AC36</f>
        <v>0</v>
      </c>
      <c r="Z36" s="1">
        <v>0</v>
      </c>
      <c r="AA36" s="1">
        <v>0</v>
      </c>
      <c r="AB36" s="1">
        <v>0</v>
      </c>
      <c r="AC36" s="1">
        <v>0</v>
      </c>
      <c r="AD36" s="1">
        <f t="shared" ref="AD36:AD52" si="17">E36+J36+O36+T36+Y36</f>
        <v>27</v>
      </c>
    </row>
    <row r="37" spans="1:31" ht="37.5">
      <c r="A37" s="3" t="s">
        <v>98</v>
      </c>
      <c r="B37" s="51" t="s">
        <v>28</v>
      </c>
      <c r="C37" s="2" t="s">
        <v>41</v>
      </c>
      <c r="D37" s="2" t="s">
        <v>73</v>
      </c>
      <c r="E37" s="1">
        <f t="shared" si="12"/>
        <v>426</v>
      </c>
      <c r="F37" s="1">
        <v>426</v>
      </c>
      <c r="G37" s="1">
        <v>0</v>
      </c>
      <c r="H37" s="1">
        <v>0</v>
      </c>
      <c r="I37" s="1">
        <v>0</v>
      </c>
      <c r="J37" s="1">
        <f t="shared" si="13"/>
        <v>0</v>
      </c>
      <c r="K37" s="1">
        <v>0</v>
      </c>
      <c r="L37" s="1">
        <v>0</v>
      </c>
      <c r="M37" s="1">
        <v>0</v>
      </c>
      <c r="N37" s="1">
        <v>0</v>
      </c>
      <c r="O37" s="1">
        <f t="shared" si="14"/>
        <v>0</v>
      </c>
      <c r="P37" s="1">
        <v>0</v>
      </c>
      <c r="Q37" s="1">
        <v>0</v>
      </c>
      <c r="R37" s="1">
        <v>0</v>
      </c>
      <c r="S37" s="1">
        <v>0</v>
      </c>
      <c r="T37" s="1">
        <f t="shared" si="15"/>
        <v>0</v>
      </c>
      <c r="U37" s="1">
        <v>0</v>
      </c>
      <c r="V37" s="1">
        <v>0</v>
      </c>
      <c r="W37" s="1">
        <v>0</v>
      </c>
      <c r="X37" s="1">
        <v>0</v>
      </c>
      <c r="Y37" s="1">
        <f t="shared" si="16"/>
        <v>0</v>
      </c>
      <c r="Z37" s="1">
        <v>0</v>
      </c>
      <c r="AA37" s="1">
        <v>0</v>
      </c>
      <c r="AB37" s="1">
        <v>0</v>
      </c>
      <c r="AC37" s="1">
        <v>0</v>
      </c>
      <c r="AD37" s="1">
        <f>E37+J37+O37+T37+Y37</f>
        <v>426</v>
      </c>
    </row>
    <row r="38" spans="1:31" ht="23.25">
      <c r="A38" s="3" t="s">
        <v>99</v>
      </c>
      <c r="B38" s="51" t="s">
        <v>49</v>
      </c>
      <c r="C38" s="72" t="s">
        <v>45</v>
      </c>
      <c r="D38" s="2" t="s">
        <v>40</v>
      </c>
      <c r="E38" s="1">
        <f t="shared" si="12"/>
        <v>3304</v>
      </c>
      <c r="F38" s="1">
        <v>3304</v>
      </c>
      <c r="G38" s="1">
        <v>0</v>
      </c>
      <c r="H38" s="1">
        <v>0</v>
      </c>
      <c r="I38" s="1">
        <v>0</v>
      </c>
      <c r="J38" s="1">
        <f t="shared" si="13"/>
        <v>3080</v>
      </c>
      <c r="K38" s="1">
        <f>3304-224</f>
        <v>3080</v>
      </c>
      <c r="L38" s="1">
        <v>0</v>
      </c>
      <c r="M38" s="1">
        <v>0</v>
      </c>
      <c r="N38" s="1">
        <v>0</v>
      </c>
      <c r="O38" s="1">
        <f t="shared" si="14"/>
        <v>2842</v>
      </c>
      <c r="P38" s="1">
        <f>2968-126</f>
        <v>2842</v>
      </c>
      <c r="Q38" s="1">
        <v>0</v>
      </c>
      <c r="R38" s="1">
        <v>0</v>
      </c>
      <c r="S38" s="1">
        <v>0</v>
      </c>
      <c r="T38" s="6">
        <f t="shared" si="15"/>
        <v>3010</v>
      </c>
      <c r="U38" s="6">
        <f>3136-126</f>
        <v>3010</v>
      </c>
      <c r="V38" s="1">
        <v>0</v>
      </c>
      <c r="W38" s="1">
        <v>0</v>
      </c>
      <c r="X38" s="1">
        <v>0</v>
      </c>
      <c r="Y38" s="1">
        <f t="shared" si="16"/>
        <v>0</v>
      </c>
      <c r="Z38" s="1">
        <v>0</v>
      </c>
      <c r="AA38" s="1">
        <v>0</v>
      </c>
      <c r="AB38" s="1">
        <v>0</v>
      </c>
      <c r="AC38" s="1">
        <v>0</v>
      </c>
      <c r="AD38" s="1">
        <f>E38+J38+O38+T38+Y38</f>
        <v>12236</v>
      </c>
    </row>
    <row r="39" spans="1:31" ht="93">
      <c r="A39" s="3" t="s">
        <v>100</v>
      </c>
      <c r="B39" s="51" t="s">
        <v>76</v>
      </c>
      <c r="C39" s="73"/>
      <c r="D39" s="2" t="s">
        <v>129</v>
      </c>
      <c r="E39" s="1">
        <f t="shared" si="12"/>
        <v>378</v>
      </c>
      <c r="F39" s="1">
        <v>378</v>
      </c>
      <c r="G39" s="1">
        <v>0</v>
      </c>
      <c r="H39" s="1">
        <v>0</v>
      </c>
      <c r="I39" s="1">
        <v>0</v>
      </c>
      <c r="J39" s="1">
        <f t="shared" si="13"/>
        <v>419</v>
      </c>
      <c r="K39" s="1">
        <f>324+95</f>
        <v>419</v>
      </c>
      <c r="L39" s="1">
        <v>0</v>
      </c>
      <c r="M39" s="1">
        <v>0</v>
      </c>
      <c r="N39" s="1">
        <v>0</v>
      </c>
      <c r="O39" s="1">
        <f t="shared" si="14"/>
        <v>468</v>
      </c>
      <c r="P39" s="1">
        <f>495-27</f>
        <v>468</v>
      </c>
      <c r="Q39" s="1">
        <v>0</v>
      </c>
      <c r="R39" s="1">
        <v>0</v>
      </c>
      <c r="S39" s="1">
        <v>0</v>
      </c>
      <c r="T39" s="6">
        <f>U39+V39+W39+X39</f>
        <v>455</v>
      </c>
      <c r="U39" s="6">
        <f>432+23</f>
        <v>455</v>
      </c>
      <c r="V39" s="1">
        <v>0</v>
      </c>
      <c r="W39" s="1">
        <v>0</v>
      </c>
      <c r="X39" s="1">
        <v>0</v>
      </c>
      <c r="Y39" s="1">
        <f t="shared" si="16"/>
        <v>0</v>
      </c>
      <c r="Z39" s="1">
        <v>0</v>
      </c>
      <c r="AA39" s="1">
        <v>0</v>
      </c>
      <c r="AB39" s="1">
        <v>0</v>
      </c>
      <c r="AC39" s="1">
        <v>0</v>
      </c>
      <c r="AD39" s="1">
        <f>E39+J39+O39+T39+Y39</f>
        <v>1720</v>
      </c>
    </row>
    <row r="40" spans="1:31" ht="69.75">
      <c r="A40" s="3" t="s">
        <v>101</v>
      </c>
      <c r="B40" s="51" t="s">
        <v>31</v>
      </c>
      <c r="C40" s="52" t="s">
        <v>41</v>
      </c>
      <c r="D40" s="2" t="s">
        <v>141</v>
      </c>
      <c r="E40" s="1">
        <f t="shared" si="12"/>
        <v>12</v>
      </c>
      <c r="F40" s="1">
        <v>12</v>
      </c>
      <c r="G40" s="1">
        <v>0</v>
      </c>
      <c r="H40" s="1">
        <v>0</v>
      </c>
      <c r="I40" s="1">
        <v>0</v>
      </c>
      <c r="J40" s="1">
        <f t="shared" si="13"/>
        <v>12</v>
      </c>
      <c r="K40" s="1">
        <v>12</v>
      </c>
      <c r="L40" s="1">
        <v>0</v>
      </c>
      <c r="M40" s="1">
        <v>0</v>
      </c>
      <c r="N40" s="1">
        <v>0</v>
      </c>
      <c r="O40" s="1">
        <f t="shared" si="14"/>
        <v>12</v>
      </c>
      <c r="P40" s="1">
        <v>12</v>
      </c>
      <c r="Q40" s="1">
        <v>0</v>
      </c>
      <c r="R40" s="1">
        <v>0</v>
      </c>
      <c r="S40" s="1">
        <v>0</v>
      </c>
      <c r="T40" s="1">
        <f t="shared" si="15"/>
        <v>0</v>
      </c>
      <c r="U40" s="1">
        <v>0</v>
      </c>
      <c r="V40" s="1">
        <v>0</v>
      </c>
      <c r="W40" s="1">
        <v>0</v>
      </c>
      <c r="X40" s="1">
        <v>0</v>
      </c>
      <c r="Y40" s="1">
        <f t="shared" si="16"/>
        <v>0</v>
      </c>
      <c r="Z40" s="1">
        <v>0</v>
      </c>
      <c r="AA40" s="1">
        <v>0</v>
      </c>
      <c r="AB40" s="1">
        <v>0</v>
      </c>
      <c r="AC40" s="1">
        <v>0</v>
      </c>
      <c r="AD40" s="1">
        <f t="shared" si="17"/>
        <v>36</v>
      </c>
    </row>
    <row r="41" spans="1:31" ht="69.75">
      <c r="A41" s="3" t="s">
        <v>102</v>
      </c>
      <c r="B41" s="51" t="s">
        <v>121</v>
      </c>
      <c r="C41" s="44" t="s">
        <v>45</v>
      </c>
      <c r="D41" s="2" t="s">
        <v>73</v>
      </c>
      <c r="E41" s="1">
        <f t="shared" si="12"/>
        <v>50</v>
      </c>
      <c r="F41" s="1">
        <v>50</v>
      </c>
      <c r="G41" s="1">
        <v>0</v>
      </c>
      <c r="H41" s="1">
        <v>0</v>
      </c>
      <c r="I41" s="1">
        <v>0</v>
      </c>
      <c r="J41" s="1">
        <f t="shared" si="13"/>
        <v>0</v>
      </c>
      <c r="K41" s="1">
        <v>0</v>
      </c>
      <c r="L41" s="1">
        <v>0</v>
      </c>
      <c r="M41" s="1">
        <v>0</v>
      </c>
      <c r="N41" s="1">
        <v>0</v>
      </c>
      <c r="O41" s="1">
        <f t="shared" si="14"/>
        <v>0</v>
      </c>
      <c r="P41" s="1">
        <v>0</v>
      </c>
      <c r="Q41" s="1">
        <v>0</v>
      </c>
      <c r="R41" s="1">
        <v>0</v>
      </c>
      <c r="S41" s="1">
        <v>0</v>
      </c>
      <c r="T41" s="1">
        <f t="shared" si="15"/>
        <v>0</v>
      </c>
      <c r="U41" s="1">
        <v>0</v>
      </c>
      <c r="V41" s="1">
        <v>0</v>
      </c>
      <c r="W41" s="1">
        <v>0</v>
      </c>
      <c r="X41" s="1">
        <v>0</v>
      </c>
      <c r="Y41" s="1">
        <f t="shared" si="16"/>
        <v>0</v>
      </c>
      <c r="Z41" s="1">
        <v>0</v>
      </c>
      <c r="AA41" s="1">
        <v>0</v>
      </c>
      <c r="AB41" s="1">
        <v>0</v>
      </c>
      <c r="AC41" s="1">
        <v>0</v>
      </c>
      <c r="AD41" s="1">
        <f t="shared" si="17"/>
        <v>50</v>
      </c>
    </row>
    <row r="42" spans="1:31" ht="69.75">
      <c r="A42" s="3" t="s">
        <v>103</v>
      </c>
      <c r="B42" s="51" t="s">
        <v>50</v>
      </c>
      <c r="C42" s="74"/>
      <c r="D42" s="2" t="s">
        <v>73</v>
      </c>
      <c r="E42" s="1">
        <f t="shared" si="12"/>
        <v>50</v>
      </c>
      <c r="F42" s="1">
        <v>50</v>
      </c>
      <c r="G42" s="1">
        <v>0</v>
      </c>
      <c r="H42" s="1">
        <v>0</v>
      </c>
      <c r="I42" s="1">
        <v>0</v>
      </c>
      <c r="J42" s="1">
        <f t="shared" si="13"/>
        <v>50</v>
      </c>
      <c r="K42" s="1">
        <v>50</v>
      </c>
      <c r="L42" s="1">
        <v>0</v>
      </c>
      <c r="M42" s="1">
        <v>0</v>
      </c>
      <c r="N42" s="1">
        <v>0</v>
      </c>
      <c r="O42" s="1">
        <f t="shared" si="14"/>
        <v>100</v>
      </c>
      <c r="P42" s="1">
        <f>50+50</f>
        <v>100</v>
      </c>
      <c r="Q42" s="1">
        <v>0</v>
      </c>
      <c r="R42" s="1">
        <v>0</v>
      </c>
      <c r="S42" s="1">
        <v>0</v>
      </c>
      <c r="T42" s="6">
        <f t="shared" si="15"/>
        <v>100</v>
      </c>
      <c r="U42" s="6">
        <f>50+50</f>
        <v>100</v>
      </c>
      <c r="V42" s="1">
        <v>0</v>
      </c>
      <c r="W42" s="1">
        <v>0</v>
      </c>
      <c r="X42" s="1">
        <v>0</v>
      </c>
      <c r="Y42" s="1">
        <f t="shared" si="16"/>
        <v>0</v>
      </c>
      <c r="Z42" s="1">
        <v>0</v>
      </c>
      <c r="AA42" s="1">
        <v>0</v>
      </c>
      <c r="AB42" s="1">
        <v>0</v>
      </c>
      <c r="AC42" s="1">
        <v>0</v>
      </c>
      <c r="AD42" s="1">
        <f t="shared" si="17"/>
        <v>300</v>
      </c>
    </row>
    <row r="43" spans="1:31" ht="93">
      <c r="A43" s="3" t="s">
        <v>104</v>
      </c>
      <c r="B43" s="51" t="s">
        <v>51</v>
      </c>
      <c r="C43" s="74"/>
      <c r="D43" s="2" t="s">
        <v>40</v>
      </c>
      <c r="E43" s="1">
        <f t="shared" si="12"/>
        <v>810</v>
      </c>
      <c r="F43" s="1">
        <f>480+330</f>
        <v>810</v>
      </c>
      <c r="G43" s="1">
        <v>0</v>
      </c>
      <c r="H43" s="1">
        <v>0</v>
      </c>
      <c r="I43" s="1">
        <v>0</v>
      </c>
      <c r="J43" s="1">
        <f>K43+L43+M43+N43</f>
        <v>770</v>
      </c>
      <c r="K43" s="1">
        <f>720+50</f>
        <v>770</v>
      </c>
      <c r="L43" s="1">
        <v>0</v>
      </c>
      <c r="M43" s="1">
        <v>0</v>
      </c>
      <c r="N43" s="1">
        <v>0</v>
      </c>
      <c r="O43" s="1">
        <f t="shared" si="14"/>
        <v>590</v>
      </c>
      <c r="P43" s="1">
        <f>720-130</f>
        <v>590</v>
      </c>
      <c r="Q43" s="1">
        <v>0</v>
      </c>
      <c r="R43" s="1">
        <v>0</v>
      </c>
      <c r="S43" s="1">
        <v>0</v>
      </c>
      <c r="T43" s="6">
        <f t="shared" si="15"/>
        <v>500</v>
      </c>
      <c r="U43" s="6">
        <f>600-100</f>
        <v>500</v>
      </c>
      <c r="V43" s="1">
        <v>0</v>
      </c>
      <c r="W43" s="1">
        <v>0</v>
      </c>
      <c r="X43" s="1">
        <v>0</v>
      </c>
      <c r="Y43" s="1">
        <f t="shared" si="16"/>
        <v>0</v>
      </c>
      <c r="Z43" s="1">
        <v>0</v>
      </c>
      <c r="AA43" s="1">
        <v>0</v>
      </c>
      <c r="AB43" s="1">
        <v>0</v>
      </c>
      <c r="AC43" s="1">
        <v>0</v>
      </c>
      <c r="AD43" s="1">
        <f>E43+J43+O43+T43+Y43</f>
        <v>2670</v>
      </c>
    </row>
    <row r="44" spans="1:31" ht="93">
      <c r="A44" s="75" t="s">
        <v>105</v>
      </c>
      <c r="B44" s="51" t="s">
        <v>52</v>
      </c>
      <c r="C44" s="74"/>
      <c r="D44" s="2" t="s">
        <v>73</v>
      </c>
      <c r="E44" s="1">
        <f t="shared" si="12"/>
        <v>30</v>
      </c>
      <c r="F44" s="1">
        <v>30</v>
      </c>
      <c r="G44" s="1">
        <v>0</v>
      </c>
      <c r="H44" s="1">
        <v>0</v>
      </c>
      <c r="I44" s="1">
        <v>0</v>
      </c>
      <c r="J44" s="1">
        <f t="shared" si="13"/>
        <v>10</v>
      </c>
      <c r="K44" s="1">
        <v>10</v>
      </c>
      <c r="L44" s="1">
        <v>0</v>
      </c>
      <c r="M44" s="1">
        <v>0</v>
      </c>
      <c r="N44" s="1">
        <v>0</v>
      </c>
      <c r="O44" s="1">
        <f t="shared" si="14"/>
        <v>10</v>
      </c>
      <c r="P44" s="1">
        <v>10</v>
      </c>
      <c r="Q44" s="1">
        <v>0</v>
      </c>
      <c r="R44" s="1">
        <v>0</v>
      </c>
      <c r="S44" s="1">
        <v>0</v>
      </c>
      <c r="T44" s="6">
        <f t="shared" si="15"/>
        <v>0</v>
      </c>
      <c r="U44" s="6">
        <f>10-10</f>
        <v>0</v>
      </c>
      <c r="V44" s="1">
        <v>0</v>
      </c>
      <c r="W44" s="1">
        <v>0</v>
      </c>
      <c r="X44" s="1">
        <v>0</v>
      </c>
      <c r="Y44" s="1">
        <f t="shared" si="16"/>
        <v>0</v>
      </c>
      <c r="Z44" s="1">
        <v>0</v>
      </c>
      <c r="AA44" s="1">
        <v>0</v>
      </c>
      <c r="AB44" s="1">
        <v>0</v>
      </c>
      <c r="AC44" s="1">
        <v>0</v>
      </c>
      <c r="AD44" s="1">
        <f t="shared" si="17"/>
        <v>50</v>
      </c>
    </row>
    <row r="45" spans="1:31" ht="69.75">
      <c r="A45" s="3" t="s">
        <v>106</v>
      </c>
      <c r="B45" s="51" t="s">
        <v>53</v>
      </c>
      <c r="C45" s="48"/>
      <c r="D45" s="2" t="s">
        <v>73</v>
      </c>
      <c r="E45" s="1">
        <f t="shared" si="12"/>
        <v>50</v>
      </c>
      <c r="F45" s="1">
        <v>50</v>
      </c>
      <c r="G45" s="1">
        <v>0</v>
      </c>
      <c r="H45" s="1">
        <v>0</v>
      </c>
      <c r="I45" s="1">
        <v>0</v>
      </c>
      <c r="J45" s="1">
        <f t="shared" si="13"/>
        <v>50</v>
      </c>
      <c r="K45" s="1">
        <v>50</v>
      </c>
      <c r="L45" s="1">
        <v>0</v>
      </c>
      <c r="M45" s="1">
        <v>0</v>
      </c>
      <c r="N45" s="1">
        <v>0</v>
      </c>
      <c r="O45" s="1">
        <f t="shared" si="14"/>
        <v>100</v>
      </c>
      <c r="P45" s="1">
        <v>100</v>
      </c>
      <c r="Q45" s="1">
        <v>0</v>
      </c>
      <c r="R45" s="1">
        <v>0</v>
      </c>
      <c r="S45" s="1">
        <v>0</v>
      </c>
      <c r="T45" s="1">
        <f t="shared" si="15"/>
        <v>50</v>
      </c>
      <c r="U45" s="1">
        <v>50</v>
      </c>
      <c r="V45" s="1">
        <v>0</v>
      </c>
      <c r="W45" s="1">
        <v>0</v>
      </c>
      <c r="X45" s="1">
        <v>0</v>
      </c>
      <c r="Y45" s="1">
        <f t="shared" si="16"/>
        <v>0</v>
      </c>
      <c r="Z45" s="1">
        <v>0</v>
      </c>
      <c r="AA45" s="1">
        <v>0</v>
      </c>
      <c r="AB45" s="1">
        <v>0</v>
      </c>
      <c r="AC45" s="1">
        <v>0</v>
      </c>
      <c r="AD45" s="1">
        <f t="shared" si="17"/>
        <v>250</v>
      </c>
    </row>
    <row r="46" spans="1:31" ht="69.75">
      <c r="A46" s="3" t="s">
        <v>107</v>
      </c>
      <c r="B46" s="51" t="s">
        <v>32</v>
      </c>
      <c r="C46" s="2" t="s">
        <v>16</v>
      </c>
      <c r="D46" s="2" t="s">
        <v>40</v>
      </c>
      <c r="E46" s="1">
        <f t="shared" si="12"/>
        <v>96</v>
      </c>
      <c r="F46" s="1">
        <f>96</f>
        <v>96</v>
      </c>
      <c r="G46" s="1">
        <v>0</v>
      </c>
      <c r="H46" s="1">
        <v>0</v>
      </c>
      <c r="I46" s="1">
        <v>0</v>
      </c>
      <c r="J46" s="1">
        <f t="shared" si="13"/>
        <v>43</v>
      </c>
      <c r="K46" s="1">
        <f>68-25</f>
        <v>43</v>
      </c>
      <c r="L46" s="1">
        <v>0</v>
      </c>
      <c r="M46" s="1">
        <v>0</v>
      </c>
      <c r="N46" s="1">
        <v>0</v>
      </c>
      <c r="O46" s="1">
        <f t="shared" si="14"/>
        <v>36</v>
      </c>
      <c r="P46" s="1">
        <f>53-17</f>
        <v>36</v>
      </c>
      <c r="Q46" s="1">
        <v>0</v>
      </c>
      <c r="R46" s="1">
        <v>0</v>
      </c>
      <c r="S46" s="1">
        <v>0</v>
      </c>
      <c r="T46" s="6">
        <f t="shared" si="15"/>
        <v>43</v>
      </c>
      <c r="U46" s="6">
        <f>39+4</f>
        <v>43</v>
      </c>
      <c r="V46" s="1">
        <v>0</v>
      </c>
      <c r="W46" s="1">
        <v>0</v>
      </c>
      <c r="X46" s="1">
        <v>0</v>
      </c>
      <c r="Y46" s="1">
        <f t="shared" si="16"/>
        <v>0</v>
      </c>
      <c r="Z46" s="1">
        <v>0</v>
      </c>
      <c r="AA46" s="1">
        <v>0</v>
      </c>
      <c r="AB46" s="1">
        <v>0</v>
      </c>
      <c r="AC46" s="1">
        <v>0</v>
      </c>
      <c r="AD46" s="1">
        <f t="shared" si="17"/>
        <v>218</v>
      </c>
    </row>
    <row r="47" spans="1:31" ht="93">
      <c r="A47" s="3" t="s">
        <v>108</v>
      </c>
      <c r="B47" s="51" t="s">
        <v>67</v>
      </c>
      <c r="C47" s="2" t="s">
        <v>41</v>
      </c>
      <c r="D47" s="2" t="s">
        <v>40</v>
      </c>
      <c r="E47" s="1">
        <f>F47+G47+H47+I47</f>
        <v>28325</v>
      </c>
      <c r="F47" s="1">
        <f>6567-902</f>
        <v>5665</v>
      </c>
      <c r="G47" s="1">
        <f>26268-3608</f>
        <v>22660</v>
      </c>
      <c r="H47" s="1">
        <v>0</v>
      </c>
      <c r="I47" s="1">
        <v>0</v>
      </c>
      <c r="J47" s="1">
        <f>K47+L47+M47+N47</f>
        <v>4455</v>
      </c>
      <c r="K47" s="1">
        <f>550+341</f>
        <v>891</v>
      </c>
      <c r="L47" s="1">
        <v>3564</v>
      </c>
      <c r="M47" s="1">
        <v>0</v>
      </c>
      <c r="N47" s="1">
        <v>0</v>
      </c>
      <c r="O47" s="1">
        <f>P47+Q47+R47+S47</f>
        <v>550</v>
      </c>
      <c r="P47" s="1">
        <v>550</v>
      </c>
      <c r="Q47" s="1">
        <v>0</v>
      </c>
      <c r="R47" s="1">
        <v>0</v>
      </c>
      <c r="S47" s="1">
        <v>0</v>
      </c>
      <c r="T47" s="1">
        <f>U47+V47+W47+X47</f>
        <v>0</v>
      </c>
      <c r="U47" s="1">
        <v>0</v>
      </c>
      <c r="V47" s="1">
        <v>0</v>
      </c>
      <c r="W47" s="1">
        <v>0</v>
      </c>
      <c r="X47" s="1">
        <v>0</v>
      </c>
      <c r="Y47" s="1">
        <f>Z47+AA47+AB47+AC47</f>
        <v>0</v>
      </c>
      <c r="Z47" s="1">
        <v>0</v>
      </c>
      <c r="AA47" s="1">
        <v>0</v>
      </c>
      <c r="AB47" s="1">
        <v>0</v>
      </c>
      <c r="AC47" s="1">
        <v>0</v>
      </c>
      <c r="AD47" s="1">
        <f t="shared" si="17"/>
        <v>33330</v>
      </c>
      <c r="AE47" s="76"/>
    </row>
    <row r="48" spans="1:31" ht="46.5">
      <c r="A48" s="77" t="s">
        <v>109</v>
      </c>
      <c r="B48" s="78" t="s">
        <v>34</v>
      </c>
      <c r="C48" s="79" t="s">
        <v>23</v>
      </c>
      <c r="D48" s="2" t="s">
        <v>141</v>
      </c>
      <c r="E48" s="1">
        <f>F48+G48+H48+I48</f>
        <v>384.8</v>
      </c>
      <c r="F48" s="1">
        <f>387-2.2</f>
        <v>384.8</v>
      </c>
      <c r="G48" s="1">
        <v>0</v>
      </c>
      <c r="H48" s="1">
        <v>0</v>
      </c>
      <c r="I48" s="1">
        <v>0</v>
      </c>
      <c r="J48" s="1">
        <f>K48+L48+M48+N48</f>
        <v>362.1</v>
      </c>
      <c r="K48" s="1">
        <f>387-24.9</f>
        <v>362.1</v>
      </c>
      <c r="L48" s="1">
        <v>0</v>
      </c>
      <c r="M48" s="1">
        <v>0</v>
      </c>
      <c r="N48" s="1">
        <v>0</v>
      </c>
      <c r="O48" s="1">
        <f>P48+Q48+R48+S48</f>
        <v>379</v>
      </c>
      <c r="P48" s="1">
        <f>387-8</f>
        <v>379</v>
      </c>
      <c r="Q48" s="1">
        <v>0</v>
      </c>
      <c r="R48" s="1">
        <v>0</v>
      </c>
      <c r="S48" s="1">
        <v>0</v>
      </c>
      <c r="T48" s="1">
        <f>U48+V48+W48+X48</f>
        <v>0</v>
      </c>
      <c r="U48" s="1">
        <v>0</v>
      </c>
      <c r="V48" s="1">
        <v>0</v>
      </c>
      <c r="W48" s="1">
        <v>0</v>
      </c>
      <c r="X48" s="1">
        <v>0</v>
      </c>
      <c r="Y48" s="1">
        <f>Z48+AA48+AB48+AC48</f>
        <v>0</v>
      </c>
      <c r="Z48" s="1">
        <v>0</v>
      </c>
      <c r="AA48" s="1">
        <v>0</v>
      </c>
      <c r="AB48" s="1">
        <v>0</v>
      </c>
      <c r="AC48" s="1">
        <v>0</v>
      </c>
      <c r="AD48" s="1">
        <f t="shared" si="17"/>
        <v>1125.9000000000001</v>
      </c>
    </row>
    <row r="49" spans="1:32" ht="75">
      <c r="A49" s="77" t="s">
        <v>110</v>
      </c>
      <c r="B49" s="78" t="s">
        <v>64</v>
      </c>
      <c r="C49" s="79" t="s">
        <v>68</v>
      </c>
      <c r="D49" s="45">
        <v>2020</v>
      </c>
      <c r="E49" s="1">
        <f>F49+G49+H49+I49</f>
        <v>1248</v>
      </c>
      <c r="F49" s="1">
        <f>1248</f>
        <v>1248</v>
      </c>
      <c r="G49" s="1">
        <v>0</v>
      </c>
      <c r="H49" s="1">
        <v>0</v>
      </c>
      <c r="I49" s="1">
        <v>0</v>
      </c>
      <c r="J49" s="1">
        <f>K49+L49+M49+N49</f>
        <v>0</v>
      </c>
      <c r="K49" s="1">
        <v>0</v>
      </c>
      <c r="L49" s="1">
        <v>0</v>
      </c>
      <c r="M49" s="1">
        <v>0</v>
      </c>
      <c r="N49" s="1">
        <v>0</v>
      </c>
      <c r="O49" s="1">
        <f>P49+Q49+R49+S49</f>
        <v>0</v>
      </c>
      <c r="P49" s="1">
        <v>0</v>
      </c>
      <c r="Q49" s="1">
        <v>0</v>
      </c>
      <c r="R49" s="1">
        <v>0</v>
      </c>
      <c r="S49" s="1">
        <v>0</v>
      </c>
      <c r="T49" s="1">
        <f>U49+V49+W49+X49</f>
        <v>0</v>
      </c>
      <c r="U49" s="1">
        <v>0</v>
      </c>
      <c r="V49" s="1">
        <v>0</v>
      </c>
      <c r="W49" s="1">
        <v>0</v>
      </c>
      <c r="X49" s="1">
        <v>0</v>
      </c>
      <c r="Y49" s="1">
        <f>Z49+AA49+AB49+AC49</f>
        <v>0</v>
      </c>
      <c r="Z49" s="1">
        <v>0</v>
      </c>
      <c r="AA49" s="1">
        <v>0</v>
      </c>
      <c r="AB49" s="1">
        <v>0</v>
      </c>
      <c r="AC49" s="1">
        <v>0</v>
      </c>
      <c r="AD49" s="1">
        <f t="shared" si="17"/>
        <v>1248</v>
      </c>
    </row>
    <row r="50" spans="1:32" ht="23.25">
      <c r="A50" s="56" t="s">
        <v>146</v>
      </c>
      <c r="B50" s="57"/>
      <c r="C50" s="58"/>
      <c r="D50" s="7"/>
      <c r="E50" s="4">
        <f t="shared" ref="E50:K50" si="18">E51+E52</f>
        <v>38121.800000000003</v>
      </c>
      <c r="F50" s="4">
        <f t="shared" si="18"/>
        <v>15461.8</v>
      </c>
      <c r="G50" s="4">
        <f t="shared" si="18"/>
        <v>22660</v>
      </c>
      <c r="H50" s="4">
        <f t="shared" si="18"/>
        <v>0</v>
      </c>
      <c r="I50" s="4">
        <f t="shared" si="18"/>
        <v>0</v>
      </c>
      <c r="J50" s="4">
        <f>J52+J51</f>
        <v>11573.1</v>
      </c>
      <c r="K50" s="4">
        <f t="shared" si="18"/>
        <v>8009.1</v>
      </c>
      <c r="L50" s="4">
        <f>SUM(L35,L36:L48)</f>
        <v>3564</v>
      </c>
      <c r="M50" s="4">
        <f>SUM(M35,M36:M48)</f>
        <v>0</v>
      </c>
      <c r="N50" s="4">
        <f>SUM(N35,N36:N48)</f>
        <v>0</v>
      </c>
      <c r="O50" s="4">
        <f>O51+O52</f>
        <v>7008</v>
      </c>
      <c r="P50" s="4">
        <f>P51+P52</f>
        <v>7008</v>
      </c>
      <c r="Q50" s="4">
        <f>SUM(Q35,Q36:Q48)</f>
        <v>0</v>
      </c>
      <c r="R50" s="4">
        <f>SUM(R35,R36:R48)</f>
        <v>0</v>
      </c>
      <c r="S50" s="4">
        <f>SUM(S35,S36:S48)</f>
        <v>0</v>
      </c>
      <c r="T50" s="4">
        <f>T51+T52</f>
        <v>5850</v>
      </c>
      <c r="U50" s="4">
        <f>U35+U36+U37+U38+U39+U40+U41+U42+U43+U44+U45+U46+U47+U49</f>
        <v>5850</v>
      </c>
      <c r="V50" s="4">
        <f>SUM(V35,V36:V48)</f>
        <v>0</v>
      </c>
      <c r="W50" s="4">
        <f>SUM(W35,W36:W48)</f>
        <v>0</v>
      </c>
      <c r="X50" s="4">
        <f>SUM(X35,X36:X48)</f>
        <v>0</v>
      </c>
      <c r="Y50" s="4">
        <f>Y51+Y52</f>
        <v>0</v>
      </c>
      <c r="Z50" s="4">
        <f>Z51+Z52</f>
        <v>0</v>
      </c>
      <c r="AA50" s="4">
        <f>SUM(AA35,AA36:AA48)</f>
        <v>0</v>
      </c>
      <c r="AB50" s="4">
        <f>SUM(AB35,AB36:AB48)</f>
        <v>0</v>
      </c>
      <c r="AC50" s="4">
        <f>SUM(AC35,AC36:AC48)</f>
        <v>0</v>
      </c>
      <c r="AD50" s="4">
        <f t="shared" si="17"/>
        <v>62552.9</v>
      </c>
    </row>
    <row r="51" spans="1:32" ht="23.25">
      <c r="A51" s="59" t="s">
        <v>29</v>
      </c>
      <c r="B51" s="59"/>
      <c r="C51" s="61"/>
      <c r="D51" s="9"/>
      <c r="E51" s="80">
        <f t="shared" ref="E51:AC51" si="19">E48</f>
        <v>384.8</v>
      </c>
      <c r="F51" s="80">
        <f t="shared" si="19"/>
        <v>384.8</v>
      </c>
      <c r="G51" s="80">
        <v>0</v>
      </c>
      <c r="H51" s="80">
        <f t="shared" si="19"/>
        <v>0</v>
      </c>
      <c r="I51" s="80">
        <f t="shared" si="19"/>
        <v>0</v>
      </c>
      <c r="J51" s="80">
        <f t="shared" si="19"/>
        <v>362.1</v>
      </c>
      <c r="K51" s="80">
        <f t="shared" si="19"/>
        <v>362.1</v>
      </c>
      <c r="L51" s="80">
        <f t="shared" si="19"/>
        <v>0</v>
      </c>
      <c r="M51" s="80">
        <f t="shared" si="19"/>
        <v>0</v>
      </c>
      <c r="N51" s="80">
        <f t="shared" si="19"/>
        <v>0</v>
      </c>
      <c r="O51" s="80">
        <f t="shared" si="19"/>
        <v>379</v>
      </c>
      <c r="P51" s="80">
        <f t="shared" si="19"/>
        <v>379</v>
      </c>
      <c r="Q51" s="80">
        <f t="shared" si="19"/>
        <v>0</v>
      </c>
      <c r="R51" s="80">
        <f t="shared" si="19"/>
        <v>0</v>
      </c>
      <c r="S51" s="80">
        <f t="shared" si="19"/>
        <v>0</v>
      </c>
      <c r="T51" s="80">
        <f t="shared" si="19"/>
        <v>0</v>
      </c>
      <c r="U51" s="80">
        <f t="shared" si="19"/>
        <v>0</v>
      </c>
      <c r="V51" s="80">
        <f t="shared" si="19"/>
        <v>0</v>
      </c>
      <c r="W51" s="80">
        <f t="shared" si="19"/>
        <v>0</v>
      </c>
      <c r="X51" s="80">
        <f t="shared" si="19"/>
        <v>0</v>
      </c>
      <c r="Y51" s="80">
        <f t="shared" si="19"/>
        <v>0</v>
      </c>
      <c r="Z51" s="80">
        <f t="shared" si="19"/>
        <v>0</v>
      </c>
      <c r="AA51" s="80">
        <f t="shared" si="19"/>
        <v>0</v>
      </c>
      <c r="AB51" s="80">
        <f t="shared" si="19"/>
        <v>0</v>
      </c>
      <c r="AC51" s="80">
        <f t="shared" si="19"/>
        <v>0</v>
      </c>
      <c r="AD51" s="81">
        <f t="shared" si="17"/>
        <v>1125.9000000000001</v>
      </c>
    </row>
    <row r="52" spans="1:32" ht="23.25">
      <c r="A52" s="59" t="s">
        <v>65</v>
      </c>
      <c r="B52" s="59"/>
      <c r="C52" s="61"/>
      <c r="D52" s="9"/>
      <c r="E52" s="1">
        <f>E35+E36+E37+E38+E39+E40+E41+E42+E43+E44+E45+E46+E47+E49</f>
        <v>37737</v>
      </c>
      <c r="F52" s="1">
        <f>F35+F36+F37+F38+F39+F40+F41+F42+F43+F44+F45+F46+F47+F49</f>
        <v>15077</v>
      </c>
      <c r="G52" s="1">
        <v>22660</v>
      </c>
      <c r="H52" s="1">
        <f>0</f>
        <v>0</v>
      </c>
      <c r="I52" s="1">
        <v>0</v>
      </c>
      <c r="J52" s="1">
        <f>J35+J36+J37+J38+J39+J40+J41+J42+J43+J44+J45+J46+J47+J49</f>
        <v>11211</v>
      </c>
      <c r="K52" s="1">
        <f>K35+K36+K37+K38+K39+K40+K41+K42+K43+K44+K45+K46+K47+K49</f>
        <v>7647</v>
      </c>
      <c r="L52" s="1">
        <v>0</v>
      </c>
      <c r="M52" s="1">
        <v>0</v>
      </c>
      <c r="N52" s="1">
        <v>0</v>
      </c>
      <c r="O52" s="1">
        <f>O35+O36+O37+O38+O39+O40+O42+O41+O43+O44+O45+O46+O47+O49</f>
        <v>6629</v>
      </c>
      <c r="P52" s="1">
        <f>P35+P36+P37+P38+P39+P40+P41+P42+P43+P44+P45+P46+P47+P49</f>
        <v>6629</v>
      </c>
      <c r="Q52" s="1">
        <v>0</v>
      </c>
      <c r="R52" s="1">
        <v>0</v>
      </c>
      <c r="S52" s="1">
        <v>0</v>
      </c>
      <c r="T52" s="1">
        <f>T35+T36+T37+T38+T39+T40+T41+T42+T43+T44+T45+T46+T47+T49</f>
        <v>5850</v>
      </c>
      <c r="U52" s="1">
        <f>U35+U36+U37+U38+U39+U40+U41+U42+U43+U44+U45+U46+U47+U49</f>
        <v>5850</v>
      </c>
      <c r="V52" s="1">
        <v>0</v>
      </c>
      <c r="W52" s="1">
        <v>0</v>
      </c>
      <c r="X52" s="1">
        <v>0</v>
      </c>
      <c r="Y52" s="1">
        <f>Y35+Y36+Y37+Y38+Y39+Y40+Y41+Y42+Y43+Y44+Y45+Y46+Y47+Y49</f>
        <v>0</v>
      </c>
      <c r="Z52" s="1">
        <f>Z35+Z36+Z37+Z38+Z39+Z40+Z41+Z42+Z43+Z44+Z45+Z46+Z47+Z49</f>
        <v>0</v>
      </c>
      <c r="AA52" s="1">
        <v>0</v>
      </c>
      <c r="AB52" s="1">
        <v>0</v>
      </c>
      <c r="AC52" s="1">
        <v>0</v>
      </c>
      <c r="AD52" s="1">
        <f t="shared" si="17"/>
        <v>61427</v>
      </c>
    </row>
    <row r="53" spans="1:32" ht="23.25" customHeight="1">
      <c r="A53" s="2" t="s">
        <v>95</v>
      </c>
      <c r="B53" s="14" t="s">
        <v>161</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6"/>
    </row>
    <row r="54" spans="1:32" ht="63" customHeight="1">
      <c r="A54" s="3" t="s">
        <v>19</v>
      </c>
      <c r="B54" s="51" t="s">
        <v>56</v>
      </c>
      <c r="C54" s="2" t="s">
        <v>41</v>
      </c>
      <c r="D54" s="2" t="s">
        <v>40</v>
      </c>
      <c r="E54" s="1">
        <f>F54+G54+H54+I54</f>
        <v>700</v>
      </c>
      <c r="F54" s="1">
        <f>700</f>
        <v>700</v>
      </c>
      <c r="G54" s="1">
        <v>0</v>
      </c>
      <c r="H54" s="1">
        <v>0</v>
      </c>
      <c r="I54" s="1">
        <v>0</v>
      </c>
      <c r="J54" s="1">
        <f>K54+L54+M54+N54</f>
        <v>498</v>
      </c>
      <c r="K54" s="1">
        <f>600-102</f>
        <v>498</v>
      </c>
      <c r="L54" s="1">
        <v>0</v>
      </c>
      <c r="M54" s="1">
        <v>0</v>
      </c>
      <c r="N54" s="1">
        <v>0</v>
      </c>
      <c r="O54" s="1">
        <f>P54+Q54+R54+S54</f>
        <v>554</v>
      </c>
      <c r="P54" s="1">
        <f>600-46</f>
        <v>554</v>
      </c>
      <c r="Q54" s="1">
        <v>0</v>
      </c>
      <c r="R54" s="1">
        <v>0</v>
      </c>
      <c r="S54" s="1">
        <v>0</v>
      </c>
      <c r="T54" s="1">
        <f>U54+V54+W54+X54</f>
        <v>555</v>
      </c>
      <c r="U54" s="1">
        <v>555</v>
      </c>
      <c r="V54" s="1">
        <v>0</v>
      </c>
      <c r="W54" s="1">
        <v>0</v>
      </c>
      <c r="X54" s="1">
        <v>0</v>
      </c>
      <c r="Y54" s="1">
        <f>Z54+AA54+AB54+AC54</f>
        <v>0</v>
      </c>
      <c r="Z54" s="1">
        <v>0</v>
      </c>
      <c r="AA54" s="1">
        <v>0</v>
      </c>
      <c r="AB54" s="1">
        <v>0</v>
      </c>
      <c r="AC54" s="1">
        <v>0</v>
      </c>
      <c r="AD54" s="1">
        <f>E54+J54+O54+T54+Y54</f>
        <v>2307</v>
      </c>
    </row>
    <row r="55" spans="1:32" ht="23.25">
      <c r="A55" s="56" t="s">
        <v>147</v>
      </c>
      <c r="B55" s="57"/>
      <c r="C55" s="58"/>
      <c r="D55" s="7"/>
      <c r="E55" s="4">
        <f t="shared" ref="E55:AD55" si="20">SUM(E54:E54)</f>
        <v>700</v>
      </c>
      <c r="F55" s="4">
        <f>SUM(F54)</f>
        <v>700</v>
      </c>
      <c r="G55" s="4">
        <f t="shared" si="20"/>
        <v>0</v>
      </c>
      <c r="H55" s="4">
        <f t="shared" si="20"/>
        <v>0</v>
      </c>
      <c r="I55" s="4">
        <f t="shared" si="20"/>
        <v>0</v>
      </c>
      <c r="J55" s="4">
        <f>J54</f>
        <v>498</v>
      </c>
      <c r="K55" s="4">
        <f t="shared" si="20"/>
        <v>498</v>
      </c>
      <c r="L55" s="4">
        <f t="shared" si="20"/>
        <v>0</v>
      </c>
      <c r="M55" s="4">
        <f t="shared" si="20"/>
        <v>0</v>
      </c>
      <c r="N55" s="4">
        <f t="shared" si="20"/>
        <v>0</v>
      </c>
      <c r="O55" s="4">
        <f t="shared" si="20"/>
        <v>554</v>
      </c>
      <c r="P55" s="4">
        <f t="shared" si="20"/>
        <v>554</v>
      </c>
      <c r="Q55" s="4">
        <f t="shared" si="20"/>
        <v>0</v>
      </c>
      <c r="R55" s="4">
        <f t="shared" si="20"/>
        <v>0</v>
      </c>
      <c r="S55" s="4">
        <f t="shared" si="20"/>
        <v>0</v>
      </c>
      <c r="T55" s="4">
        <f t="shared" si="20"/>
        <v>555</v>
      </c>
      <c r="U55" s="4">
        <f t="shared" si="20"/>
        <v>555</v>
      </c>
      <c r="V55" s="4">
        <f t="shared" si="20"/>
        <v>0</v>
      </c>
      <c r="W55" s="4">
        <f t="shared" si="20"/>
        <v>0</v>
      </c>
      <c r="X55" s="4">
        <f t="shared" si="20"/>
        <v>0</v>
      </c>
      <c r="Y55" s="4">
        <f t="shared" si="20"/>
        <v>0</v>
      </c>
      <c r="Z55" s="4">
        <f t="shared" si="20"/>
        <v>0</v>
      </c>
      <c r="AA55" s="4">
        <f t="shared" si="20"/>
        <v>0</v>
      </c>
      <c r="AB55" s="4">
        <f t="shared" si="20"/>
        <v>0</v>
      </c>
      <c r="AC55" s="4">
        <f t="shared" si="20"/>
        <v>0</v>
      </c>
      <c r="AD55" s="4">
        <f t="shared" si="20"/>
        <v>2307</v>
      </c>
    </row>
    <row r="56" spans="1:32" ht="23.25" customHeight="1">
      <c r="A56" s="2" t="s">
        <v>111</v>
      </c>
      <c r="B56" s="14" t="s">
        <v>162</v>
      </c>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6"/>
    </row>
    <row r="57" spans="1:32" ht="111" customHeight="1">
      <c r="A57" s="82" t="s">
        <v>20</v>
      </c>
      <c r="B57" s="83" t="s">
        <v>136</v>
      </c>
      <c r="C57" s="2" t="s">
        <v>131</v>
      </c>
      <c r="D57" s="84">
        <v>2020</v>
      </c>
      <c r="E57" s="1">
        <f>F57+G57+H57+I57</f>
        <v>1449</v>
      </c>
      <c r="F57" s="1">
        <f>1656-207</f>
        <v>1449</v>
      </c>
      <c r="G57" s="1">
        <v>0</v>
      </c>
      <c r="H57" s="1">
        <v>0</v>
      </c>
      <c r="I57" s="1">
        <v>0</v>
      </c>
      <c r="J57" s="1">
        <f>K57+L57+M57+N57</f>
        <v>0</v>
      </c>
      <c r="K57" s="1">
        <v>0</v>
      </c>
      <c r="L57" s="1">
        <v>0</v>
      </c>
      <c r="M57" s="1">
        <v>0</v>
      </c>
      <c r="N57" s="1">
        <v>0</v>
      </c>
      <c r="O57" s="1">
        <f>P57+Q57+R57+S57</f>
        <v>0</v>
      </c>
      <c r="P57" s="1">
        <v>0</v>
      </c>
      <c r="Q57" s="1">
        <v>0</v>
      </c>
      <c r="R57" s="1">
        <v>0</v>
      </c>
      <c r="S57" s="1">
        <v>0</v>
      </c>
      <c r="T57" s="1">
        <f t="shared" ref="T57:T59" si="21">U57+V57+W57+X57</f>
        <v>0</v>
      </c>
      <c r="U57" s="1">
        <v>0</v>
      </c>
      <c r="V57" s="1">
        <v>0</v>
      </c>
      <c r="W57" s="1">
        <v>0</v>
      </c>
      <c r="X57" s="1">
        <v>0</v>
      </c>
      <c r="Y57" s="1">
        <f>Z57+AA57+AB57+AC57</f>
        <v>0</v>
      </c>
      <c r="Z57" s="1">
        <v>0</v>
      </c>
      <c r="AA57" s="1">
        <v>0</v>
      </c>
      <c r="AB57" s="1">
        <v>0</v>
      </c>
      <c r="AC57" s="1">
        <v>0</v>
      </c>
      <c r="AD57" s="1">
        <f>E57+I57+O57+T57+0</f>
        <v>1449</v>
      </c>
    </row>
    <row r="58" spans="1:32" ht="76.5" customHeight="1">
      <c r="A58" s="85"/>
      <c r="B58" s="86"/>
      <c r="C58" s="2" t="s">
        <v>132</v>
      </c>
      <c r="D58" s="84" t="s">
        <v>130</v>
      </c>
      <c r="E58" s="1">
        <f>F58+G58+H58+I58</f>
        <v>0</v>
      </c>
      <c r="F58" s="1">
        <v>0</v>
      </c>
      <c r="G58" s="1">
        <v>0</v>
      </c>
      <c r="H58" s="1">
        <v>0</v>
      </c>
      <c r="I58" s="1">
        <v>0</v>
      </c>
      <c r="J58" s="1">
        <f>K58+L58+M58+N58</f>
        <v>850</v>
      </c>
      <c r="K58" s="1">
        <f>1437-237-350</f>
        <v>850</v>
      </c>
      <c r="L58" s="1">
        <v>0</v>
      </c>
      <c r="M58" s="1">
        <v>0</v>
      </c>
      <c r="N58" s="1">
        <v>0</v>
      </c>
      <c r="O58" s="1">
        <f>P58+Q58+R58+S58</f>
        <v>997</v>
      </c>
      <c r="P58" s="1">
        <f>1437-175-3-262</f>
        <v>997</v>
      </c>
      <c r="Q58" s="1">
        <v>0</v>
      </c>
      <c r="R58" s="1">
        <v>0</v>
      </c>
      <c r="S58" s="1">
        <v>0</v>
      </c>
      <c r="T58" s="1">
        <f t="shared" si="21"/>
        <v>1022</v>
      </c>
      <c r="U58" s="1">
        <f>2022-1000</f>
        <v>1022</v>
      </c>
      <c r="V58" s="1">
        <v>0</v>
      </c>
      <c r="W58" s="1">
        <v>0</v>
      </c>
      <c r="X58" s="1">
        <v>0</v>
      </c>
      <c r="Y58" s="1">
        <f>Z58+AA58+AB58+AC58</f>
        <v>2022</v>
      </c>
      <c r="Z58" s="1">
        <v>2022</v>
      </c>
      <c r="AA58" s="1">
        <v>0</v>
      </c>
      <c r="AB58" s="1">
        <v>0</v>
      </c>
      <c r="AC58" s="1">
        <v>0</v>
      </c>
      <c r="AD58" s="1">
        <f>E58+J58+O58+T58+Y58</f>
        <v>4891</v>
      </c>
    </row>
    <row r="59" spans="1:32" ht="69.75">
      <c r="A59" s="3" t="s">
        <v>112</v>
      </c>
      <c r="B59" s="51" t="s">
        <v>137</v>
      </c>
      <c r="C59" s="2" t="s">
        <v>23</v>
      </c>
      <c r="D59" s="2" t="s">
        <v>40</v>
      </c>
      <c r="E59" s="1">
        <f>F59+G59+H59+I59</f>
        <v>55</v>
      </c>
      <c r="F59" s="1">
        <f>86-31</f>
        <v>55</v>
      </c>
      <c r="G59" s="1">
        <v>0</v>
      </c>
      <c r="H59" s="1">
        <v>0</v>
      </c>
      <c r="I59" s="1">
        <v>0</v>
      </c>
      <c r="J59" s="1">
        <f>K59+L59+M59+N59</f>
        <v>60.5</v>
      </c>
      <c r="K59" s="1">
        <f>70-9.5</f>
        <v>60.5</v>
      </c>
      <c r="L59" s="1">
        <v>0</v>
      </c>
      <c r="M59" s="1">
        <v>0</v>
      </c>
      <c r="N59" s="1">
        <v>0</v>
      </c>
      <c r="O59" s="1">
        <f>P59+Q59+R59+S59</f>
        <v>134.19999999999999</v>
      </c>
      <c r="P59" s="1">
        <f>153-18.8</f>
        <v>134.19999999999999</v>
      </c>
      <c r="Q59" s="1">
        <v>0</v>
      </c>
      <c r="R59" s="1">
        <v>0</v>
      </c>
      <c r="S59" s="1">
        <v>0</v>
      </c>
      <c r="T59" s="1">
        <f t="shared" si="21"/>
        <v>138</v>
      </c>
      <c r="U59" s="1">
        <f>146-8</f>
        <v>138</v>
      </c>
      <c r="V59" s="1">
        <v>0</v>
      </c>
      <c r="W59" s="1">
        <v>0</v>
      </c>
      <c r="X59" s="1">
        <v>0</v>
      </c>
      <c r="Y59" s="1">
        <f>Z59+AA59+AB59+AC59</f>
        <v>146</v>
      </c>
      <c r="Z59" s="1">
        <v>146</v>
      </c>
      <c r="AA59" s="1">
        <v>0</v>
      </c>
      <c r="AB59" s="1">
        <v>0</v>
      </c>
      <c r="AC59" s="1">
        <v>0</v>
      </c>
      <c r="AD59" s="1">
        <f>E59+J59+O59+T59+Y59</f>
        <v>533.70000000000005</v>
      </c>
    </row>
    <row r="60" spans="1:32" ht="23.25">
      <c r="A60" s="59" t="s">
        <v>29</v>
      </c>
      <c r="B60" s="59"/>
      <c r="C60" s="61"/>
      <c r="D60" s="7"/>
      <c r="E60" s="1">
        <f>E59</f>
        <v>55</v>
      </c>
      <c r="F60" s="1">
        <f>F59</f>
        <v>55</v>
      </c>
      <c r="G60" s="1">
        <v>0</v>
      </c>
      <c r="H60" s="1">
        <v>0</v>
      </c>
      <c r="I60" s="1">
        <v>0</v>
      </c>
      <c r="J60" s="1">
        <f>K60+L60+M60+N60</f>
        <v>910.5</v>
      </c>
      <c r="K60" s="1">
        <f>K58+K59</f>
        <v>910.5</v>
      </c>
      <c r="L60" s="1">
        <v>0</v>
      </c>
      <c r="M60" s="1">
        <v>0</v>
      </c>
      <c r="N60" s="1">
        <v>0</v>
      </c>
      <c r="O60" s="1">
        <f>P60+Q60+R60+S60</f>
        <v>1131.2</v>
      </c>
      <c r="P60" s="1">
        <f>P58+P59</f>
        <v>1131.2</v>
      </c>
      <c r="Q60" s="1">
        <v>0</v>
      </c>
      <c r="R60" s="1">
        <v>0</v>
      </c>
      <c r="S60" s="1">
        <v>0</v>
      </c>
      <c r="T60" s="1">
        <f>T58+T59</f>
        <v>1160</v>
      </c>
      <c r="U60" s="1">
        <f>U58+U59</f>
        <v>1160</v>
      </c>
      <c r="V60" s="1">
        <v>0</v>
      </c>
      <c r="W60" s="1">
        <v>0</v>
      </c>
      <c r="X60" s="1">
        <v>0</v>
      </c>
      <c r="Y60" s="1">
        <f>Y58+Y59</f>
        <v>2168</v>
      </c>
      <c r="Z60" s="1">
        <f>Z58+Z59</f>
        <v>2168</v>
      </c>
      <c r="AA60" s="1">
        <v>0</v>
      </c>
      <c r="AB60" s="1">
        <v>0</v>
      </c>
      <c r="AC60" s="1">
        <v>0</v>
      </c>
      <c r="AD60" s="1">
        <f>AD58+AD59</f>
        <v>5424.7</v>
      </c>
    </row>
    <row r="61" spans="1:32" ht="23.25">
      <c r="A61" s="59" t="s">
        <v>65</v>
      </c>
      <c r="B61" s="59"/>
      <c r="C61" s="61"/>
      <c r="D61" s="7"/>
      <c r="E61" s="1">
        <f>F61+G61+H61+I61</f>
        <v>1449</v>
      </c>
      <c r="F61" s="1">
        <f>F57</f>
        <v>1449</v>
      </c>
      <c r="G61" s="1">
        <v>0</v>
      </c>
      <c r="H61" s="1">
        <v>0</v>
      </c>
      <c r="I61" s="1">
        <v>0</v>
      </c>
      <c r="J61" s="1">
        <v>0</v>
      </c>
      <c r="K61" s="1">
        <v>0</v>
      </c>
      <c r="L61" s="1">
        <v>0</v>
      </c>
      <c r="M61" s="1">
        <v>0</v>
      </c>
      <c r="N61" s="1">
        <v>0</v>
      </c>
      <c r="O61" s="1">
        <v>0</v>
      </c>
      <c r="P61" s="1">
        <v>0</v>
      </c>
      <c r="Q61" s="1">
        <v>0</v>
      </c>
      <c r="R61" s="1">
        <v>0</v>
      </c>
      <c r="S61" s="1">
        <v>0</v>
      </c>
      <c r="T61" s="1">
        <v>0</v>
      </c>
      <c r="U61" s="1">
        <v>0</v>
      </c>
      <c r="V61" s="1">
        <v>0</v>
      </c>
      <c r="W61" s="1">
        <v>0</v>
      </c>
      <c r="X61" s="1">
        <v>0</v>
      </c>
      <c r="Y61" s="1">
        <v>0</v>
      </c>
      <c r="Z61" s="1">
        <v>0</v>
      </c>
      <c r="AA61" s="1">
        <v>0</v>
      </c>
      <c r="AB61" s="1">
        <v>0</v>
      </c>
      <c r="AC61" s="1">
        <v>0</v>
      </c>
      <c r="AD61" s="1">
        <f>AD57</f>
        <v>1449</v>
      </c>
    </row>
    <row r="62" spans="1:32" s="76" customFormat="1" ht="22.5">
      <c r="A62" s="87"/>
      <c r="B62" s="87" t="s">
        <v>138</v>
      </c>
      <c r="C62" s="88"/>
      <c r="D62" s="89"/>
      <c r="E62" s="4">
        <f>F62+G62+H62+I62</f>
        <v>1504</v>
      </c>
      <c r="F62" s="4">
        <f>F60+F61</f>
        <v>1504</v>
      </c>
      <c r="G62" s="4">
        <v>0</v>
      </c>
      <c r="H62" s="4">
        <v>0</v>
      </c>
      <c r="I62" s="4">
        <v>0</v>
      </c>
      <c r="J62" s="4">
        <f>K62+L62+M62+N62</f>
        <v>910.5</v>
      </c>
      <c r="K62" s="4">
        <f>K60+K61</f>
        <v>910.5</v>
      </c>
      <c r="L62" s="4">
        <v>0</v>
      </c>
      <c r="M62" s="4">
        <v>0</v>
      </c>
      <c r="N62" s="4">
        <v>0</v>
      </c>
      <c r="O62" s="4">
        <f>P62+Q62+R62+S62</f>
        <v>1131.2</v>
      </c>
      <c r="P62" s="4">
        <f>P60+P61</f>
        <v>1131.2</v>
      </c>
      <c r="Q62" s="4">
        <v>0</v>
      </c>
      <c r="R62" s="4">
        <v>0</v>
      </c>
      <c r="S62" s="4">
        <v>0</v>
      </c>
      <c r="T62" s="4">
        <f>U62+V62+W62+X62</f>
        <v>1160</v>
      </c>
      <c r="U62" s="4">
        <f>U60+U61</f>
        <v>1160</v>
      </c>
      <c r="V62" s="4">
        <v>0</v>
      </c>
      <c r="W62" s="4">
        <v>0</v>
      </c>
      <c r="X62" s="4">
        <v>0</v>
      </c>
      <c r="Y62" s="4">
        <f>Z62+AA62+AB62+AC62</f>
        <v>2168</v>
      </c>
      <c r="Z62" s="4">
        <f>Z60+Z61</f>
        <v>2168</v>
      </c>
      <c r="AA62" s="4">
        <v>0</v>
      </c>
      <c r="AB62" s="4">
        <v>0</v>
      </c>
      <c r="AC62" s="4">
        <v>0</v>
      </c>
      <c r="AD62" s="4">
        <f>E62+J62+O62+T62+Y62</f>
        <v>6873.7</v>
      </c>
    </row>
    <row r="63" spans="1:32" ht="23.25">
      <c r="A63" s="2" t="s">
        <v>96</v>
      </c>
      <c r="B63" s="14" t="s">
        <v>163</v>
      </c>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6"/>
    </row>
    <row r="64" spans="1:32" ht="87.75" customHeight="1">
      <c r="A64" s="3" t="s">
        <v>21</v>
      </c>
      <c r="B64" s="5" t="s">
        <v>48</v>
      </c>
      <c r="C64" s="2" t="s">
        <v>41</v>
      </c>
      <c r="D64" s="2" t="s">
        <v>40</v>
      </c>
      <c r="E64" s="1">
        <f>F64+G64+H64+I64</f>
        <v>766</v>
      </c>
      <c r="F64" s="1">
        <f>409+357</f>
        <v>766</v>
      </c>
      <c r="G64" s="1">
        <v>0</v>
      </c>
      <c r="H64" s="1">
        <v>0</v>
      </c>
      <c r="I64" s="1">
        <v>0</v>
      </c>
      <c r="J64" s="1">
        <f>K64+L64+M64+N64</f>
        <v>628</v>
      </c>
      <c r="K64" s="1">
        <f>655-27</f>
        <v>628</v>
      </c>
      <c r="L64" s="1">
        <v>0</v>
      </c>
      <c r="M64" s="1">
        <v>0</v>
      </c>
      <c r="N64" s="1">
        <v>0</v>
      </c>
      <c r="O64" s="1">
        <f>P64+Q64+R64+S64</f>
        <v>508.79999999999995</v>
      </c>
      <c r="P64" s="1">
        <f>533-23.2+34-35</f>
        <v>508.79999999999995</v>
      </c>
      <c r="Q64" s="1">
        <v>0</v>
      </c>
      <c r="R64" s="1">
        <v>0</v>
      </c>
      <c r="S64" s="1">
        <v>0</v>
      </c>
      <c r="T64" s="1">
        <f>U64+V64+W64+X64</f>
        <v>503</v>
      </c>
      <c r="U64" s="1">
        <v>503</v>
      </c>
      <c r="V64" s="1">
        <v>0</v>
      </c>
      <c r="W64" s="1">
        <v>0</v>
      </c>
      <c r="X64" s="1">
        <v>0</v>
      </c>
      <c r="Y64" s="1">
        <f>Z64+AA64+AB64+AC64</f>
        <v>0</v>
      </c>
      <c r="Z64" s="1">
        <v>0</v>
      </c>
      <c r="AA64" s="1">
        <v>0</v>
      </c>
      <c r="AB64" s="1">
        <v>0</v>
      </c>
      <c r="AC64" s="1">
        <v>0</v>
      </c>
      <c r="AD64" s="1">
        <f>E64+J64+O64+T64+Y64</f>
        <v>2405.8000000000002</v>
      </c>
      <c r="AF64" s="19" t="s">
        <v>63</v>
      </c>
    </row>
    <row r="65" spans="1:30">
      <c r="A65" s="11" t="s">
        <v>148</v>
      </c>
      <c r="B65" s="12"/>
      <c r="C65" s="13"/>
      <c r="D65" s="7"/>
      <c r="E65" s="4">
        <f t="shared" ref="E65:AD65" si="22">SUM(E64:E64)</f>
        <v>766</v>
      </c>
      <c r="F65" s="4">
        <f>SUM(F64)</f>
        <v>766</v>
      </c>
      <c r="G65" s="4">
        <f t="shared" si="22"/>
        <v>0</v>
      </c>
      <c r="H65" s="4">
        <f t="shared" si="22"/>
        <v>0</v>
      </c>
      <c r="I65" s="4">
        <f t="shared" si="22"/>
        <v>0</v>
      </c>
      <c r="J65" s="4">
        <f>J64</f>
        <v>628</v>
      </c>
      <c r="K65" s="4">
        <f t="shared" si="22"/>
        <v>628</v>
      </c>
      <c r="L65" s="4">
        <f t="shared" si="22"/>
        <v>0</v>
      </c>
      <c r="M65" s="4">
        <f t="shared" si="22"/>
        <v>0</v>
      </c>
      <c r="N65" s="4">
        <f t="shared" si="22"/>
        <v>0</v>
      </c>
      <c r="O65" s="4">
        <f t="shared" si="22"/>
        <v>508.79999999999995</v>
      </c>
      <c r="P65" s="4">
        <f t="shared" si="22"/>
        <v>508.79999999999995</v>
      </c>
      <c r="Q65" s="4">
        <f t="shared" si="22"/>
        <v>0</v>
      </c>
      <c r="R65" s="4">
        <f t="shared" si="22"/>
        <v>0</v>
      </c>
      <c r="S65" s="4">
        <f t="shared" si="22"/>
        <v>0</v>
      </c>
      <c r="T65" s="4">
        <f t="shared" si="22"/>
        <v>503</v>
      </c>
      <c r="U65" s="4">
        <f t="shared" si="22"/>
        <v>503</v>
      </c>
      <c r="V65" s="4">
        <f t="shared" si="22"/>
        <v>0</v>
      </c>
      <c r="W65" s="4">
        <f t="shared" si="22"/>
        <v>0</v>
      </c>
      <c r="X65" s="4">
        <f t="shared" si="22"/>
        <v>0</v>
      </c>
      <c r="Y65" s="4">
        <f t="shared" si="22"/>
        <v>0</v>
      </c>
      <c r="Z65" s="4">
        <f t="shared" si="22"/>
        <v>0</v>
      </c>
      <c r="AA65" s="4">
        <f t="shared" si="22"/>
        <v>0</v>
      </c>
      <c r="AB65" s="4">
        <f t="shared" si="22"/>
        <v>0</v>
      </c>
      <c r="AC65" s="4">
        <f t="shared" si="22"/>
        <v>0</v>
      </c>
      <c r="AD65" s="4">
        <f t="shared" si="22"/>
        <v>2405.8000000000002</v>
      </c>
    </row>
    <row r="66" spans="1:30" ht="23.25">
      <c r="A66" s="7" t="s">
        <v>113</v>
      </c>
      <c r="B66" s="14" t="s">
        <v>127</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6"/>
    </row>
    <row r="67" spans="1:30" ht="93.75">
      <c r="A67" s="7" t="s">
        <v>22</v>
      </c>
      <c r="B67" s="5" t="s">
        <v>54</v>
      </c>
      <c r="C67" s="2" t="s">
        <v>46</v>
      </c>
      <c r="D67" s="2" t="s">
        <v>40</v>
      </c>
      <c r="E67" s="1">
        <f>F67+G67+H67+I67</f>
        <v>25286</v>
      </c>
      <c r="F67" s="1">
        <f>27786-2500</f>
        <v>25286</v>
      </c>
      <c r="G67" s="1">
        <v>0</v>
      </c>
      <c r="H67" s="1">
        <v>0</v>
      </c>
      <c r="I67" s="1">
        <v>0</v>
      </c>
      <c r="J67" s="1">
        <f>K67+L67+M67+N67</f>
        <v>29781</v>
      </c>
      <c r="K67" s="1">
        <f>40120-110-10229</f>
        <v>29781</v>
      </c>
      <c r="L67" s="1">
        <v>0</v>
      </c>
      <c r="M67" s="1">
        <v>0</v>
      </c>
      <c r="N67" s="1">
        <v>0</v>
      </c>
      <c r="O67" s="1">
        <f>P67+Q67+R67+S67</f>
        <v>26886.400000000001</v>
      </c>
      <c r="P67" s="1">
        <f>29104-2217.6</f>
        <v>26886.400000000001</v>
      </c>
      <c r="Q67" s="1">
        <v>0</v>
      </c>
      <c r="R67" s="1">
        <v>0</v>
      </c>
      <c r="S67" s="1">
        <v>0</v>
      </c>
      <c r="T67" s="6">
        <f>U67+V67+W67+X67</f>
        <v>27352</v>
      </c>
      <c r="U67" s="6">
        <f>28982-1630</f>
        <v>27352</v>
      </c>
      <c r="V67" s="1">
        <v>0</v>
      </c>
      <c r="W67" s="1">
        <v>0</v>
      </c>
      <c r="X67" s="1">
        <v>0</v>
      </c>
      <c r="Y67" s="1">
        <f>Z67+AA67+AB67+AC67</f>
        <v>0</v>
      </c>
      <c r="Z67" s="1">
        <v>0</v>
      </c>
      <c r="AA67" s="1">
        <v>0</v>
      </c>
      <c r="AB67" s="1">
        <v>0</v>
      </c>
      <c r="AC67" s="1">
        <v>0</v>
      </c>
      <c r="AD67" s="1">
        <f>E67+J67+O67+T67+Y67</f>
        <v>109305.4</v>
      </c>
    </row>
    <row r="68" spans="1:30" ht="23.25">
      <c r="A68" s="56" t="s">
        <v>149</v>
      </c>
      <c r="B68" s="57"/>
      <c r="C68" s="58"/>
      <c r="D68" s="7"/>
      <c r="E68" s="4">
        <f t="shared" ref="E68:AD68" si="23">SUM(E67:E67)</f>
        <v>25286</v>
      </c>
      <c r="F68" s="4">
        <f>SUM(F67)</f>
        <v>25286</v>
      </c>
      <c r="G68" s="4">
        <f t="shared" si="23"/>
        <v>0</v>
      </c>
      <c r="H68" s="4">
        <f t="shared" si="23"/>
        <v>0</v>
      </c>
      <c r="I68" s="4">
        <f t="shared" si="23"/>
        <v>0</v>
      </c>
      <c r="J68" s="4">
        <f>J67</f>
        <v>29781</v>
      </c>
      <c r="K68" s="4">
        <f t="shared" si="23"/>
        <v>29781</v>
      </c>
      <c r="L68" s="4">
        <f t="shared" si="23"/>
        <v>0</v>
      </c>
      <c r="M68" s="4">
        <f t="shared" si="23"/>
        <v>0</v>
      </c>
      <c r="N68" s="4">
        <f t="shared" si="23"/>
        <v>0</v>
      </c>
      <c r="O68" s="4">
        <f t="shared" si="23"/>
        <v>26886.400000000001</v>
      </c>
      <c r="P68" s="4">
        <f t="shared" si="23"/>
        <v>26886.400000000001</v>
      </c>
      <c r="Q68" s="4">
        <f t="shared" si="23"/>
        <v>0</v>
      </c>
      <c r="R68" s="4">
        <f t="shared" si="23"/>
        <v>0</v>
      </c>
      <c r="S68" s="4">
        <f t="shared" si="23"/>
        <v>0</v>
      </c>
      <c r="T68" s="4">
        <f t="shared" si="23"/>
        <v>27352</v>
      </c>
      <c r="U68" s="4">
        <f t="shared" si="23"/>
        <v>27352</v>
      </c>
      <c r="V68" s="4">
        <f t="shared" si="23"/>
        <v>0</v>
      </c>
      <c r="W68" s="4">
        <f t="shared" si="23"/>
        <v>0</v>
      </c>
      <c r="X68" s="4">
        <f t="shared" si="23"/>
        <v>0</v>
      </c>
      <c r="Y68" s="4">
        <f t="shared" si="23"/>
        <v>0</v>
      </c>
      <c r="Z68" s="4">
        <f t="shared" si="23"/>
        <v>0</v>
      </c>
      <c r="AA68" s="4">
        <f t="shared" si="23"/>
        <v>0</v>
      </c>
      <c r="AB68" s="4">
        <f t="shared" si="23"/>
        <v>0</v>
      </c>
      <c r="AC68" s="4">
        <f t="shared" si="23"/>
        <v>0</v>
      </c>
      <c r="AD68" s="4">
        <f t="shared" si="23"/>
        <v>109305.4</v>
      </c>
    </row>
    <row r="69" spans="1:30" ht="23.25">
      <c r="A69" s="7" t="s">
        <v>114</v>
      </c>
      <c r="B69" s="14" t="s">
        <v>164</v>
      </c>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6"/>
    </row>
    <row r="70" spans="1:30" ht="37.5">
      <c r="A70" s="7" t="s">
        <v>24</v>
      </c>
      <c r="B70" s="49" t="s">
        <v>42</v>
      </c>
      <c r="C70" s="2" t="s">
        <v>41</v>
      </c>
      <c r="D70" s="2" t="s">
        <v>40</v>
      </c>
      <c r="E70" s="1">
        <f>F70+G70+H70+I70</f>
        <v>7420</v>
      </c>
      <c r="F70" s="1">
        <f>6486+934</f>
        <v>7420</v>
      </c>
      <c r="G70" s="1">
        <v>0</v>
      </c>
      <c r="H70" s="1">
        <v>0</v>
      </c>
      <c r="I70" s="1">
        <v>0</v>
      </c>
      <c r="J70" s="1">
        <f>K70+L70+M70+N70</f>
        <v>6270</v>
      </c>
      <c r="K70" s="1">
        <f>7350-300-780</f>
        <v>6270</v>
      </c>
      <c r="L70" s="1">
        <v>0</v>
      </c>
      <c r="M70" s="1">
        <v>0</v>
      </c>
      <c r="N70" s="1">
        <v>0</v>
      </c>
      <c r="O70" s="1">
        <f>P70+Q70+R70+S70</f>
        <v>5850</v>
      </c>
      <c r="P70" s="1">
        <f>7050-390-810</f>
        <v>5850</v>
      </c>
      <c r="Q70" s="1">
        <v>0</v>
      </c>
      <c r="R70" s="1">
        <v>0</v>
      </c>
      <c r="S70" s="1">
        <v>0</v>
      </c>
      <c r="T70" s="1">
        <f>U70+V70+W70+X70</f>
        <v>5850</v>
      </c>
      <c r="U70" s="1">
        <f>6660-810</f>
        <v>5850</v>
      </c>
      <c r="V70" s="1">
        <v>0</v>
      </c>
      <c r="W70" s="1">
        <v>0</v>
      </c>
      <c r="X70" s="1">
        <v>0</v>
      </c>
      <c r="Y70" s="1">
        <f>Z70+AA70+AB70+AC70</f>
        <v>0</v>
      </c>
      <c r="Z70" s="1">
        <v>0</v>
      </c>
      <c r="AA70" s="1">
        <v>0</v>
      </c>
      <c r="AB70" s="1">
        <v>0</v>
      </c>
      <c r="AC70" s="1">
        <v>0</v>
      </c>
      <c r="AD70" s="1">
        <f>E70+J70+O70+T70+Y70</f>
        <v>25390</v>
      </c>
    </row>
    <row r="71" spans="1:30" ht="46.5">
      <c r="A71" s="7" t="s">
        <v>115</v>
      </c>
      <c r="B71" s="5" t="s">
        <v>82</v>
      </c>
      <c r="C71" s="2" t="s">
        <v>41</v>
      </c>
      <c r="D71" s="2" t="s">
        <v>40</v>
      </c>
      <c r="E71" s="1">
        <f>SUM(F71:I71)</f>
        <v>681</v>
      </c>
      <c r="F71" s="1">
        <v>681</v>
      </c>
      <c r="G71" s="1">
        <v>0</v>
      </c>
      <c r="H71" s="1">
        <v>0</v>
      </c>
      <c r="I71" s="1">
        <v>0</v>
      </c>
      <c r="J71" s="1">
        <f>K71+L71+M71+N71</f>
        <v>558</v>
      </c>
      <c r="K71" s="1">
        <f>684-126</f>
        <v>558</v>
      </c>
      <c r="L71" s="1">
        <v>0</v>
      </c>
      <c r="M71" s="1">
        <v>0</v>
      </c>
      <c r="N71" s="1">
        <v>0</v>
      </c>
      <c r="O71" s="1">
        <f>P71+Q71+R71+S71</f>
        <v>498</v>
      </c>
      <c r="P71" s="1">
        <f>612-54-60</f>
        <v>498</v>
      </c>
      <c r="Q71" s="1">
        <v>0</v>
      </c>
      <c r="R71" s="1">
        <v>0</v>
      </c>
      <c r="S71" s="1">
        <v>0</v>
      </c>
      <c r="T71" s="1">
        <f>U71+V71+W71+X71</f>
        <v>468</v>
      </c>
      <c r="U71" s="1">
        <f>540-72</f>
        <v>468</v>
      </c>
      <c r="V71" s="1">
        <v>0</v>
      </c>
      <c r="W71" s="1">
        <v>0</v>
      </c>
      <c r="X71" s="1">
        <v>0</v>
      </c>
      <c r="Y71" s="1">
        <f>Z71+AA71+AB71+AC71</f>
        <v>0</v>
      </c>
      <c r="Z71" s="1">
        <v>0</v>
      </c>
      <c r="AA71" s="1">
        <v>0</v>
      </c>
      <c r="AB71" s="1">
        <v>0</v>
      </c>
      <c r="AC71" s="1">
        <v>0</v>
      </c>
      <c r="AD71" s="1">
        <f>E71+J71+O71+T71+Y71</f>
        <v>2205</v>
      </c>
    </row>
    <row r="72" spans="1:30" ht="116.25">
      <c r="A72" s="7" t="s">
        <v>116</v>
      </c>
      <c r="B72" s="5" t="s">
        <v>125</v>
      </c>
      <c r="C72" s="2" t="s">
        <v>122</v>
      </c>
      <c r="D72" s="2">
        <v>2020</v>
      </c>
      <c r="E72" s="1">
        <f>F72+G72+H72+I72</f>
        <v>774</v>
      </c>
      <c r="F72" s="1">
        <v>774</v>
      </c>
      <c r="G72" s="1">
        <v>0</v>
      </c>
      <c r="H72" s="1">
        <v>0</v>
      </c>
      <c r="I72" s="1">
        <v>0</v>
      </c>
      <c r="J72" s="1">
        <f>K72+L72+M72+N72</f>
        <v>350</v>
      </c>
      <c r="K72" s="1">
        <v>350</v>
      </c>
      <c r="L72" s="1">
        <v>0</v>
      </c>
      <c r="M72" s="1">
        <v>0</v>
      </c>
      <c r="N72" s="1">
        <v>0</v>
      </c>
      <c r="O72" s="1">
        <f>P72+Q72+R72+S72</f>
        <v>360</v>
      </c>
      <c r="P72" s="1">
        <v>360</v>
      </c>
      <c r="Q72" s="1">
        <v>0</v>
      </c>
      <c r="R72" s="1">
        <v>0</v>
      </c>
      <c r="S72" s="1">
        <v>0</v>
      </c>
      <c r="T72" s="1">
        <f>U72+V72+W72+X72</f>
        <v>360</v>
      </c>
      <c r="U72" s="1">
        <v>360</v>
      </c>
      <c r="V72" s="1">
        <v>0</v>
      </c>
      <c r="W72" s="1">
        <v>0</v>
      </c>
      <c r="X72" s="1">
        <v>0</v>
      </c>
      <c r="Y72" s="1">
        <f>Z72+AA72+AB72+AC72</f>
        <v>0</v>
      </c>
      <c r="Z72" s="1">
        <v>0</v>
      </c>
      <c r="AA72" s="1">
        <v>0</v>
      </c>
      <c r="AB72" s="1">
        <v>0</v>
      </c>
      <c r="AC72" s="1">
        <v>0</v>
      </c>
      <c r="AD72" s="1">
        <f>E72+J72+O72+T72+Y72</f>
        <v>1844</v>
      </c>
    </row>
    <row r="73" spans="1:30" ht="23.25">
      <c r="A73" s="56" t="s">
        <v>153</v>
      </c>
      <c r="B73" s="57"/>
      <c r="C73" s="58"/>
      <c r="D73" s="7"/>
      <c r="E73" s="4">
        <f>E70+E71+E72</f>
        <v>8875</v>
      </c>
      <c r="F73" s="4">
        <f>F70+F71+F72</f>
        <v>8875</v>
      </c>
      <c r="G73" s="4">
        <f>SUM(G70:G70)</f>
        <v>0</v>
      </c>
      <c r="H73" s="4">
        <f>SUM(H70:H70)</f>
        <v>0</v>
      </c>
      <c r="I73" s="4">
        <f>SUM(I70:I70)</f>
        <v>0</v>
      </c>
      <c r="J73" s="4">
        <f>J70+J71+J72</f>
        <v>7178</v>
      </c>
      <c r="K73" s="4">
        <f>K70+K71+K72</f>
        <v>7178</v>
      </c>
      <c r="L73" s="4">
        <f>SUM(L70:L70)</f>
        <v>0</v>
      </c>
      <c r="M73" s="4">
        <f>SUM(M70:M70)</f>
        <v>0</v>
      </c>
      <c r="N73" s="4">
        <f>SUM(N70:N70)</f>
        <v>0</v>
      </c>
      <c r="O73" s="4">
        <f>O70+O71+O72</f>
        <v>6708</v>
      </c>
      <c r="P73" s="4">
        <f>P70+P71+P72</f>
        <v>6708</v>
      </c>
      <c r="Q73" s="4">
        <f>SUM(Q70:Q70)</f>
        <v>0</v>
      </c>
      <c r="R73" s="4">
        <f>SUM(R70:R70)</f>
        <v>0</v>
      </c>
      <c r="S73" s="4">
        <f>SUM(S70:S70)</f>
        <v>0</v>
      </c>
      <c r="T73" s="4">
        <f>T70+T71+T72</f>
        <v>6678</v>
      </c>
      <c r="U73" s="4">
        <f>U70+U71+U72</f>
        <v>6678</v>
      </c>
      <c r="V73" s="4">
        <f>SUM(V70:V70)</f>
        <v>0</v>
      </c>
      <c r="W73" s="4">
        <f>SUM(W70:W70)</f>
        <v>0</v>
      </c>
      <c r="X73" s="4">
        <f>SUM(X70:X70)</f>
        <v>0</v>
      </c>
      <c r="Y73" s="4">
        <f>Y70+Y71+Y72</f>
        <v>0</v>
      </c>
      <c r="Z73" s="4">
        <f>Z70+Z71+Z72</f>
        <v>0</v>
      </c>
      <c r="AA73" s="4">
        <f>SUM(AA70:AA70)</f>
        <v>0</v>
      </c>
      <c r="AB73" s="4">
        <f>SUM(AB70:AB70)</f>
        <v>0</v>
      </c>
      <c r="AC73" s="4">
        <f>SUM(AC70:AC70)</f>
        <v>0</v>
      </c>
      <c r="AD73" s="4">
        <f>SUM(AD70:AD72)</f>
        <v>29439</v>
      </c>
    </row>
    <row r="74" spans="1:30" ht="23.25">
      <c r="A74" s="59" t="s">
        <v>65</v>
      </c>
      <c r="B74" s="59"/>
      <c r="C74" s="61"/>
      <c r="D74" s="9"/>
      <c r="E74" s="80">
        <f>E70+E71+E72</f>
        <v>8875</v>
      </c>
      <c r="F74" s="80">
        <f>F70+F71+F72</f>
        <v>8875</v>
      </c>
      <c r="G74" s="80">
        <v>0</v>
      </c>
      <c r="H74" s="80">
        <v>0</v>
      </c>
      <c r="I74" s="80">
        <v>0</v>
      </c>
      <c r="J74" s="80">
        <f>J70+J71+J72</f>
        <v>7178</v>
      </c>
      <c r="K74" s="80">
        <f>K70+K71+K72</f>
        <v>7178</v>
      </c>
      <c r="L74" s="80">
        <v>0</v>
      </c>
      <c r="M74" s="80">
        <v>0</v>
      </c>
      <c r="N74" s="80">
        <v>0</v>
      </c>
      <c r="O74" s="80">
        <f>O73</f>
        <v>6708</v>
      </c>
      <c r="P74" s="80">
        <f>P70+P71+P72</f>
        <v>6708</v>
      </c>
      <c r="Q74" s="80">
        <v>0</v>
      </c>
      <c r="R74" s="80">
        <v>0</v>
      </c>
      <c r="S74" s="80">
        <v>0</v>
      </c>
      <c r="T74" s="80">
        <f>T70+T71+T72</f>
        <v>6678</v>
      </c>
      <c r="U74" s="80">
        <f>U70+U71+U72</f>
        <v>6678</v>
      </c>
      <c r="V74" s="80">
        <v>0</v>
      </c>
      <c r="W74" s="80">
        <v>0</v>
      </c>
      <c r="X74" s="80">
        <v>0</v>
      </c>
      <c r="Y74" s="80">
        <f>Y70+Y71+Y72</f>
        <v>0</v>
      </c>
      <c r="Z74" s="80">
        <f>Z70+Z71+Z72</f>
        <v>0</v>
      </c>
      <c r="AA74" s="80">
        <v>0</v>
      </c>
      <c r="AB74" s="80">
        <v>0</v>
      </c>
      <c r="AC74" s="80">
        <v>0</v>
      </c>
      <c r="AD74" s="81">
        <f>AD73</f>
        <v>29439</v>
      </c>
    </row>
    <row r="75" spans="1:30" ht="23.25">
      <c r="A75" s="7" t="s">
        <v>43</v>
      </c>
      <c r="B75" s="14" t="s">
        <v>165</v>
      </c>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6"/>
    </row>
    <row r="76" spans="1:30" ht="116.25">
      <c r="A76" s="90" t="s">
        <v>25</v>
      </c>
      <c r="B76" s="49" t="s">
        <v>135</v>
      </c>
      <c r="C76" s="2" t="s">
        <v>29</v>
      </c>
      <c r="D76" s="2" t="s">
        <v>40</v>
      </c>
      <c r="E76" s="1">
        <f xml:space="preserve"> SUM(F76:I76)</f>
        <v>136.19999999999999</v>
      </c>
      <c r="F76" s="1">
        <f>74.6+61.6</f>
        <v>136.19999999999999</v>
      </c>
      <c r="G76" s="1">
        <v>0</v>
      </c>
      <c r="H76" s="1">
        <v>0</v>
      </c>
      <c r="I76" s="1">
        <v>0</v>
      </c>
      <c r="J76" s="1">
        <f xml:space="preserve"> SUM(K76:N76)</f>
        <v>137.5</v>
      </c>
      <c r="K76" s="1">
        <f>142-4.5</f>
        <v>137.5</v>
      </c>
      <c r="L76" s="1">
        <v>0</v>
      </c>
      <c r="M76" s="1">
        <v>0</v>
      </c>
      <c r="N76" s="1">
        <v>0</v>
      </c>
      <c r="O76" s="1">
        <f xml:space="preserve"> SUM(P76:S76)</f>
        <v>139</v>
      </c>
      <c r="P76" s="1">
        <f>142-3</f>
        <v>139</v>
      </c>
      <c r="Q76" s="1">
        <v>0</v>
      </c>
      <c r="R76" s="1">
        <v>0</v>
      </c>
      <c r="S76" s="1">
        <v>0</v>
      </c>
      <c r="T76" s="1">
        <f xml:space="preserve"> SUM(U76:X76)</f>
        <v>142</v>
      </c>
      <c r="U76" s="1">
        <v>142</v>
      </c>
      <c r="V76" s="1">
        <v>0</v>
      </c>
      <c r="W76" s="1">
        <v>0</v>
      </c>
      <c r="X76" s="1">
        <v>0</v>
      </c>
      <c r="Y76" s="1">
        <f xml:space="preserve"> SUM(Z76:AC76)</f>
        <v>142</v>
      </c>
      <c r="Z76" s="1">
        <v>142</v>
      </c>
      <c r="AA76" s="1">
        <v>0</v>
      </c>
      <c r="AB76" s="1">
        <v>0</v>
      </c>
      <c r="AC76" s="1">
        <v>0</v>
      </c>
      <c r="AD76" s="1">
        <f>E76+J76+O76+T76+Y76</f>
        <v>696.7</v>
      </c>
    </row>
    <row r="77" spans="1:30" ht="23.25">
      <c r="A77" s="56" t="s">
        <v>152</v>
      </c>
      <c r="B77" s="57"/>
      <c r="C77" s="58"/>
      <c r="D77" s="7"/>
      <c r="E77" s="4">
        <f>E76</f>
        <v>136.19999999999999</v>
      </c>
      <c r="F77" s="4">
        <f>F76</f>
        <v>136.19999999999999</v>
      </c>
      <c r="G77" s="4">
        <v>0</v>
      </c>
      <c r="H77" s="4">
        <v>0</v>
      </c>
      <c r="I77" s="4">
        <v>0</v>
      </c>
      <c r="J77" s="4">
        <f t="shared" ref="J77:AC77" si="24">J76</f>
        <v>137.5</v>
      </c>
      <c r="K77" s="4">
        <f t="shared" si="24"/>
        <v>137.5</v>
      </c>
      <c r="L77" s="4">
        <f t="shared" si="24"/>
        <v>0</v>
      </c>
      <c r="M77" s="4">
        <f t="shared" si="24"/>
        <v>0</v>
      </c>
      <c r="N77" s="4">
        <f t="shared" si="24"/>
        <v>0</v>
      </c>
      <c r="O77" s="4">
        <f t="shared" si="24"/>
        <v>139</v>
      </c>
      <c r="P77" s="4">
        <f t="shared" si="24"/>
        <v>139</v>
      </c>
      <c r="Q77" s="4">
        <f t="shared" si="24"/>
        <v>0</v>
      </c>
      <c r="R77" s="4">
        <f t="shared" si="24"/>
        <v>0</v>
      </c>
      <c r="S77" s="4">
        <f t="shared" si="24"/>
        <v>0</v>
      </c>
      <c r="T77" s="4">
        <f t="shared" si="24"/>
        <v>142</v>
      </c>
      <c r="U77" s="4">
        <f t="shared" si="24"/>
        <v>142</v>
      </c>
      <c r="V77" s="4">
        <f t="shared" si="24"/>
        <v>0</v>
      </c>
      <c r="W77" s="4">
        <f t="shared" si="24"/>
        <v>0</v>
      </c>
      <c r="X77" s="4">
        <f t="shared" si="24"/>
        <v>0</v>
      </c>
      <c r="Y77" s="4">
        <f t="shared" si="24"/>
        <v>142</v>
      </c>
      <c r="Z77" s="4">
        <f t="shared" si="24"/>
        <v>142</v>
      </c>
      <c r="AA77" s="4">
        <f t="shared" si="24"/>
        <v>0</v>
      </c>
      <c r="AB77" s="4">
        <f t="shared" si="24"/>
        <v>0</v>
      </c>
      <c r="AC77" s="4">
        <f t="shared" si="24"/>
        <v>0</v>
      </c>
      <c r="AD77" s="4">
        <f>E77+J77+O77+T77+Y77</f>
        <v>696.7</v>
      </c>
    </row>
    <row r="78" spans="1:30" ht="23.25">
      <c r="A78" s="8">
        <v>10</v>
      </c>
      <c r="B78" s="91" t="s">
        <v>117</v>
      </c>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3"/>
    </row>
    <row r="79" spans="1:30" ht="93">
      <c r="A79" s="94" t="s">
        <v>26</v>
      </c>
      <c r="B79" s="49" t="s">
        <v>75</v>
      </c>
      <c r="C79" s="95" t="s">
        <v>47</v>
      </c>
      <c r="D79" s="2" t="s">
        <v>40</v>
      </c>
      <c r="E79" s="96">
        <v>500</v>
      </c>
      <c r="F79" s="96">
        <v>500</v>
      </c>
      <c r="G79" s="96">
        <v>0</v>
      </c>
      <c r="H79" s="96">
        <v>0</v>
      </c>
      <c r="I79" s="96">
        <v>0</v>
      </c>
      <c r="J79" s="96">
        <f>K79+L79+M79+N79</f>
        <v>12</v>
      </c>
      <c r="K79" s="96">
        <f>24-12</f>
        <v>12</v>
      </c>
      <c r="L79" s="96">
        <v>0</v>
      </c>
      <c r="M79" s="96">
        <v>0</v>
      </c>
      <c r="N79" s="96">
        <v>0</v>
      </c>
      <c r="O79" s="96">
        <v>0</v>
      </c>
      <c r="P79" s="96">
        <v>0</v>
      </c>
      <c r="Q79" s="96">
        <v>0</v>
      </c>
      <c r="R79" s="96">
        <v>0</v>
      </c>
      <c r="S79" s="96">
        <v>0</v>
      </c>
      <c r="T79" s="96">
        <f t="shared" ref="T79:T81" si="25">U79+V79+W79+X79</f>
        <v>0</v>
      </c>
      <c r="U79" s="96">
        <v>0</v>
      </c>
      <c r="V79" s="96">
        <v>0</v>
      </c>
      <c r="W79" s="96">
        <v>0</v>
      </c>
      <c r="X79" s="96">
        <v>0</v>
      </c>
      <c r="Y79" s="96">
        <f>Z79+AA79+AB79+AC79</f>
        <v>0</v>
      </c>
      <c r="Z79" s="96">
        <v>0</v>
      </c>
      <c r="AA79" s="96">
        <v>0</v>
      </c>
      <c r="AB79" s="96">
        <v>0</v>
      </c>
      <c r="AC79" s="96">
        <v>0</v>
      </c>
      <c r="AD79" s="96">
        <f>E79+J79+O79+T79+Y79</f>
        <v>512</v>
      </c>
    </row>
    <row r="80" spans="1:30" ht="75">
      <c r="A80" s="94" t="s">
        <v>44</v>
      </c>
      <c r="B80" s="5" t="s">
        <v>70</v>
      </c>
      <c r="C80" s="97" t="s">
        <v>47</v>
      </c>
      <c r="D80" s="2" t="s">
        <v>40</v>
      </c>
      <c r="E80" s="96">
        <v>2880</v>
      </c>
      <c r="F80" s="96">
        <v>2880</v>
      </c>
      <c r="G80" s="96">
        <v>0</v>
      </c>
      <c r="H80" s="96">
        <v>0</v>
      </c>
      <c r="I80" s="96">
        <v>0</v>
      </c>
      <c r="J80" s="96">
        <f>K80+L80+M80+N80</f>
        <v>2730</v>
      </c>
      <c r="K80" s="96">
        <f>2880-150</f>
        <v>2730</v>
      </c>
      <c r="L80" s="96">
        <v>0</v>
      </c>
      <c r="M80" s="96">
        <v>0</v>
      </c>
      <c r="N80" s="96">
        <v>0</v>
      </c>
      <c r="O80" s="96">
        <v>0</v>
      </c>
      <c r="P80" s="96">
        <v>0</v>
      </c>
      <c r="Q80" s="96">
        <v>0</v>
      </c>
      <c r="R80" s="96">
        <v>0</v>
      </c>
      <c r="S80" s="96">
        <v>0</v>
      </c>
      <c r="T80" s="96">
        <f t="shared" si="25"/>
        <v>0</v>
      </c>
      <c r="U80" s="96">
        <v>0</v>
      </c>
      <c r="V80" s="96">
        <v>0</v>
      </c>
      <c r="W80" s="96">
        <v>0</v>
      </c>
      <c r="X80" s="96">
        <v>0</v>
      </c>
      <c r="Y80" s="96">
        <f>Z80+AA80+AB80+AC80</f>
        <v>0</v>
      </c>
      <c r="Z80" s="96">
        <v>0</v>
      </c>
      <c r="AA80" s="96">
        <v>0</v>
      </c>
      <c r="AB80" s="96">
        <v>0</v>
      </c>
      <c r="AC80" s="96">
        <v>0</v>
      </c>
      <c r="AD80" s="96">
        <f>E80+J80+O80+T80+Y80</f>
        <v>5610</v>
      </c>
    </row>
    <row r="81" spans="1:31" ht="23.25">
      <c r="A81" s="56" t="s">
        <v>151</v>
      </c>
      <c r="B81" s="57"/>
      <c r="C81" s="58"/>
      <c r="D81" s="94"/>
      <c r="E81" s="98">
        <f>E79+E80</f>
        <v>3380</v>
      </c>
      <c r="F81" s="98">
        <f>SUM(F79:F80)</f>
        <v>3380</v>
      </c>
      <c r="G81" s="98">
        <f>G79</f>
        <v>0</v>
      </c>
      <c r="H81" s="98">
        <f>I79</f>
        <v>0</v>
      </c>
      <c r="I81" s="98">
        <f t="shared" ref="I81:V81" si="26">I79</f>
        <v>0</v>
      </c>
      <c r="J81" s="98">
        <f>K81+L81+M81+N81</f>
        <v>2742</v>
      </c>
      <c r="K81" s="98">
        <f>K79+K80</f>
        <v>2742</v>
      </c>
      <c r="L81" s="98">
        <f t="shared" si="26"/>
        <v>0</v>
      </c>
      <c r="M81" s="98">
        <f t="shared" si="26"/>
        <v>0</v>
      </c>
      <c r="N81" s="98">
        <f t="shared" si="26"/>
        <v>0</v>
      </c>
      <c r="O81" s="98">
        <f t="shared" ref="O81" si="27">P81+Q81+R81+S81</f>
        <v>0</v>
      </c>
      <c r="P81" s="98">
        <f>P79+P80</f>
        <v>0</v>
      </c>
      <c r="Q81" s="98">
        <f t="shared" si="26"/>
        <v>0</v>
      </c>
      <c r="R81" s="98">
        <f t="shared" si="26"/>
        <v>0</v>
      </c>
      <c r="S81" s="98">
        <f t="shared" si="26"/>
        <v>0</v>
      </c>
      <c r="T81" s="98">
        <f t="shared" si="25"/>
        <v>0</v>
      </c>
      <c r="U81" s="98">
        <f>T79+T80</f>
        <v>0</v>
      </c>
      <c r="V81" s="98">
        <f t="shared" si="26"/>
        <v>0</v>
      </c>
      <c r="W81" s="98">
        <f>V79</f>
        <v>0</v>
      </c>
      <c r="X81" s="98">
        <f t="shared" ref="X81:AC81" si="28">X79</f>
        <v>0</v>
      </c>
      <c r="Y81" s="98">
        <f>Z81+AA81+AB81+AC81</f>
        <v>0</v>
      </c>
      <c r="Z81" s="98">
        <f>Z79+Z80</f>
        <v>0</v>
      </c>
      <c r="AA81" s="98">
        <f t="shared" si="28"/>
        <v>0</v>
      </c>
      <c r="AB81" s="98">
        <f t="shared" si="28"/>
        <v>0</v>
      </c>
      <c r="AC81" s="98">
        <f t="shared" si="28"/>
        <v>0</v>
      </c>
      <c r="AD81" s="98">
        <f>E81+J81+O81+T81+Y81</f>
        <v>6122</v>
      </c>
    </row>
    <row r="82" spans="1:31" ht="23.25">
      <c r="A82" s="60">
        <v>11</v>
      </c>
      <c r="B82" s="61" t="s">
        <v>142</v>
      </c>
      <c r="C82" s="99"/>
      <c r="D82" s="94"/>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row>
    <row r="83" spans="1:31" ht="46.5">
      <c r="A83" s="100" t="s">
        <v>27</v>
      </c>
      <c r="B83" s="101" t="s">
        <v>143</v>
      </c>
      <c r="C83" s="99"/>
      <c r="D83" s="94">
        <v>2022</v>
      </c>
      <c r="E83" s="98">
        <v>0</v>
      </c>
      <c r="F83" s="98">
        <v>0</v>
      </c>
      <c r="G83" s="98">
        <v>0</v>
      </c>
      <c r="H83" s="98">
        <v>0</v>
      </c>
      <c r="I83" s="98">
        <v>0</v>
      </c>
      <c r="J83" s="98">
        <v>0</v>
      </c>
      <c r="K83" s="98">
        <v>0</v>
      </c>
      <c r="L83" s="98">
        <v>0</v>
      </c>
      <c r="M83" s="98">
        <v>0</v>
      </c>
      <c r="N83" s="98">
        <v>0</v>
      </c>
      <c r="O83" s="98">
        <f>P83+Q83+R83+S83</f>
        <v>4256</v>
      </c>
      <c r="P83" s="98">
        <v>4256</v>
      </c>
      <c r="Q83" s="98">
        <v>0</v>
      </c>
      <c r="R83" s="98">
        <v>0</v>
      </c>
      <c r="S83" s="98">
        <v>0</v>
      </c>
      <c r="T83" s="98">
        <v>0</v>
      </c>
      <c r="U83" s="98">
        <v>0</v>
      </c>
      <c r="V83" s="98">
        <v>0</v>
      </c>
      <c r="W83" s="98">
        <v>0</v>
      </c>
      <c r="X83" s="98">
        <v>0</v>
      </c>
      <c r="Y83" s="98">
        <v>0</v>
      </c>
      <c r="Z83" s="98">
        <v>0</v>
      </c>
      <c r="AA83" s="98">
        <v>0</v>
      </c>
      <c r="AB83" s="98">
        <v>0</v>
      </c>
      <c r="AC83" s="98">
        <v>0</v>
      </c>
      <c r="AD83" s="98">
        <f>E83+J83+O83+T83+Y83</f>
        <v>4256</v>
      </c>
    </row>
    <row r="84" spans="1:31" ht="23.25">
      <c r="A84" s="56" t="s">
        <v>150</v>
      </c>
      <c r="B84" s="57"/>
      <c r="C84" s="58"/>
      <c r="D84" s="94"/>
      <c r="E84" s="98">
        <v>0</v>
      </c>
      <c r="F84" s="98">
        <v>0</v>
      </c>
      <c r="G84" s="98">
        <v>0</v>
      </c>
      <c r="H84" s="98">
        <v>0</v>
      </c>
      <c r="I84" s="98">
        <v>0</v>
      </c>
      <c r="J84" s="98">
        <v>0</v>
      </c>
      <c r="K84" s="98">
        <v>0</v>
      </c>
      <c r="L84" s="98">
        <v>0</v>
      </c>
      <c r="M84" s="98">
        <v>0</v>
      </c>
      <c r="N84" s="98">
        <v>0</v>
      </c>
      <c r="O84" s="98">
        <f>O83</f>
        <v>4256</v>
      </c>
      <c r="P84" s="98">
        <f>P83</f>
        <v>4256</v>
      </c>
      <c r="Q84" s="98">
        <v>0</v>
      </c>
      <c r="R84" s="98">
        <v>0</v>
      </c>
      <c r="S84" s="98">
        <v>0</v>
      </c>
      <c r="T84" s="98">
        <v>0</v>
      </c>
      <c r="U84" s="98">
        <v>0</v>
      </c>
      <c r="V84" s="98">
        <v>0</v>
      </c>
      <c r="W84" s="98">
        <v>0</v>
      </c>
      <c r="X84" s="98">
        <v>0</v>
      </c>
      <c r="Y84" s="98">
        <v>0</v>
      </c>
      <c r="Z84" s="98">
        <v>0</v>
      </c>
      <c r="AA84" s="98">
        <v>0</v>
      </c>
      <c r="AB84" s="98">
        <v>0</v>
      </c>
      <c r="AC84" s="98">
        <v>0</v>
      </c>
      <c r="AD84" s="98">
        <f>AD83</f>
        <v>4256</v>
      </c>
      <c r="AE84" s="19">
        <v>0</v>
      </c>
    </row>
    <row r="85" spans="1:31" ht="23.25">
      <c r="A85" s="102" t="s">
        <v>139</v>
      </c>
      <c r="B85" s="103"/>
      <c r="C85" s="104"/>
      <c r="D85" s="94"/>
      <c r="E85" s="98">
        <f>F85+G85+H85+I85</f>
        <v>157092.37000000002</v>
      </c>
      <c r="F85" s="98">
        <f>F27+F33+F50+F55+F62+F65+F68+F73+F77+F81</f>
        <v>108956.7</v>
      </c>
      <c r="G85" s="98">
        <f>G27+G33+G50+G55+G62+G65+G68+G73+G77+G81</f>
        <v>45966</v>
      </c>
      <c r="H85" s="98">
        <f>H27+H33+H50+H55+H62+H65+H68+H73+H77+H81</f>
        <v>0</v>
      </c>
      <c r="I85" s="98">
        <f>I27+I33+I50+I55+I62+I65+I68+I73+I77+I81</f>
        <v>2169.67</v>
      </c>
      <c r="J85" s="98">
        <f>K85+L85+M85+N85</f>
        <v>121069.1</v>
      </c>
      <c r="K85" s="98">
        <f>K27+K33+K50+K55+K62+K65+K68+K73+K77+K81</f>
        <v>94437.1</v>
      </c>
      <c r="L85" s="98">
        <f>L27+L33+L50+L55+L62+L65+L68+L73+L77+L81</f>
        <v>26632</v>
      </c>
      <c r="M85" s="98">
        <f>M27+M33+M50+M55+M62+M65+M68+M73+M77+M81</f>
        <v>0</v>
      </c>
      <c r="N85" s="98">
        <f>N27+N33+N50+N55+N62+N65+N68+N73+N77+N81</f>
        <v>0</v>
      </c>
      <c r="O85" s="98">
        <f>P85+Q85+R85+S85</f>
        <v>118235.92</v>
      </c>
      <c r="P85" s="98">
        <f>P27+P33+P50+P55+P62+P65+P68+P73+P77+P81+P83</f>
        <v>90760.4</v>
      </c>
      <c r="Q85" s="98">
        <f>Q27+Q33+Q50+Q55+Q62+Q65+Q68+Q73+Q77+Q81</f>
        <v>27475.52</v>
      </c>
      <c r="R85" s="98">
        <f>R27+R33+R50+R55+R62+R65+R68+R73+R77+R81</f>
        <v>0</v>
      </c>
      <c r="S85" s="98">
        <f>S27+S33+S50+S55+S62+S65+S68+S73+S77+S81</f>
        <v>0</v>
      </c>
      <c r="T85" s="98">
        <f>U85+V85+W85+X85</f>
        <v>111117</v>
      </c>
      <c r="U85" s="98">
        <f>U27+U33+U50+U55+U62+U65+U68+U73+U77+U84</f>
        <v>80880</v>
      </c>
      <c r="V85" s="98">
        <f>V27+V33+V50+V55+V62+V65+V68+V73+V77+V81</f>
        <v>30237</v>
      </c>
      <c r="W85" s="98">
        <f>W27+W33+W50+W55+W62+W65+W68+W73+W77+W81</f>
        <v>0</v>
      </c>
      <c r="X85" s="98">
        <f>X27+X33+X50+X55+X62+X65+X68+X73+X77+X81</f>
        <v>0</v>
      </c>
      <c r="Y85" s="98">
        <f>Z85+AA85+AB85+AC85</f>
        <v>29690</v>
      </c>
      <c r="Z85" s="98">
        <f>Z27+Z33+Z50+Z55+Z62+Z65+Z68+Z73+Z77+Z81</f>
        <v>2310</v>
      </c>
      <c r="AA85" s="98">
        <f>AA27+AA33+AA50+AA55+AA62+AA65+AA68+AA73+AA77+AA81</f>
        <v>27380</v>
      </c>
      <c r="AB85" s="98">
        <f>AB27+AB33+AB50+AB55+AB62+AB65+AB68+AB73+AB77+AB81</f>
        <v>0</v>
      </c>
      <c r="AC85" s="98">
        <f>AC27+AC33+AC50+AC55+AC62+AC65+AC68+AC73+AC77+AC81</f>
        <v>0</v>
      </c>
      <c r="AD85" s="98">
        <f>E85+J85+O85+T85+Y85</f>
        <v>537204.39</v>
      </c>
    </row>
    <row r="86" spans="1:31">
      <c r="C86" s="18">
        <v>2020</v>
      </c>
      <c r="E86" s="105"/>
    </row>
    <row r="87" spans="1:31" ht="225">
      <c r="A87" s="106" t="s">
        <v>79</v>
      </c>
      <c r="B87" s="107"/>
      <c r="C87" s="105"/>
      <c r="F87" s="105"/>
      <c r="J87" s="105"/>
      <c r="N87" s="18" t="s">
        <v>66</v>
      </c>
      <c r="O87" s="105">
        <f>O24+O25+O51+O62+O77</f>
        <v>29124.720000000001</v>
      </c>
      <c r="T87" s="105"/>
      <c r="Y87" s="105"/>
      <c r="AC87" s="105"/>
    </row>
    <row r="88" spans="1:31">
      <c r="B88" s="107"/>
      <c r="C88" s="105"/>
      <c r="J88" s="105"/>
      <c r="N88" s="18" t="s">
        <v>154</v>
      </c>
      <c r="O88" s="105">
        <f>O28</f>
        <v>27273</v>
      </c>
      <c r="T88" s="105"/>
      <c r="Y88" s="105"/>
      <c r="AC88" s="105"/>
    </row>
    <row r="89" spans="1:31">
      <c r="B89" s="107"/>
      <c r="C89" s="105"/>
      <c r="J89" s="105"/>
      <c r="N89" s="18" t="s">
        <v>155</v>
      </c>
      <c r="O89" s="105">
        <f>O29+O33+O52+O55+O65+O68+O74+O84</f>
        <v>61838.2</v>
      </c>
      <c r="T89" s="105"/>
      <c r="Y89" s="105"/>
      <c r="AC89" s="105"/>
    </row>
    <row r="90" spans="1:31">
      <c r="C90" s="105"/>
      <c r="J90" s="105"/>
      <c r="O90" s="105">
        <f>O87+O88+O89</f>
        <v>118235.92</v>
      </c>
      <c r="T90" s="105"/>
      <c r="Y90" s="105"/>
      <c r="AC90" s="105"/>
    </row>
    <row r="91" spans="1:31">
      <c r="B91" s="107"/>
      <c r="C91" s="105"/>
      <c r="J91" s="105"/>
      <c r="K91" s="105"/>
      <c r="O91" s="105"/>
      <c r="T91" s="105"/>
      <c r="Y91" s="105"/>
      <c r="AC91" s="105"/>
    </row>
    <row r="92" spans="1:31">
      <c r="J92" s="105"/>
      <c r="O92" s="105"/>
      <c r="T92" s="105"/>
      <c r="Y92" s="105"/>
      <c r="AC92" s="105"/>
    </row>
    <row r="93" spans="1:31">
      <c r="C93" s="105"/>
      <c r="J93" s="105"/>
      <c r="O93" s="105"/>
      <c r="T93" s="105"/>
      <c r="Y93" s="105"/>
    </row>
    <row r="95" spans="1:31">
      <c r="B95" s="107"/>
      <c r="C95" s="105"/>
    </row>
    <row r="96" spans="1:31">
      <c r="B96" s="108"/>
      <c r="C96" s="105"/>
      <c r="E96" s="105"/>
      <c r="H96" s="105"/>
      <c r="T96" s="105"/>
    </row>
    <row r="97" spans="2:29">
      <c r="B97" s="108"/>
      <c r="C97" s="105"/>
    </row>
    <row r="98" spans="2:29">
      <c r="C98" s="105"/>
      <c r="AC98" s="105"/>
    </row>
    <row r="99" spans="2:29">
      <c r="C99" s="105"/>
    </row>
    <row r="100" spans="2:29">
      <c r="B100" s="105"/>
    </row>
    <row r="102" spans="2:29">
      <c r="Y102" s="109"/>
    </row>
    <row r="105" spans="2:29">
      <c r="D105" s="109"/>
      <c r="E105" s="109"/>
    </row>
    <row r="106" spans="2:29">
      <c r="D106" s="109"/>
      <c r="E106" s="109"/>
    </row>
    <row r="111" spans="2:29">
      <c r="D111" s="105"/>
    </row>
  </sheetData>
  <mergeCells count="41">
    <mergeCell ref="B12:AD12"/>
    <mergeCell ref="Z3:AD3"/>
    <mergeCell ref="V4:AD4"/>
    <mergeCell ref="A5:AD5"/>
    <mergeCell ref="A7:A9"/>
    <mergeCell ref="B7:B9"/>
    <mergeCell ref="C7:C9"/>
    <mergeCell ref="D7:D9"/>
    <mergeCell ref="E7:AD7"/>
    <mergeCell ref="E8:I8"/>
    <mergeCell ref="J8:N8"/>
    <mergeCell ref="O8:S8"/>
    <mergeCell ref="T8:X8"/>
    <mergeCell ref="Y8:AC8"/>
    <mergeCell ref="AD8:AD9"/>
    <mergeCell ref="A11:AD11"/>
    <mergeCell ref="A57:A58"/>
    <mergeCell ref="B57:B58"/>
    <mergeCell ref="C13:C14"/>
    <mergeCell ref="A27:C27"/>
    <mergeCell ref="B31:AD31"/>
    <mergeCell ref="A33:C33"/>
    <mergeCell ref="B34:AD34"/>
    <mergeCell ref="C38:C39"/>
    <mergeCell ref="C41:C45"/>
    <mergeCell ref="A50:C50"/>
    <mergeCell ref="B53:AD53"/>
    <mergeCell ref="A55:C55"/>
    <mergeCell ref="B56:AD56"/>
    <mergeCell ref="A85:C85"/>
    <mergeCell ref="B63:AD63"/>
    <mergeCell ref="A65:C65"/>
    <mergeCell ref="B66:AD66"/>
    <mergeCell ref="A68:C68"/>
    <mergeCell ref="B69:AD69"/>
    <mergeCell ref="A73:C73"/>
    <mergeCell ref="B75:AD75"/>
    <mergeCell ref="A77:C77"/>
    <mergeCell ref="B78:AD78"/>
    <mergeCell ref="A81:C81"/>
    <mergeCell ref="A84:C84"/>
  </mergeCells>
  <pageMargins left="0.15748031496062992" right="0.15748031496062992" top="0.74803149606299213" bottom="0.74803149606299213" header="0.31496062992125984" footer="0.31496062992125984"/>
  <pageSetup paperSize="9" scale="20" orientation="landscape" r:id="rId1"/>
  <colBreaks count="1" manualBreakCount="1">
    <brk id="3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3 изм</vt:lpstr>
      <vt:lpstr>'3 изм'!Область_печати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zemljkova.ee</dc:creator>
  <cp:lastModifiedBy>davitjan.ej</cp:lastModifiedBy>
  <cp:lastPrinted>2023-11-28T05:52:20Z</cp:lastPrinted>
  <dcterms:created xsi:type="dcterms:W3CDTF">2016-04-04T05:53:30Z</dcterms:created>
  <dcterms:modified xsi:type="dcterms:W3CDTF">2023-12-22T11:00:09Z</dcterms:modified>
</cp:coreProperties>
</file>