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dorhoz\tumplan\эл.почта\ОТЧЕТЫ ЭКОНОМИСТЫ\Программа\Проекты постановлений\Изм. программа (233)\декабрь\"/>
    </mc:Choice>
  </mc:AlternateContent>
  <xr:revisionPtr revIDLastSave="0" documentId="13_ncr:1_{CDFC4C3A-B6BA-4E58-B431-118494291B11}" xr6:coauthVersionLast="45" xr6:coauthVersionMax="45" xr10:uidLastSave="{00000000-0000-0000-0000-000000000000}"/>
  <bookViews>
    <workbookView xWindow="-108" yWindow="-108" windowWidth="23256" windowHeight="12576" tabRatio="597" activeTab="3" xr2:uid="{00000000-000D-0000-FFFF-FFFF00000000}"/>
  </bookViews>
  <sheets>
    <sheet name="1мероприятия" sheetId="8" r:id="rId1"/>
    <sheet name="2индикаторы " sheetId="9" r:id="rId2"/>
    <sheet name="3переч.ПБДД" sheetId="10" r:id="rId3"/>
    <sheet name="4переч.МРАД" sheetId="13" r:id="rId4"/>
  </sheets>
  <definedNames>
    <definedName name="_xlnm._FilterDatabase" localSheetId="0" hidden="1">'1мероприятия'!$A$103:$AO$142</definedName>
    <definedName name="_xlnm._FilterDatabase" localSheetId="1" hidden="1">'2индикаторы '!$A$15:$WVT$153</definedName>
    <definedName name="_xlnm._FilterDatabase" localSheetId="2" hidden="1">'3переч.ПБДД'!$A$9:$AM$95</definedName>
    <definedName name="_xlnm.Print_Titles" localSheetId="0">'1мероприятия'!$6:$9</definedName>
    <definedName name="_xlnm.Print_Titles" localSheetId="1">'2индикаторы '!$11:$15</definedName>
    <definedName name="_xlnm.Print_Titles" localSheetId="2">'3переч.ПБДД'!$6:$9</definedName>
    <definedName name="_xlnm.Print_Titles" localSheetId="3">'4переч.МРАД'!$10:$13</definedName>
    <definedName name="_xlnm.Print_Area" localSheetId="0">'1мероприятия'!$A$1:$AN$141</definedName>
    <definedName name="_xlnm.Print_Area" localSheetId="1">'2индикаторы '!$A$1:$L$154</definedName>
    <definedName name="_xlnm.Print_Area" localSheetId="2">'3переч.ПБДД'!$A$1:$AL$95</definedName>
    <definedName name="_xlnm.Print_Area" localSheetId="3">'4переч.МРАД'!$A$1:$AK$590</definedName>
  </definedNames>
  <calcPr calcId="181029"/>
</workbook>
</file>

<file path=xl/calcChain.xml><?xml version="1.0" encoding="utf-8"?>
<calcChain xmlns="http://schemas.openxmlformats.org/spreadsheetml/2006/main">
  <c r="AK101" i="8" l="1"/>
  <c r="AK92" i="8"/>
  <c r="AJ92" i="8"/>
  <c r="AJ91" i="8"/>
  <c r="AK120" i="8" l="1"/>
  <c r="AI120" i="8" l="1"/>
  <c r="AJ118" i="8"/>
  <c r="AJ115" i="8"/>
  <c r="AK332" i="13" l="1"/>
  <c r="AK583" i="13"/>
  <c r="AJ120" i="8" l="1"/>
  <c r="AJ102" i="8"/>
  <c r="AK112" i="8" l="1"/>
  <c r="AK107" i="8"/>
  <c r="AJ112" i="8"/>
  <c r="AJ107" i="8"/>
  <c r="AJ136" i="8" l="1"/>
  <c r="AM137" i="8" l="1"/>
  <c r="AL137" i="8"/>
  <c r="AK137" i="8"/>
  <c r="AJ137" i="8"/>
  <c r="AC108" i="13" l="1"/>
  <c r="AH108" i="13"/>
  <c r="Y108" i="13"/>
  <c r="T108" i="13"/>
  <c r="O108" i="13"/>
  <c r="J108" i="13"/>
  <c r="F108" i="13"/>
  <c r="AI134" i="8"/>
  <c r="AN134" i="8" s="1"/>
  <c r="AZ134" i="8"/>
  <c r="BA24" i="8" l="1"/>
  <c r="BB24" i="8"/>
  <c r="BC24" i="8"/>
  <c r="AZ25" i="8"/>
  <c r="BA25" i="8"/>
  <c r="BB25" i="8"/>
  <c r="BC25" i="8"/>
  <c r="AZ26" i="8"/>
  <c r="BA26" i="8"/>
  <c r="BB26" i="8"/>
  <c r="BC26" i="8"/>
  <c r="AZ27" i="8"/>
  <c r="BA27" i="8"/>
  <c r="BB27" i="8"/>
  <c r="BC27" i="8"/>
  <c r="BA28" i="8"/>
  <c r="BB28" i="8"/>
  <c r="BC28" i="8"/>
  <c r="AZ29" i="8"/>
  <c r="BA29" i="8"/>
  <c r="BB29" i="8"/>
  <c r="BC29" i="8"/>
  <c r="AZ30" i="8"/>
  <c r="BA30" i="8"/>
  <c r="BB30" i="8"/>
  <c r="BC30" i="8"/>
  <c r="AY31" i="8"/>
  <c r="AZ31" i="8"/>
  <c r="BA31" i="8"/>
  <c r="BB31" i="8"/>
  <c r="BC31" i="8"/>
  <c r="AZ32" i="8"/>
  <c r="BA32" i="8"/>
  <c r="BB32" i="8"/>
  <c r="BC32" i="8"/>
  <c r="AZ33" i="8"/>
  <c r="BA33" i="8"/>
  <c r="BB33" i="8"/>
  <c r="BC33" i="8"/>
  <c r="AZ34" i="8"/>
  <c r="BA34" i="8"/>
  <c r="BB34" i="8"/>
  <c r="BC34" i="8"/>
  <c r="AZ35" i="8"/>
  <c r="BA35" i="8"/>
  <c r="BB35" i="8"/>
  <c r="BC35" i="8"/>
  <c r="AZ36" i="8"/>
  <c r="BA36" i="8"/>
  <c r="BB36" i="8"/>
  <c r="BC36" i="8"/>
  <c r="AZ37" i="8"/>
  <c r="BA37" i="8"/>
  <c r="BB37" i="8"/>
  <c r="BC37" i="8"/>
  <c r="AZ38" i="8"/>
  <c r="BA38" i="8"/>
  <c r="BB38" i="8"/>
  <c r="BC38" i="8"/>
  <c r="AZ39" i="8"/>
  <c r="BA39" i="8"/>
  <c r="BB39" i="8"/>
  <c r="BC39" i="8"/>
  <c r="AZ40" i="8"/>
  <c r="BA40" i="8"/>
  <c r="BB40" i="8"/>
  <c r="BC40" i="8"/>
  <c r="AZ41" i="8"/>
  <c r="BA41" i="8"/>
  <c r="BB41" i="8"/>
  <c r="BC41" i="8"/>
  <c r="AZ42" i="8"/>
  <c r="BA42" i="8"/>
  <c r="BB42" i="8"/>
  <c r="BC42" i="8"/>
  <c r="AZ43" i="8"/>
  <c r="BA43" i="8"/>
  <c r="BB43" i="8"/>
  <c r="BC43" i="8"/>
  <c r="AY44" i="8"/>
  <c r="AZ44" i="8"/>
  <c r="BA44" i="8"/>
  <c r="BB44" i="8"/>
  <c r="BC44" i="8"/>
  <c r="AZ45" i="8"/>
  <c r="BA45" i="8"/>
  <c r="BB45" i="8"/>
  <c r="BC45" i="8"/>
  <c r="AZ46" i="8"/>
  <c r="BA46" i="8"/>
  <c r="BB46" i="8"/>
  <c r="BC46" i="8"/>
  <c r="AZ47" i="8"/>
  <c r="BA47" i="8"/>
  <c r="BB47" i="8"/>
  <c r="BC47" i="8"/>
  <c r="AZ48" i="8"/>
  <c r="BA48" i="8"/>
  <c r="BB48" i="8"/>
  <c r="BC48" i="8"/>
  <c r="AZ52" i="8"/>
  <c r="BA52" i="8"/>
  <c r="BB52" i="8"/>
  <c r="BC52" i="8"/>
  <c r="AZ53" i="8"/>
  <c r="BA53" i="8"/>
  <c r="BB53" i="8"/>
  <c r="BC53" i="8"/>
  <c r="AZ54" i="8"/>
  <c r="BA54" i="8"/>
  <c r="BB54" i="8"/>
  <c r="BC54" i="8"/>
  <c r="AZ55" i="8"/>
  <c r="BA55" i="8"/>
  <c r="BB55" i="8"/>
  <c r="BC55" i="8"/>
  <c r="AZ56" i="8"/>
  <c r="BA56" i="8"/>
  <c r="BB56" i="8"/>
  <c r="BC56" i="8"/>
  <c r="AZ57" i="8"/>
  <c r="BA57" i="8"/>
  <c r="BB57" i="8"/>
  <c r="BC57" i="8"/>
  <c r="AZ58" i="8"/>
  <c r="BA58" i="8"/>
  <c r="BB58" i="8"/>
  <c r="BC58" i="8"/>
  <c r="AZ59" i="8"/>
  <c r="BA59" i="8"/>
  <c r="BB59" i="8"/>
  <c r="BC59" i="8"/>
  <c r="AZ60" i="8"/>
  <c r="BA60" i="8"/>
  <c r="BB60" i="8"/>
  <c r="BC60" i="8"/>
  <c r="AZ61" i="8"/>
  <c r="BA61" i="8"/>
  <c r="BB61" i="8"/>
  <c r="BC61" i="8"/>
  <c r="AZ62" i="8"/>
  <c r="BA62" i="8"/>
  <c r="BB62" i="8"/>
  <c r="BC62" i="8"/>
  <c r="AY63" i="8"/>
  <c r="AZ63" i="8"/>
  <c r="BA63" i="8"/>
  <c r="BB63" i="8"/>
  <c r="BC63" i="8"/>
  <c r="AZ64" i="8"/>
  <c r="BA64" i="8"/>
  <c r="BB64" i="8"/>
  <c r="BC64" i="8"/>
  <c r="AY65" i="8"/>
  <c r="AZ65" i="8"/>
  <c r="BA65" i="8"/>
  <c r="BB65" i="8"/>
  <c r="BC65" i="8"/>
  <c r="AZ66" i="8"/>
  <c r="BA66" i="8"/>
  <c r="BB66" i="8"/>
  <c r="BC66" i="8"/>
  <c r="AZ67" i="8"/>
  <c r="BA67" i="8"/>
  <c r="BB67" i="8"/>
  <c r="BC67" i="8"/>
  <c r="AY71" i="8"/>
  <c r="AZ71" i="8"/>
  <c r="BA71" i="8"/>
  <c r="BB71" i="8"/>
  <c r="BC71" i="8"/>
  <c r="AY72" i="8"/>
  <c r="AZ72" i="8"/>
  <c r="BA72" i="8"/>
  <c r="BB72" i="8"/>
  <c r="BC72" i="8"/>
  <c r="AY73" i="8"/>
  <c r="AZ73" i="8"/>
  <c r="BA73" i="8"/>
  <c r="BB73" i="8"/>
  <c r="BC73" i="8"/>
  <c r="AY74" i="8"/>
  <c r="AZ74" i="8"/>
  <c r="BA74" i="8"/>
  <c r="BB74" i="8"/>
  <c r="BC74" i="8"/>
  <c r="AZ76" i="8"/>
  <c r="BA76" i="8"/>
  <c r="BB76" i="8"/>
  <c r="BC76" i="8"/>
  <c r="AZ77" i="8"/>
  <c r="BA77" i="8"/>
  <c r="BB77" i="8"/>
  <c r="BC77" i="8"/>
  <c r="AZ78" i="8"/>
  <c r="BA78" i="8"/>
  <c r="BB78" i="8"/>
  <c r="BC78" i="8"/>
  <c r="AZ79" i="8"/>
  <c r="BA79" i="8"/>
  <c r="BB79" i="8"/>
  <c r="BC79" i="8"/>
  <c r="AY81" i="8"/>
  <c r="AZ81" i="8"/>
  <c r="BA81" i="8"/>
  <c r="BB81" i="8"/>
  <c r="BC81" i="8"/>
  <c r="AY82" i="8"/>
  <c r="AZ82" i="8"/>
  <c r="BA82" i="8"/>
  <c r="BB82" i="8"/>
  <c r="BC82" i="8"/>
  <c r="AY83" i="8"/>
  <c r="AZ83" i="8"/>
  <c r="BA83" i="8"/>
  <c r="BB83" i="8"/>
  <c r="BC83" i="8"/>
  <c r="AY84" i="8"/>
  <c r="AZ84" i="8"/>
  <c r="BA84" i="8"/>
  <c r="BB84" i="8"/>
  <c r="BC84" i="8"/>
  <c r="AZ86" i="8"/>
  <c r="BA86" i="8"/>
  <c r="BB86" i="8"/>
  <c r="BC86" i="8"/>
  <c r="AZ87" i="8"/>
  <c r="BA87" i="8"/>
  <c r="BB87" i="8"/>
  <c r="BC87" i="8"/>
  <c r="AZ88" i="8"/>
  <c r="BA88" i="8"/>
  <c r="BB88" i="8"/>
  <c r="BC88" i="8"/>
  <c r="AZ89" i="8"/>
  <c r="BA89" i="8"/>
  <c r="BB89" i="8"/>
  <c r="BC89" i="8"/>
  <c r="AY90" i="8"/>
  <c r="AZ90" i="8"/>
  <c r="BA90" i="8"/>
  <c r="BB90" i="8"/>
  <c r="BC90" i="8"/>
  <c r="AY103" i="8"/>
  <c r="AZ103" i="8"/>
  <c r="BA103" i="8"/>
  <c r="BB103" i="8"/>
  <c r="BC103" i="8"/>
  <c r="AY104" i="8"/>
  <c r="AZ104" i="8"/>
  <c r="BA104" i="8"/>
  <c r="BB104" i="8"/>
  <c r="BC104" i="8"/>
  <c r="AY105" i="8"/>
  <c r="AZ105" i="8"/>
  <c r="BA105" i="8"/>
  <c r="BB105" i="8"/>
  <c r="BC105" i="8"/>
  <c r="AY106" i="8"/>
  <c r="AZ106" i="8"/>
  <c r="BA106" i="8"/>
  <c r="BB106" i="8"/>
  <c r="BC106" i="8"/>
  <c r="BB107" i="8"/>
  <c r="BC107" i="8"/>
  <c r="AZ109" i="8"/>
  <c r="BA109" i="8"/>
  <c r="BB109" i="8"/>
  <c r="BC109" i="8"/>
  <c r="AY110" i="8"/>
  <c r="AZ110" i="8"/>
  <c r="BA110" i="8"/>
  <c r="BB110" i="8"/>
  <c r="BC110" i="8"/>
  <c r="AZ111" i="8"/>
  <c r="BA111" i="8"/>
  <c r="BB111" i="8"/>
  <c r="BC111" i="8"/>
  <c r="AZ112" i="8"/>
  <c r="BA112" i="8"/>
  <c r="BB112" i="8"/>
  <c r="BC112" i="8"/>
  <c r="AZ113" i="8"/>
  <c r="BA113" i="8"/>
  <c r="BB113" i="8"/>
  <c r="BC113" i="8"/>
  <c r="AZ114" i="8"/>
  <c r="BA114" i="8"/>
  <c r="BB114" i="8"/>
  <c r="BC114" i="8"/>
  <c r="AZ115" i="8"/>
  <c r="BA115" i="8"/>
  <c r="BB115" i="8"/>
  <c r="BC115" i="8"/>
  <c r="AZ116" i="8"/>
  <c r="BA116" i="8"/>
  <c r="BB116" i="8"/>
  <c r="BC116" i="8"/>
  <c r="AZ117" i="8"/>
  <c r="BA117" i="8"/>
  <c r="BB117" i="8"/>
  <c r="BC117" i="8"/>
  <c r="AZ118" i="8"/>
  <c r="BA118" i="8"/>
  <c r="BB118" i="8"/>
  <c r="BC118" i="8"/>
  <c r="AZ119" i="8"/>
  <c r="BA119" i="8"/>
  <c r="BB119" i="8"/>
  <c r="BC119" i="8"/>
  <c r="AY123" i="8"/>
  <c r="AZ123" i="8"/>
  <c r="BA123" i="8"/>
  <c r="BB123" i="8"/>
  <c r="BC123" i="8"/>
  <c r="AY124" i="8"/>
  <c r="AZ124" i="8"/>
  <c r="BA124" i="8"/>
  <c r="BB124" i="8"/>
  <c r="BC124" i="8"/>
  <c r="AY125" i="8"/>
  <c r="AZ125" i="8"/>
  <c r="BA125" i="8"/>
  <c r="BB125" i="8"/>
  <c r="BC125" i="8"/>
  <c r="AY126" i="8"/>
  <c r="AZ126" i="8"/>
  <c r="BA126" i="8"/>
  <c r="BB126" i="8"/>
  <c r="BC126" i="8"/>
  <c r="AZ127" i="8"/>
  <c r="BA127" i="8"/>
  <c r="BB127" i="8"/>
  <c r="BC127" i="8"/>
  <c r="AZ128" i="8"/>
  <c r="BA128" i="8"/>
  <c r="BB128" i="8"/>
  <c r="BC128" i="8"/>
  <c r="AY129" i="8"/>
  <c r="AZ129" i="8"/>
  <c r="BA129" i="8"/>
  <c r="BB129" i="8"/>
  <c r="BC129" i="8"/>
  <c r="AZ130" i="8"/>
  <c r="BA130" i="8"/>
  <c r="BB130" i="8"/>
  <c r="BC130" i="8"/>
  <c r="AZ131" i="8"/>
  <c r="BA131" i="8"/>
  <c r="BB131" i="8"/>
  <c r="BC131" i="8"/>
  <c r="AZ132" i="8"/>
  <c r="BA132" i="8"/>
  <c r="BB132" i="8"/>
  <c r="BC132" i="8"/>
  <c r="AZ133" i="8"/>
  <c r="BA133" i="8"/>
  <c r="BB133" i="8"/>
  <c r="BC133" i="8"/>
  <c r="AZ135" i="8"/>
  <c r="BA135" i="8"/>
  <c r="BB135" i="8"/>
  <c r="BC135" i="8"/>
  <c r="AZ137" i="8"/>
  <c r="BA137" i="8"/>
  <c r="BB137" i="8"/>
  <c r="BC137" i="8"/>
  <c r="AZ23" i="8"/>
  <c r="BA23" i="8"/>
  <c r="BB23" i="8"/>
  <c r="BC23" i="8"/>
  <c r="AG96" i="10" l="1"/>
  <c r="AG84" i="10" l="1"/>
  <c r="L63" i="9"/>
  <c r="AH62" i="10" l="1"/>
  <c r="AG62" i="10" s="1"/>
  <c r="AG21" i="10"/>
  <c r="BA120" i="8" l="1"/>
  <c r="AJ531" i="13"/>
  <c r="AK115" i="8"/>
  <c r="AP16" i="8" l="1"/>
  <c r="AQ16" i="8"/>
  <c r="AR16" i="8"/>
  <c r="AS16" i="8"/>
  <c r="AP17" i="8"/>
  <c r="AQ17" i="8"/>
  <c r="AR17" i="8"/>
  <c r="AS17" i="8"/>
  <c r="AP18" i="8"/>
  <c r="AQ18" i="8"/>
  <c r="AR18" i="8"/>
  <c r="AS18" i="8"/>
  <c r="AQ19" i="8"/>
  <c r="AR19" i="8"/>
  <c r="AS19" i="8"/>
  <c r="AP20" i="8"/>
  <c r="AQ20" i="8"/>
  <c r="BA20" i="8" s="1"/>
  <c r="AR20" i="8"/>
  <c r="BB20" i="8" s="1"/>
  <c r="AS20" i="8"/>
  <c r="BC20" i="8" s="1"/>
  <c r="AQ21" i="8"/>
  <c r="BA21" i="8" s="1"/>
  <c r="AR21" i="8"/>
  <c r="BB21" i="8" s="1"/>
  <c r="AS21" i="8"/>
  <c r="BC21" i="8" s="1"/>
  <c r="AQ22" i="8"/>
  <c r="BA22" i="8" s="1"/>
  <c r="AR22" i="8"/>
  <c r="BB22" i="8" s="1"/>
  <c r="AS22" i="8"/>
  <c r="BC22" i="8" s="1"/>
  <c r="AQ23" i="8"/>
  <c r="AR23" i="8"/>
  <c r="AS23" i="8"/>
  <c r="AQ24" i="8"/>
  <c r="AR24" i="8"/>
  <c r="AS24" i="8"/>
  <c r="AP25" i="8"/>
  <c r="AQ25" i="8"/>
  <c r="AR25" i="8"/>
  <c r="AS25" i="8"/>
  <c r="AQ26" i="8"/>
  <c r="AR26" i="8"/>
  <c r="AS26" i="8"/>
  <c r="AP27" i="8"/>
  <c r="AQ27" i="8"/>
  <c r="AR27" i="8"/>
  <c r="AS27" i="8"/>
  <c r="AQ28" i="8"/>
  <c r="AR28" i="8"/>
  <c r="AS28" i="8"/>
  <c r="AP29" i="8"/>
  <c r="AQ29" i="8"/>
  <c r="AR29" i="8"/>
  <c r="AS29" i="8"/>
  <c r="AP30" i="8"/>
  <c r="AQ30" i="8"/>
  <c r="AR30" i="8"/>
  <c r="AS30" i="8"/>
  <c r="AO31" i="8"/>
  <c r="AP31" i="8"/>
  <c r="AQ31" i="8"/>
  <c r="AR31" i="8"/>
  <c r="AS31" i="8"/>
  <c r="AP32" i="8"/>
  <c r="AQ32" i="8"/>
  <c r="AR32" i="8"/>
  <c r="AS32" i="8"/>
  <c r="AP33" i="8"/>
  <c r="AQ33" i="8"/>
  <c r="AR33" i="8"/>
  <c r="AS33" i="8"/>
  <c r="AP34" i="8"/>
  <c r="AQ34" i="8"/>
  <c r="AR34" i="8"/>
  <c r="AS34" i="8"/>
  <c r="AP35" i="8"/>
  <c r="AQ35" i="8"/>
  <c r="AR35" i="8"/>
  <c r="AS35" i="8"/>
  <c r="AP36" i="8"/>
  <c r="AQ36" i="8"/>
  <c r="AR36" i="8"/>
  <c r="AS36" i="8"/>
  <c r="AP37" i="8"/>
  <c r="AQ37" i="8"/>
  <c r="AR37" i="8"/>
  <c r="AS37" i="8"/>
  <c r="AP38" i="8"/>
  <c r="AQ38" i="8"/>
  <c r="AR38" i="8"/>
  <c r="AS38" i="8"/>
  <c r="AP39" i="8"/>
  <c r="AQ39" i="8"/>
  <c r="AR39" i="8"/>
  <c r="AS39" i="8"/>
  <c r="AP40" i="8"/>
  <c r="AQ40" i="8"/>
  <c r="AR40" i="8"/>
  <c r="AS40" i="8"/>
  <c r="AP41" i="8"/>
  <c r="AQ41" i="8"/>
  <c r="AR41" i="8"/>
  <c r="AS41" i="8"/>
  <c r="AP42" i="8"/>
  <c r="AQ42" i="8"/>
  <c r="AR42" i="8"/>
  <c r="AS42" i="8"/>
  <c r="AP43" i="8"/>
  <c r="AQ43" i="8"/>
  <c r="AR43" i="8"/>
  <c r="AS43" i="8"/>
  <c r="AO44" i="8"/>
  <c r="AP44" i="8"/>
  <c r="AQ44" i="8"/>
  <c r="AR44" i="8"/>
  <c r="AS44" i="8"/>
  <c r="AP45" i="8"/>
  <c r="AQ45" i="8"/>
  <c r="AR45" i="8"/>
  <c r="AS45" i="8"/>
  <c r="AQ46" i="8"/>
  <c r="AR46" i="8"/>
  <c r="AS46" i="8"/>
  <c r="AQ47" i="8"/>
  <c r="AR47" i="8"/>
  <c r="AS47" i="8"/>
  <c r="AP48" i="8"/>
  <c r="AQ48" i="8"/>
  <c r="AR48" i="8"/>
  <c r="AS48" i="8"/>
  <c r="AQ49" i="8"/>
  <c r="AR49" i="8"/>
  <c r="AS49" i="8"/>
  <c r="AQ50" i="8"/>
  <c r="AR50" i="8"/>
  <c r="AS50" i="8"/>
  <c r="AP51" i="8"/>
  <c r="AQ51" i="8"/>
  <c r="AR51" i="8"/>
  <c r="AS51" i="8"/>
  <c r="AQ52" i="8"/>
  <c r="AR52" i="8"/>
  <c r="AS52" i="8"/>
  <c r="AQ53" i="8"/>
  <c r="AR53" i="8"/>
  <c r="AS53" i="8"/>
  <c r="AP54" i="8"/>
  <c r="AQ54" i="8"/>
  <c r="AR54" i="8"/>
  <c r="AS54" i="8"/>
  <c r="AP55" i="8"/>
  <c r="AQ55" i="8"/>
  <c r="AR55" i="8"/>
  <c r="AS55" i="8"/>
  <c r="AQ56" i="8"/>
  <c r="AR56" i="8"/>
  <c r="AS56" i="8"/>
  <c r="AP57" i="8"/>
  <c r="AQ57" i="8"/>
  <c r="AR57" i="8"/>
  <c r="AS57" i="8"/>
  <c r="AP58" i="8"/>
  <c r="AQ58" i="8"/>
  <c r="AR58" i="8"/>
  <c r="AS58" i="8"/>
  <c r="AQ59" i="8"/>
  <c r="AR59" i="8"/>
  <c r="AS59" i="8"/>
  <c r="AQ60" i="8"/>
  <c r="AR60" i="8"/>
  <c r="AS60" i="8"/>
  <c r="AP61" i="8"/>
  <c r="AQ61" i="8"/>
  <c r="AR61" i="8"/>
  <c r="AS61" i="8"/>
  <c r="AP62" i="8"/>
  <c r="AQ62" i="8"/>
  <c r="AR62" i="8"/>
  <c r="AS62" i="8"/>
  <c r="AO63" i="8"/>
  <c r="AP63" i="8"/>
  <c r="AQ63" i="8"/>
  <c r="AR63" i="8"/>
  <c r="AS63" i="8"/>
  <c r="AP64" i="8"/>
  <c r="AQ64" i="8"/>
  <c r="AR64" i="8"/>
  <c r="AS64" i="8"/>
  <c r="AO65" i="8"/>
  <c r="AP65" i="8"/>
  <c r="AQ65" i="8"/>
  <c r="AR65" i="8"/>
  <c r="AS65" i="8"/>
  <c r="AQ66" i="8"/>
  <c r="AR66" i="8"/>
  <c r="AS66" i="8"/>
  <c r="AP67" i="8"/>
  <c r="AQ67" i="8"/>
  <c r="AR67" i="8"/>
  <c r="AS67" i="8"/>
  <c r="AO71" i="8"/>
  <c r="AP71" i="8"/>
  <c r="AQ71" i="8"/>
  <c r="AR71" i="8"/>
  <c r="AS71" i="8"/>
  <c r="AO72" i="8"/>
  <c r="AP72" i="8"/>
  <c r="AQ72" i="8"/>
  <c r="AR72" i="8"/>
  <c r="AS72" i="8"/>
  <c r="AO73" i="8"/>
  <c r="AP73" i="8"/>
  <c r="AQ73" i="8"/>
  <c r="AR73" i="8"/>
  <c r="AS73" i="8"/>
  <c r="AO74" i="8"/>
  <c r="AP74" i="8"/>
  <c r="AQ74" i="8"/>
  <c r="AR74" i="8"/>
  <c r="AS74" i="8"/>
  <c r="AQ75" i="8"/>
  <c r="AR75" i="8"/>
  <c r="AS75" i="8"/>
  <c r="AP76" i="8"/>
  <c r="AQ76" i="8"/>
  <c r="AR76" i="8"/>
  <c r="AS76" i="8"/>
  <c r="AP77" i="8"/>
  <c r="AQ77" i="8"/>
  <c r="AR77" i="8"/>
  <c r="AS77" i="8"/>
  <c r="AP78" i="8"/>
  <c r="AQ78" i="8"/>
  <c r="AR78" i="8"/>
  <c r="AS78" i="8"/>
  <c r="AP79" i="8"/>
  <c r="AQ79" i="8"/>
  <c r="AR79" i="8"/>
  <c r="AS79" i="8"/>
  <c r="AO81" i="8"/>
  <c r="AP81" i="8"/>
  <c r="AQ81" i="8"/>
  <c r="AR81" i="8"/>
  <c r="AS81" i="8"/>
  <c r="AO82" i="8"/>
  <c r="AP82" i="8"/>
  <c r="AQ82" i="8"/>
  <c r="AR82" i="8"/>
  <c r="AS82" i="8"/>
  <c r="AO83" i="8"/>
  <c r="AP83" i="8"/>
  <c r="AQ83" i="8"/>
  <c r="AR83" i="8"/>
  <c r="AS83" i="8"/>
  <c r="AO84" i="8"/>
  <c r="AP84" i="8"/>
  <c r="AQ84" i="8"/>
  <c r="AR84" i="8"/>
  <c r="AS84" i="8"/>
  <c r="AP86" i="8"/>
  <c r="AQ86" i="8"/>
  <c r="AR86" i="8"/>
  <c r="AS86" i="8"/>
  <c r="AP87" i="8"/>
  <c r="AQ87" i="8"/>
  <c r="AR87" i="8"/>
  <c r="AS87" i="8"/>
  <c r="AP88" i="8"/>
  <c r="AQ88" i="8"/>
  <c r="AR88" i="8"/>
  <c r="AS88" i="8"/>
  <c r="AP89" i="8"/>
  <c r="AQ89" i="8"/>
  <c r="AR89" i="8"/>
  <c r="AS89" i="8"/>
  <c r="AO90" i="8"/>
  <c r="AP90" i="8"/>
  <c r="AQ90" i="8"/>
  <c r="AR90" i="8"/>
  <c r="AS90" i="8"/>
  <c r="AQ91" i="8"/>
  <c r="AR91" i="8"/>
  <c r="AS91" i="8"/>
  <c r="AR92" i="8"/>
  <c r="AS92" i="8"/>
  <c r="AP93" i="8"/>
  <c r="AQ93" i="8"/>
  <c r="AR93" i="8"/>
  <c r="AS93" i="8"/>
  <c r="AO94" i="8"/>
  <c r="AP94" i="8"/>
  <c r="AQ94" i="8"/>
  <c r="AR94" i="8"/>
  <c r="AS94" i="8"/>
  <c r="AP95" i="8"/>
  <c r="AQ95" i="8"/>
  <c r="AR95" i="8"/>
  <c r="AS95" i="8"/>
  <c r="AP96" i="8"/>
  <c r="AQ96" i="8"/>
  <c r="AR96" i="8"/>
  <c r="AS96" i="8"/>
  <c r="AP97" i="8"/>
  <c r="AQ97" i="8"/>
  <c r="AR97" i="8"/>
  <c r="AS97" i="8"/>
  <c r="AP98" i="8"/>
  <c r="AQ98" i="8"/>
  <c r="AR98" i="8"/>
  <c r="AS98" i="8"/>
  <c r="AP99" i="8"/>
  <c r="AQ99" i="8"/>
  <c r="AR99" i="8"/>
  <c r="AS99" i="8"/>
  <c r="AP100" i="8"/>
  <c r="AQ100" i="8"/>
  <c r="AR100" i="8"/>
  <c r="AS100" i="8"/>
  <c r="AP101" i="8"/>
  <c r="AQ101" i="8"/>
  <c r="AR101" i="8"/>
  <c r="AS101" i="8"/>
  <c r="AO103" i="8"/>
  <c r="AP103" i="8"/>
  <c r="AQ103" i="8"/>
  <c r="AR103" i="8"/>
  <c r="AS103" i="8"/>
  <c r="AO104" i="8"/>
  <c r="AP104" i="8"/>
  <c r="AQ104" i="8"/>
  <c r="AR104" i="8"/>
  <c r="AS104" i="8"/>
  <c r="AO105" i="8"/>
  <c r="AP105" i="8"/>
  <c r="AQ105" i="8"/>
  <c r="AR105" i="8"/>
  <c r="AS105" i="8"/>
  <c r="AO106" i="8"/>
  <c r="AP106" i="8"/>
  <c r="AQ106" i="8"/>
  <c r="AR106" i="8"/>
  <c r="AS106" i="8"/>
  <c r="AQ107" i="8"/>
  <c r="AR107" i="8"/>
  <c r="AS107" i="8"/>
  <c r="AQ108" i="8"/>
  <c r="AR108" i="8"/>
  <c r="AS108" i="8"/>
  <c r="AQ109" i="8"/>
  <c r="AR109" i="8"/>
  <c r="AS109" i="8"/>
  <c r="AP110" i="8"/>
  <c r="AQ110" i="8"/>
  <c r="AR110" i="8"/>
  <c r="AS110" i="8"/>
  <c r="AP111" i="8"/>
  <c r="AQ111" i="8"/>
  <c r="AR111" i="8"/>
  <c r="AS111" i="8"/>
  <c r="AQ112" i="8"/>
  <c r="AR112" i="8"/>
  <c r="AS112" i="8"/>
  <c r="AP113" i="8"/>
  <c r="AQ113" i="8"/>
  <c r="AR113" i="8"/>
  <c r="AS113" i="8"/>
  <c r="AP114" i="8"/>
  <c r="AQ114" i="8"/>
  <c r="AR114" i="8"/>
  <c r="AS114" i="8"/>
  <c r="AQ115" i="8"/>
  <c r="AR115" i="8"/>
  <c r="AS115" i="8"/>
  <c r="AS116" i="8"/>
  <c r="AP117" i="8"/>
  <c r="AQ117" i="8"/>
  <c r="AR117" i="8"/>
  <c r="AS117" i="8"/>
  <c r="AR118" i="8"/>
  <c r="AS118" i="8"/>
  <c r="AP119" i="8"/>
  <c r="AQ119" i="8"/>
  <c r="AR119" i="8"/>
  <c r="AS119" i="8"/>
  <c r="AO123" i="8"/>
  <c r="AP123" i="8"/>
  <c r="AQ123" i="8"/>
  <c r="AR123" i="8"/>
  <c r="AS123" i="8"/>
  <c r="AO124" i="8"/>
  <c r="AP124" i="8"/>
  <c r="AQ124" i="8"/>
  <c r="AR124" i="8"/>
  <c r="AS124" i="8"/>
  <c r="AO125" i="8"/>
  <c r="AP125" i="8"/>
  <c r="AQ125" i="8"/>
  <c r="AR125" i="8"/>
  <c r="AS125" i="8"/>
  <c r="AO126" i="8"/>
  <c r="AP126" i="8"/>
  <c r="AQ126" i="8"/>
  <c r="AR126" i="8"/>
  <c r="AS126" i="8"/>
  <c r="AQ127" i="8"/>
  <c r="AR127" i="8"/>
  <c r="AS127" i="8"/>
  <c r="AQ128" i="8"/>
  <c r="AR128" i="8"/>
  <c r="AS128" i="8"/>
  <c r="AO129" i="8"/>
  <c r="AP129" i="8"/>
  <c r="AQ129" i="8"/>
  <c r="AR129" i="8"/>
  <c r="AS129" i="8"/>
  <c r="AQ130" i="8"/>
  <c r="AR130" i="8"/>
  <c r="AS130" i="8"/>
  <c r="AP131" i="8"/>
  <c r="AP137" i="8" s="1"/>
  <c r="AQ131" i="8"/>
  <c r="AR131" i="8"/>
  <c r="AS131" i="8"/>
  <c r="AQ132" i="8"/>
  <c r="AR132" i="8"/>
  <c r="AS132" i="8"/>
  <c r="AQ133" i="8"/>
  <c r="AR133" i="8"/>
  <c r="AS133" i="8"/>
  <c r="AQ135" i="8"/>
  <c r="AR135" i="8"/>
  <c r="AS135" i="8"/>
  <c r="AP15" i="8"/>
  <c r="AQ15" i="8"/>
  <c r="AR15" i="8"/>
  <c r="AS15" i="8"/>
  <c r="AP92" i="8" l="1"/>
  <c r="AQ92" i="8"/>
  <c r="Y270" i="13" l="1"/>
  <c r="AI270" i="13" l="1"/>
  <c r="AJ270" i="13"/>
  <c r="AK270" i="13"/>
  <c r="AJ269" i="13"/>
  <c r="AI269" i="13"/>
  <c r="AF251" i="13"/>
  <c r="AH270" i="13" l="1"/>
  <c r="AK586" i="13"/>
  <c r="AK588" i="13" s="1"/>
  <c r="AJ586" i="13"/>
  <c r="AJ588" i="13" s="1"/>
  <c r="AI586" i="13"/>
  <c r="AI588" i="13" s="1"/>
  <c r="AH586" i="13"/>
  <c r="AG586" i="13"/>
  <c r="AF586" i="13"/>
  <c r="AE586" i="13"/>
  <c r="AD586" i="13"/>
  <c r="AC586" i="13"/>
  <c r="AB586" i="13"/>
  <c r="AA586" i="13"/>
  <c r="Z586" i="13"/>
  <c r="X586" i="13"/>
  <c r="W586" i="13"/>
  <c r="V586" i="13"/>
  <c r="U586" i="13"/>
  <c r="T586" i="13"/>
  <c r="S586" i="13"/>
  <c r="R586" i="13"/>
  <c r="Q586" i="13"/>
  <c r="P586" i="13"/>
  <c r="O586" i="13"/>
  <c r="N586" i="13"/>
  <c r="M586" i="13"/>
  <c r="L586" i="13"/>
  <c r="K586" i="13"/>
  <c r="J586" i="13"/>
  <c r="I586" i="13"/>
  <c r="H586" i="13"/>
  <c r="G586" i="13"/>
  <c r="F586" i="13"/>
  <c r="E586" i="13"/>
  <c r="C586" i="13"/>
  <c r="AK585" i="13"/>
  <c r="AJ585" i="13"/>
  <c r="AI585" i="13"/>
  <c r="AG585" i="13"/>
  <c r="AF585" i="13"/>
  <c r="AE585" i="13"/>
  <c r="AD585" i="13"/>
  <c r="AB585" i="13"/>
  <c r="AA585" i="13"/>
  <c r="Z585" i="13"/>
  <c r="X585" i="13"/>
  <c r="W585" i="13"/>
  <c r="V585" i="13"/>
  <c r="U585" i="13"/>
  <c r="S585" i="13"/>
  <c r="R585" i="13"/>
  <c r="Q585" i="13"/>
  <c r="P585" i="13"/>
  <c r="N585" i="13"/>
  <c r="M585" i="13"/>
  <c r="L585" i="13"/>
  <c r="K585" i="13"/>
  <c r="T270" i="13"/>
  <c r="U269" i="13"/>
  <c r="V269" i="13"/>
  <c r="X269" i="13"/>
  <c r="O270" i="13"/>
  <c r="N269" i="13"/>
  <c r="I269" i="13"/>
  <c r="H269" i="13"/>
  <c r="G269" i="13"/>
  <c r="M229" i="13"/>
  <c r="M269" i="13" s="1"/>
  <c r="J270" i="13"/>
  <c r="F270" i="13"/>
  <c r="F588" i="13" s="1"/>
  <c r="AG270" i="13"/>
  <c r="AF270" i="13"/>
  <c r="AE270" i="13"/>
  <c r="AD270" i="13"/>
  <c r="AG269" i="13"/>
  <c r="AE269" i="13"/>
  <c r="AD269" i="13"/>
  <c r="AB270" i="13"/>
  <c r="AA270" i="13"/>
  <c r="Z270" i="13"/>
  <c r="AB269" i="13"/>
  <c r="AA269" i="13"/>
  <c r="Z269" i="13"/>
  <c r="X270" i="13"/>
  <c r="X588" i="13" s="1"/>
  <c r="W270" i="13"/>
  <c r="W588" i="13" s="1"/>
  <c r="V270" i="13"/>
  <c r="V588" i="13" s="1"/>
  <c r="U270" i="13"/>
  <c r="U588" i="13" s="1"/>
  <c r="S270" i="13"/>
  <c r="R270" i="13"/>
  <c r="Q270" i="13"/>
  <c r="P270" i="13"/>
  <c r="S269" i="13"/>
  <c r="R269" i="13"/>
  <c r="Q269" i="13"/>
  <c r="P269" i="13"/>
  <c r="N270" i="13"/>
  <c r="M270" i="13"/>
  <c r="L270" i="13"/>
  <c r="K270" i="13"/>
  <c r="I270" i="13"/>
  <c r="I588" i="13" s="1"/>
  <c r="H270" i="13"/>
  <c r="G270" i="13"/>
  <c r="E270" i="13"/>
  <c r="E588" i="13" s="1"/>
  <c r="E269" i="13"/>
  <c r="C270" i="13"/>
  <c r="C269" i="13"/>
  <c r="X573" i="13"/>
  <c r="Y115" i="8"/>
  <c r="AF269" i="13"/>
  <c r="E111" i="8"/>
  <c r="E109" i="8"/>
  <c r="F15" i="13"/>
  <c r="D119" i="13"/>
  <c r="D118" i="13"/>
  <c r="D117" i="13"/>
  <c r="D116" i="13"/>
  <c r="D112" i="13"/>
  <c r="D111" i="13"/>
  <c r="D110" i="13"/>
  <c r="D107" i="13"/>
  <c r="D106" i="13"/>
  <c r="D105" i="13"/>
  <c r="D104" i="13"/>
  <c r="D101" i="13"/>
  <c r="D99" i="13"/>
  <c r="D95" i="13"/>
  <c r="D93" i="13"/>
  <c r="D91" i="13"/>
  <c r="D89" i="13"/>
  <c r="D88" i="13"/>
  <c r="D87" i="13"/>
  <c r="D86" i="13"/>
  <c r="D85" i="13"/>
  <c r="D83" i="13"/>
  <c r="D77" i="13"/>
  <c r="D76" i="13"/>
  <c r="D75" i="13"/>
  <c r="D69" i="13"/>
  <c r="D68" i="13"/>
  <c r="D67" i="13"/>
  <c r="D66" i="13"/>
  <c r="D65" i="13"/>
  <c r="D64" i="13"/>
  <c r="D58" i="13"/>
  <c r="D56" i="13"/>
  <c r="D52" i="13"/>
  <c r="D51" i="13"/>
  <c r="D50" i="13"/>
  <c r="D49" i="13"/>
  <c r="D46" i="13"/>
  <c r="D40" i="13"/>
  <c r="D39" i="13"/>
  <c r="D38" i="13"/>
  <c r="D36" i="13"/>
  <c r="D31" i="13"/>
  <c r="D30" i="13"/>
  <c r="D28" i="13"/>
  <c r="D27" i="13"/>
  <c r="D26" i="13"/>
  <c r="D24" i="13"/>
  <c r="D23" i="13"/>
  <c r="D20" i="13"/>
  <c r="D17" i="13"/>
  <c r="AF92" i="10"/>
  <c r="AE92" i="10"/>
  <c r="AD92" i="10"/>
  <c r="AM69" i="8"/>
  <c r="BC69" i="8" s="1"/>
  <c r="AL69" i="8"/>
  <c r="BB69" i="8" s="1"/>
  <c r="AK69" i="8"/>
  <c r="BA69" i="8" s="1"/>
  <c r="AJ69" i="8"/>
  <c r="AZ69" i="8" s="1"/>
  <c r="AH69" i="8"/>
  <c r="AG69" i="8"/>
  <c r="AF69" i="8"/>
  <c r="AE69" i="8"/>
  <c r="AC69" i="8"/>
  <c r="AB69" i="8"/>
  <c r="AA69" i="8"/>
  <c r="Z69" i="8"/>
  <c r="X69" i="8"/>
  <c r="W69" i="8"/>
  <c r="V69" i="8"/>
  <c r="U69" i="8"/>
  <c r="S69" i="8"/>
  <c r="R69" i="8"/>
  <c r="Q69" i="8"/>
  <c r="P69" i="8"/>
  <c r="N69" i="8"/>
  <c r="M69" i="8"/>
  <c r="L69" i="8"/>
  <c r="K69" i="8"/>
  <c r="I69" i="8"/>
  <c r="AS69" i="8" s="1"/>
  <c r="H69" i="8"/>
  <c r="G69" i="8"/>
  <c r="AQ69" i="8" s="1"/>
  <c r="F69" i="8"/>
  <c r="AP69" i="8" s="1"/>
  <c r="AM68" i="8"/>
  <c r="BC68" i="8" s="1"/>
  <c r="AL68" i="8"/>
  <c r="BB68" i="8" s="1"/>
  <c r="AK68" i="8"/>
  <c r="BA68" i="8" s="1"/>
  <c r="AH68" i="8"/>
  <c r="AG68" i="8"/>
  <c r="AF68" i="8"/>
  <c r="AC68" i="8"/>
  <c r="AB68" i="8"/>
  <c r="AA68" i="8"/>
  <c r="X68" i="8"/>
  <c r="W68" i="8"/>
  <c r="V68" i="8"/>
  <c r="S68" i="8"/>
  <c r="R68" i="8"/>
  <c r="Q68" i="8"/>
  <c r="N68" i="8"/>
  <c r="M68" i="8"/>
  <c r="L68" i="8"/>
  <c r="I68" i="8"/>
  <c r="H68" i="8"/>
  <c r="AR68" i="8" s="1"/>
  <c r="G68" i="8"/>
  <c r="AH93" i="10"/>
  <c r="AG93" i="10" s="1"/>
  <c r="AK92" i="10"/>
  <c r="AK94" i="10" s="1"/>
  <c r="AJ92" i="10"/>
  <c r="AJ94" i="10" s="1"/>
  <c r="AI92" i="10"/>
  <c r="AI94" i="10" s="1"/>
  <c r="AG76" i="10"/>
  <c r="AL76" i="10" s="1"/>
  <c r="AH26" i="10"/>
  <c r="AG26" i="10" s="1"/>
  <c r="AR69" i="8" l="1"/>
  <c r="AS68" i="8"/>
  <c r="AQ68" i="8"/>
  <c r="K588" i="13"/>
  <c r="G588" i="13"/>
  <c r="AB588" i="13"/>
  <c r="AG588" i="13"/>
  <c r="T588" i="13"/>
  <c r="L588" i="13"/>
  <c r="M588" i="13"/>
  <c r="AE588" i="13"/>
  <c r="AF588" i="13"/>
  <c r="N588" i="13"/>
  <c r="H588" i="13"/>
  <c r="AH588" i="13"/>
  <c r="AD588" i="13"/>
  <c r="AA588" i="13"/>
  <c r="Z588" i="13"/>
  <c r="J588" i="13"/>
  <c r="D595" i="13"/>
  <c r="Y584" i="13"/>
  <c r="AH583" i="13"/>
  <c r="AC583" i="13"/>
  <c r="Y583" i="13"/>
  <c r="AH582" i="13"/>
  <c r="D582" i="13" s="1"/>
  <c r="C582" i="13"/>
  <c r="AH581" i="13"/>
  <c r="D581" i="13" s="1"/>
  <c r="C581" i="13"/>
  <c r="AH580" i="13"/>
  <c r="D580" i="13" s="1"/>
  <c r="C580" i="13"/>
  <c r="AC579" i="13"/>
  <c r="Y579" i="13"/>
  <c r="J579" i="13"/>
  <c r="C579" i="13"/>
  <c r="AH578" i="13"/>
  <c r="AC578" i="13"/>
  <c r="Y578" i="13"/>
  <c r="T578" i="13"/>
  <c r="T585" i="13" s="1"/>
  <c r="O578" i="13"/>
  <c r="O585" i="13" s="1"/>
  <c r="J578" i="13"/>
  <c r="I578" i="13"/>
  <c r="I585" i="13" s="1"/>
  <c r="H578" i="13"/>
  <c r="H585" i="13" s="1"/>
  <c r="G578" i="13"/>
  <c r="G585" i="13" s="1"/>
  <c r="E578" i="13"/>
  <c r="E585" i="13" s="1"/>
  <c r="J577" i="13"/>
  <c r="F577" i="13"/>
  <c r="C577" i="13"/>
  <c r="J576" i="13"/>
  <c r="F576" i="13"/>
  <c r="C576" i="13"/>
  <c r="J575" i="13"/>
  <c r="F575" i="13"/>
  <c r="C575" i="13"/>
  <c r="AK573" i="13"/>
  <c r="AJ573" i="13"/>
  <c r="AI573" i="13"/>
  <c r="AG573" i="13"/>
  <c r="AD573" i="13"/>
  <c r="AB573" i="13"/>
  <c r="S573" i="13"/>
  <c r="P573" i="13"/>
  <c r="N573" i="13"/>
  <c r="M573" i="13"/>
  <c r="L573" i="13"/>
  <c r="K573" i="13"/>
  <c r="I573" i="13"/>
  <c r="H573" i="13"/>
  <c r="G573" i="13"/>
  <c r="E573" i="13"/>
  <c r="AH572" i="13"/>
  <c r="D572" i="13" s="1"/>
  <c r="C572" i="13"/>
  <c r="AH571" i="13"/>
  <c r="D571" i="13" s="1"/>
  <c r="C571" i="13"/>
  <c r="AH570" i="13"/>
  <c r="D570" i="13" s="1"/>
  <c r="C570" i="13"/>
  <c r="AH569" i="13"/>
  <c r="D569" i="13" s="1"/>
  <c r="C569" i="13"/>
  <c r="AH568" i="13"/>
  <c r="D568" i="13" s="1"/>
  <c r="C568" i="13"/>
  <c r="AH567" i="13"/>
  <c r="D567" i="13" s="1"/>
  <c r="C567" i="13"/>
  <c r="AH566" i="13"/>
  <c r="D566" i="13" s="1"/>
  <c r="C566" i="13"/>
  <c r="AH565" i="13"/>
  <c r="D565" i="13" s="1"/>
  <c r="C565" i="13"/>
  <c r="AH564" i="13"/>
  <c r="D564" i="13" s="1"/>
  <c r="C564" i="13"/>
  <c r="AH563" i="13"/>
  <c r="D563" i="13" s="1"/>
  <c r="C563" i="13"/>
  <c r="AH562" i="13"/>
  <c r="D562" i="13" s="1"/>
  <c r="C562" i="13"/>
  <c r="AH561" i="13"/>
  <c r="D561" i="13" s="1"/>
  <c r="C561" i="13"/>
  <c r="AH560" i="13"/>
  <c r="D560" i="13" s="1"/>
  <c r="C560" i="13"/>
  <c r="AH559" i="13"/>
  <c r="D559" i="13" s="1"/>
  <c r="C559" i="13"/>
  <c r="AH558" i="13"/>
  <c r="D558" i="13" s="1"/>
  <c r="C558" i="13"/>
  <c r="AH557" i="13"/>
  <c r="D557" i="13" s="1"/>
  <c r="C557" i="13"/>
  <c r="AH556" i="13"/>
  <c r="D556" i="13" s="1"/>
  <c r="C556" i="13"/>
  <c r="AH555" i="13"/>
  <c r="D555" i="13" s="1"/>
  <c r="C555" i="13"/>
  <c r="AH554" i="13"/>
  <c r="D554" i="13" s="1"/>
  <c r="C554" i="13"/>
  <c r="AH553" i="13"/>
  <c r="D553" i="13" s="1"/>
  <c r="C553" i="13"/>
  <c r="AH552" i="13"/>
  <c r="D552" i="13" s="1"/>
  <c r="C552" i="13"/>
  <c r="AH551" i="13"/>
  <c r="D551" i="13" s="1"/>
  <c r="C551" i="13"/>
  <c r="AH550" i="13"/>
  <c r="D550" i="13" s="1"/>
  <c r="C550" i="13"/>
  <c r="AH549" i="13"/>
  <c r="D549" i="13" s="1"/>
  <c r="C549" i="13"/>
  <c r="AH548" i="13"/>
  <c r="D548" i="13" s="1"/>
  <c r="C548" i="13"/>
  <c r="AH547" i="13"/>
  <c r="D547" i="13" s="1"/>
  <c r="C547" i="13"/>
  <c r="AH546" i="13"/>
  <c r="D546" i="13" s="1"/>
  <c r="C546" i="13"/>
  <c r="AH545" i="13"/>
  <c r="D545" i="13" s="1"/>
  <c r="C545" i="13"/>
  <c r="AH544" i="13"/>
  <c r="D544" i="13" s="1"/>
  <c r="C544" i="13"/>
  <c r="AH543" i="13"/>
  <c r="D543" i="13" s="1"/>
  <c r="C543" i="13"/>
  <c r="AH542" i="13"/>
  <c r="D542" i="13" s="1"/>
  <c r="C542" i="13"/>
  <c r="AH541" i="13"/>
  <c r="D541" i="13" s="1"/>
  <c r="C541" i="13"/>
  <c r="AH540" i="13"/>
  <c r="D540" i="13" s="1"/>
  <c r="C540" i="13"/>
  <c r="AH539" i="13"/>
  <c r="D539" i="13" s="1"/>
  <c r="C539" i="13"/>
  <c r="AH538" i="13"/>
  <c r="D538" i="13" s="1"/>
  <c r="C538" i="13"/>
  <c r="AH537" i="13"/>
  <c r="D537" i="13" s="1"/>
  <c r="C537" i="13"/>
  <c r="AH536" i="13"/>
  <c r="D536" i="13" s="1"/>
  <c r="C536" i="13"/>
  <c r="AH535" i="13"/>
  <c r="D535" i="13" s="1"/>
  <c r="C535" i="13"/>
  <c r="AH534" i="13"/>
  <c r="D534" i="13" s="1"/>
  <c r="C534" i="13"/>
  <c r="AH533" i="13"/>
  <c r="D533" i="13" s="1"/>
  <c r="C533" i="13"/>
  <c r="AH532" i="13"/>
  <c r="AC532" i="13"/>
  <c r="C532" i="13"/>
  <c r="AH531" i="13"/>
  <c r="AC531" i="13"/>
  <c r="C531" i="13"/>
  <c r="AH530" i="13"/>
  <c r="AC530" i="13"/>
  <c r="C530" i="13"/>
  <c r="AH529" i="13"/>
  <c r="AC529" i="13"/>
  <c r="C529" i="13"/>
  <c r="AH528" i="13"/>
  <c r="D528" i="13" s="1"/>
  <c r="AF528" i="13"/>
  <c r="AE528" i="13"/>
  <c r="C528" i="13"/>
  <c r="AH527" i="13"/>
  <c r="D527" i="13" s="1"/>
  <c r="AF527" i="13"/>
  <c r="AE527" i="13"/>
  <c r="C527" i="13"/>
  <c r="AH526" i="13"/>
  <c r="D526" i="13" s="1"/>
  <c r="AF526" i="13"/>
  <c r="AE526" i="13"/>
  <c r="C526" i="13"/>
  <c r="AH525" i="13"/>
  <c r="D525" i="13" s="1"/>
  <c r="AF525" i="13"/>
  <c r="AE525" i="13"/>
  <c r="C525" i="13"/>
  <c r="AH524" i="13"/>
  <c r="D524" i="13" s="1"/>
  <c r="AF524" i="13"/>
  <c r="AE524" i="13"/>
  <c r="C524" i="13"/>
  <c r="AH523" i="13"/>
  <c r="D523" i="13" s="1"/>
  <c r="AF523" i="13"/>
  <c r="AE523" i="13"/>
  <c r="C523" i="13"/>
  <c r="AH522" i="13"/>
  <c r="D522" i="13" s="1"/>
  <c r="AF522" i="13"/>
  <c r="AE522" i="13"/>
  <c r="C522" i="13"/>
  <c r="AH521" i="13"/>
  <c r="D521" i="13" s="1"/>
  <c r="AF521" i="13"/>
  <c r="AE521" i="13"/>
  <c r="C521" i="13"/>
  <c r="AH520" i="13"/>
  <c r="D520" i="13" s="1"/>
  <c r="AF520" i="13"/>
  <c r="AE520" i="13"/>
  <c r="C520" i="13"/>
  <c r="AH519" i="13"/>
  <c r="D519" i="13" s="1"/>
  <c r="AF519" i="13"/>
  <c r="AE519" i="13"/>
  <c r="C519" i="13"/>
  <c r="AH518" i="13"/>
  <c r="D518" i="13" s="1"/>
  <c r="AF518" i="13"/>
  <c r="AE518" i="13"/>
  <c r="C518" i="13"/>
  <c r="AH517" i="13"/>
  <c r="D517" i="13" s="1"/>
  <c r="AF517" i="13"/>
  <c r="AE517" i="13"/>
  <c r="C517" i="13"/>
  <c r="AH516" i="13"/>
  <c r="D516" i="13" s="1"/>
  <c r="AF516" i="13"/>
  <c r="AE516" i="13"/>
  <c r="C516" i="13"/>
  <c r="AF515" i="13"/>
  <c r="AE515" i="13"/>
  <c r="D515" i="13"/>
  <c r="C515" i="13"/>
  <c r="AF514" i="13"/>
  <c r="AE514" i="13"/>
  <c r="D514" i="13"/>
  <c r="C514" i="13"/>
  <c r="AF513" i="13"/>
  <c r="AE513" i="13"/>
  <c r="D513" i="13"/>
  <c r="C513" i="13"/>
  <c r="AF512" i="13"/>
  <c r="AE512" i="13"/>
  <c r="D512" i="13"/>
  <c r="C512" i="13"/>
  <c r="AF511" i="13"/>
  <c r="AE511" i="13"/>
  <c r="D511" i="13"/>
  <c r="C511" i="13"/>
  <c r="AF510" i="13"/>
  <c r="AE510" i="13"/>
  <c r="D510" i="13"/>
  <c r="C510" i="13"/>
  <c r="AF509" i="13"/>
  <c r="AE509" i="13"/>
  <c r="D509" i="13"/>
  <c r="C509" i="13"/>
  <c r="AF508" i="13"/>
  <c r="AE508" i="13"/>
  <c r="D508" i="13"/>
  <c r="C508" i="13"/>
  <c r="AF507" i="13"/>
  <c r="AE507" i="13"/>
  <c r="D507" i="13"/>
  <c r="C507" i="13"/>
  <c r="AF506" i="13"/>
  <c r="AE506" i="13"/>
  <c r="D506" i="13"/>
  <c r="C506" i="13"/>
  <c r="AF505" i="13"/>
  <c r="AE505" i="13"/>
  <c r="D505" i="13"/>
  <c r="C505" i="13"/>
  <c r="AF504" i="13"/>
  <c r="AE504" i="13"/>
  <c r="D504" i="13"/>
  <c r="C504" i="13"/>
  <c r="AF503" i="13"/>
  <c r="AE503" i="13"/>
  <c r="D503" i="13"/>
  <c r="C503" i="13"/>
  <c r="AF502" i="13"/>
  <c r="AE502" i="13"/>
  <c r="D502" i="13"/>
  <c r="C502" i="13"/>
  <c r="AF501" i="13"/>
  <c r="AE501" i="13"/>
  <c r="D501" i="13"/>
  <c r="C501" i="13"/>
  <c r="AF500" i="13"/>
  <c r="AE500" i="13"/>
  <c r="D500" i="13"/>
  <c r="C500" i="13"/>
  <c r="AF499" i="13"/>
  <c r="AE499" i="13"/>
  <c r="D499" i="13"/>
  <c r="C499" i="13"/>
  <c r="AF498" i="13"/>
  <c r="AE498" i="13"/>
  <c r="D498" i="13"/>
  <c r="C498" i="13"/>
  <c r="AF497" i="13"/>
  <c r="AE497" i="13"/>
  <c r="D497" i="13"/>
  <c r="C497" i="13"/>
  <c r="AF496" i="13"/>
  <c r="AE496" i="13"/>
  <c r="D496" i="13"/>
  <c r="C496" i="13"/>
  <c r="AF495" i="13"/>
  <c r="AE495" i="13"/>
  <c r="D495" i="13"/>
  <c r="C495" i="13"/>
  <c r="AF494" i="13"/>
  <c r="AE494" i="13"/>
  <c r="D494" i="13"/>
  <c r="C494" i="13"/>
  <c r="AF493" i="13"/>
  <c r="AE493" i="13"/>
  <c r="D493" i="13"/>
  <c r="C493" i="13"/>
  <c r="AF492" i="13"/>
  <c r="AE492" i="13"/>
  <c r="D492" i="13"/>
  <c r="C492" i="13"/>
  <c r="AF491" i="13"/>
  <c r="AE491" i="13"/>
  <c r="D491" i="13"/>
  <c r="C491" i="13"/>
  <c r="AF490" i="13"/>
  <c r="AE490" i="13"/>
  <c r="D490" i="13"/>
  <c r="C490" i="13"/>
  <c r="AF489" i="13"/>
  <c r="AE489" i="13"/>
  <c r="D489" i="13"/>
  <c r="C489" i="13"/>
  <c r="AF488" i="13"/>
  <c r="AE488" i="13"/>
  <c r="D488" i="13"/>
  <c r="C488" i="13"/>
  <c r="AF487" i="13"/>
  <c r="AE487" i="13"/>
  <c r="D487" i="13"/>
  <c r="C487" i="13"/>
  <c r="AF486" i="13"/>
  <c r="AE486" i="13"/>
  <c r="D486" i="13"/>
  <c r="C486" i="13"/>
  <c r="AF485" i="13"/>
  <c r="AE485" i="13"/>
  <c r="D485" i="13"/>
  <c r="C485" i="13"/>
  <c r="AF484" i="13"/>
  <c r="AE484" i="13"/>
  <c r="D484" i="13"/>
  <c r="C484" i="13"/>
  <c r="AF483" i="13"/>
  <c r="AE483" i="13"/>
  <c r="D483" i="13"/>
  <c r="C483" i="13"/>
  <c r="AF482" i="13"/>
  <c r="AE482" i="13"/>
  <c r="D482" i="13"/>
  <c r="C482" i="13"/>
  <c r="AF481" i="13"/>
  <c r="AE481" i="13"/>
  <c r="D481" i="13"/>
  <c r="C481" i="13"/>
  <c r="AF480" i="13"/>
  <c r="AE480" i="13"/>
  <c r="D480" i="13"/>
  <c r="C480" i="13"/>
  <c r="AF479" i="13"/>
  <c r="AE479" i="13"/>
  <c r="D479" i="13"/>
  <c r="C479" i="13"/>
  <c r="AF478" i="13"/>
  <c r="AE478" i="13"/>
  <c r="D478" i="13"/>
  <c r="C478" i="13"/>
  <c r="AF477" i="13"/>
  <c r="AE477" i="13"/>
  <c r="D477" i="13"/>
  <c r="C477" i="13"/>
  <c r="AF476" i="13"/>
  <c r="AE476" i="13"/>
  <c r="D476" i="13"/>
  <c r="C476" i="13"/>
  <c r="AF475" i="13"/>
  <c r="AE475" i="13"/>
  <c r="D475" i="13"/>
  <c r="C475" i="13"/>
  <c r="AF474" i="13"/>
  <c r="AE474" i="13"/>
  <c r="D474" i="13"/>
  <c r="C474" i="13"/>
  <c r="AF473" i="13"/>
  <c r="AE473" i="13"/>
  <c r="D473" i="13"/>
  <c r="C473" i="13"/>
  <c r="AF472" i="13"/>
  <c r="AE472" i="13"/>
  <c r="D472" i="13"/>
  <c r="C472" i="13"/>
  <c r="AF471" i="13"/>
  <c r="AE471" i="13"/>
  <c r="D471" i="13"/>
  <c r="C471" i="13"/>
  <c r="AF470" i="13"/>
  <c r="AE470" i="13"/>
  <c r="D470" i="13"/>
  <c r="C470" i="13"/>
  <c r="AF469" i="13"/>
  <c r="AE469" i="13"/>
  <c r="D469" i="13"/>
  <c r="C469" i="13"/>
  <c r="AF468" i="13"/>
  <c r="AE468" i="13"/>
  <c r="D468" i="13"/>
  <c r="C468" i="13"/>
  <c r="AF467" i="13"/>
  <c r="AE467" i="13"/>
  <c r="D467" i="13"/>
  <c r="C467" i="13"/>
  <c r="AF466" i="13"/>
  <c r="AE466" i="13"/>
  <c r="D466" i="13"/>
  <c r="C466" i="13"/>
  <c r="AF465" i="13"/>
  <c r="AE465" i="13"/>
  <c r="D465" i="13"/>
  <c r="C465" i="13"/>
  <c r="AF464" i="13"/>
  <c r="AE464" i="13"/>
  <c r="D464" i="13"/>
  <c r="C464" i="13"/>
  <c r="AF463" i="13"/>
  <c r="AE463" i="13"/>
  <c r="D463" i="13"/>
  <c r="C463" i="13"/>
  <c r="AF462" i="13"/>
  <c r="AE462" i="13"/>
  <c r="D462" i="13"/>
  <c r="C462" i="13"/>
  <c r="AF461" i="13"/>
  <c r="AE461" i="13"/>
  <c r="D461" i="13"/>
  <c r="C461" i="13"/>
  <c r="AF460" i="13"/>
  <c r="AE460" i="13"/>
  <c r="D460" i="13"/>
  <c r="C460" i="13"/>
  <c r="AF459" i="13"/>
  <c r="AE459" i="13"/>
  <c r="D459" i="13"/>
  <c r="C459" i="13"/>
  <c r="AF458" i="13"/>
  <c r="AE458" i="13"/>
  <c r="D458" i="13"/>
  <c r="C458" i="13"/>
  <c r="AF457" i="13"/>
  <c r="AE457" i="13"/>
  <c r="D457" i="13"/>
  <c r="C457" i="13"/>
  <c r="AF456" i="13"/>
  <c r="AE456" i="13"/>
  <c r="D456" i="13"/>
  <c r="C456" i="13"/>
  <c r="AF455" i="13"/>
  <c r="AE455" i="13"/>
  <c r="D455" i="13"/>
  <c r="C455" i="13"/>
  <c r="AF454" i="13"/>
  <c r="AE454" i="13"/>
  <c r="D454" i="13"/>
  <c r="C454" i="13"/>
  <c r="AF453" i="13"/>
  <c r="AE453" i="13"/>
  <c r="D453" i="13"/>
  <c r="C453" i="13"/>
  <c r="AF452" i="13"/>
  <c r="AE452" i="13"/>
  <c r="D452" i="13"/>
  <c r="C452" i="13"/>
  <c r="AF451" i="13"/>
  <c r="AE451" i="13"/>
  <c r="D451" i="13"/>
  <c r="C451" i="13"/>
  <c r="AF450" i="13"/>
  <c r="AE450" i="13"/>
  <c r="D450" i="13"/>
  <c r="C450" i="13"/>
  <c r="AF449" i="13"/>
  <c r="AE449" i="13"/>
  <c r="D449" i="13"/>
  <c r="C449" i="13"/>
  <c r="AF448" i="13"/>
  <c r="AE448" i="13"/>
  <c r="D448" i="13"/>
  <c r="C448" i="13"/>
  <c r="AF447" i="13"/>
  <c r="AE447" i="13"/>
  <c r="D447" i="13"/>
  <c r="C447" i="13"/>
  <c r="AF446" i="13"/>
  <c r="AE446" i="13"/>
  <c r="D446" i="13"/>
  <c r="C446" i="13"/>
  <c r="AF445" i="13"/>
  <c r="AE445" i="13"/>
  <c r="D445" i="13"/>
  <c r="C445" i="13"/>
  <c r="AF444" i="13"/>
  <c r="AE444" i="13"/>
  <c r="D444" i="13"/>
  <c r="C444" i="13"/>
  <c r="AF443" i="13"/>
  <c r="AE443" i="13"/>
  <c r="D443" i="13"/>
  <c r="C443" i="13"/>
  <c r="AF442" i="13"/>
  <c r="AE442" i="13"/>
  <c r="D442" i="13"/>
  <c r="C442" i="13"/>
  <c r="AF441" i="13"/>
  <c r="AE441" i="13"/>
  <c r="D441" i="13"/>
  <c r="C441" i="13"/>
  <c r="AF440" i="13"/>
  <c r="AE440" i="13"/>
  <c r="D440" i="13"/>
  <c r="C440" i="13"/>
  <c r="AF439" i="13"/>
  <c r="AE439" i="13"/>
  <c r="D439" i="13"/>
  <c r="C439" i="13"/>
  <c r="AF438" i="13"/>
  <c r="AE438" i="13"/>
  <c r="D438" i="13"/>
  <c r="C438" i="13"/>
  <c r="AF437" i="13"/>
  <c r="AE437" i="13"/>
  <c r="D437" i="13"/>
  <c r="C437" i="13"/>
  <c r="AF436" i="13"/>
  <c r="AE436" i="13"/>
  <c r="D436" i="13"/>
  <c r="C436" i="13"/>
  <c r="AF435" i="13"/>
  <c r="AE435" i="13"/>
  <c r="D435" i="13"/>
  <c r="C435" i="13"/>
  <c r="AF434" i="13"/>
  <c r="AE434" i="13"/>
  <c r="D434" i="13"/>
  <c r="C434" i="13"/>
  <c r="AF433" i="13"/>
  <c r="AE433" i="13"/>
  <c r="D433" i="13"/>
  <c r="C433" i="13"/>
  <c r="AF432" i="13"/>
  <c r="AE432" i="13"/>
  <c r="D432" i="13"/>
  <c r="C432" i="13"/>
  <c r="AF431" i="13"/>
  <c r="AE431" i="13"/>
  <c r="D431" i="13"/>
  <c r="C431" i="13"/>
  <c r="AF430" i="13"/>
  <c r="AE430" i="13"/>
  <c r="D430" i="13"/>
  <c r="C430" i="13"/>
  <c r="AF429" i="13"/>
  <c r="AE429" i="13"/>
  <c r="W429" i="13"/>
  <c r="V429" i="13"/>
  <c r="D429" i="13"/>
  <c r="C429" i="13"/>
  <c r="AF428" i="13"/>
  <c r="AE428" i="13"/>
  <c r="W428" i="13"/>
  <c r="V428" i="13"/>
  <c r="D428" i="13"/>
  <c r="C428" i="13"/>
  <c r="AF427" i="13"/>
  <c r="AE427" i="13"/>
  <c r="W427" i="13"/>
  <c r="V427" i="13"/>
  <c r="D427" i="13"/>
  <c r="C427" i="13"/>
  <c r="AF426" i="13"/>
  <c r="AE426" i="13"/>
  <c r="W426" i="13"/>
  <c r="V426" i="13"/>
  <c r="D426" i="13"/>
  <c r="C426" i="13"/>
  <c r="AF425" i="13"/>
  <c r="AE425" i="13"/>
  <c r="W425" i="13"/>
  <c r="V425" i="13"/>
  <c r="D425" i="13"/>
  <c r="C425" i="13"/>
  <c r="AF424" i="13"/>
  <c r="AE424" i="13"/>
  <c r="W424" i="13"/>
  <c r="V424" i="13"/>
  <c r="D424" i="13"/>
  <c r="C424" i="13"/>
  <c r="AF423" i="13"/>
  <c r="AE423" i="13"/>
  <c r="W423" i="13"/>
  <c r="V423" i="13"/>
  <c r="D423" i="13"/>
  <c r="C423" i="13"/>
  <c r="AF422" i="13"/>
  <c r="AE422" i="13"/>
  <c r="W422" i="13"/>
  <c r="V422" i="13"/>
  <c r="U422" i="13"/>
  <c r="D422" i="13"/>
  <c r="C422" i="13"/>
  <c r="AF421" i="13"/>
  <c r="AE421" i="13"/>
  <c r="W421" i="13"/>
  <c r="V421" i="13"/>
  <c r="U421" i="13"/>
  <c r="D421" i="13"/>
  <c r="C421" i="13"/>
  <c r="AF420" i="13"/>
  <c r="AE420" i="13"/>
  <c r="W420" i="13"/>
  <c r="V420" i="13"/>
  <c r="U420" i="13"/>
  <c r="D420" i="13"/>
  <c r="C420" i="13"/>
  <c r="AH418" i="13"/>
  <c r="D418" i="13" s="1"/>
  <c r="C418" i="13"/>
  <c r="Y417" i="13"/>
  <c r="W417" i="13"/>
  <c r="V417" i="13"/>
  <c r="U417" i="13"/>
  <c r="D417" i="13"/>
  <c r="C417" i="13"/>
  <c r="Y416" i="13"/>
  <c r="D416" i="13" s="1"/>
  <c r="W416" i="13"/>
  <c r="V416" i="13"/>
  <c r="U416" i="13"/>
  <c r="C416" i="13"/>
  <c r="AA415" i="13"/>
  <c r="Z415" i="13"/>
  <c r="W415" i="13"/>
  <c r="V415" i="13"/>
  <c r="U415" i="13"/>
  <c r="D415" i="13"/>
  <c r="C415" i="13"/>
  <c r="Y414" i="13"/>
  <c r="D414" i="13" s="1"/>
  <c r="W414" i="13"/>
  <c r="V414" i="13"/>
  <c r="U414" i="13"/>
  <c r="C414" i="13"/>
  <c r="Y413" i="13"/>
  <c r="D413" i="13" s="1"/>
  <c r="W413" i="13"/>
  <c r="V413" i="13"/>
  <c r="U413" i="13"/>
  <c r="C413" i="13"/>
  <c r="Y412" i="13"/>
  <c r="D412" i="13" s="1"/>
  <c r="W412" i="13"/>
  <c r="V412" i="13"/>
  <c r="U412" i="13"/>
  <c r="C412" i="13"/>
  <c r="Y411" i="13"/>
  <c r="W411" i="13"/>
  <c r="V411" i="13"/>
  <c r="U411" i="13"/>
  <c r="D411" i="13"/>
  <c r="C411" i="13"/>
  <c r="AA410" i="13"/>
  <c r="Z410" i="13"/>
  <c r="W410" i="13"/>
  <c r="V410" i="13"/>
  <c r="U410" i="13"/>
  <c r="D410" i="13"/>
  <c r="C410" i="13"/>
  <c r="AA409" i="13"/>
  <c r="Z409" i="13"/>
  <c r="W409" i="13"/>
  <c r="V409" i="13"/>
  <c r="U409" i="13"/>
  <c r="D409" i="13"/>
  <c r="C409" i="13"/>
  <c r="Y408" i="13"/>
  <c r="D408" i="13" s="1"/>
  <c r="W408" i="13"/>
  <c r="V408" i="13"/>
  <c r="U408" i="13"/>
  <c r="C408" i="13"/>
  <c r="Y407" i="13"/>
  <c r="W407" i="13"/>
  <c r="V407" i="13"/>
  <c r="U407" i="13"/>
  <c r="D407" i="13"/>
  <c r="C407" i="13"/>
  <c r="Y406" i="13"/>
  <c r="D406" i="13" s="1"/>
  <c r="W406" i="13"/>
  <c r="V406" i="13"/>
  <c r="U406" i="13"/>
  <c r="C406" i="13"/>
  <c r="W405" i="13"/>
  <c r="V405" i="13"/>
  <c r="U405" i="13"/>
  <c r="D405" i="13"/>
  <c r="C405" i="13"/>
  <c r="W404" i="13"/>
  <c r="V404" i="13"/>
  <c r="U404" i="13"/>
  <c r="D404" i="13"/>
  <c r="C404" i="13"/>
  <c r="W403" i="13"/>
  <c r="V403" i="13"/>
  <c r="U403" i="13"/>
  <c r="D403" i="13"/>
  <c r="C403" i="13"/>
  <c r="W402" i="13"/>
  <c r="V402" i="13"/>
  <c r="U402" i="13"/>
  <c r="D402" i="13"/>
  <c r="C402" i="13"/>
  <c r="W401" i="13"/>
  <c r="V401" i="13"/>
  <c r="U401" i="13"/>
  <c r="D401" i="13"/>
  <c r="C401" i="13"/>
  <c r="W400" i="13"/>
  <c r="V400" i="13"/>
  <c r="U400" i="13"/>
  <c r="D400" i="13"/>
  <c r="C400" i="13"/>
  <c r="W399" i="13"/>
  <c r="V399" i="13"/>
  <c r="U399" i="13"/>
  <c r="D399" i="13"/>
  <c r="C399" i="13"/>
  <c r="W398" i="13"/>
  <c r="V398" i="13"/>
  <c r="U398" i="13"/>
  <c r="D398" i="13"/>
  <c r="C398" i="13"/>
  <c r="W397" i="13"/>
  <c r="V397" i="13"/>
  <c r="U397" i="13"/>
  <c r="D397" i="13"/>
  <c r="C397" i="13"/>
  <c r="W396" i="13"/>
  <c r="V396" i="13"/>
  <c r="U396" i="13"/>
  <c r="D396" i="13"/>
  <c r="C396" i="13"/>
  <c r="W395" i="13"/>
  <c r="V395" i="13"/>
  <c r="U395" i="13"/>
  <c r="D395" i="13"/>
  <c r="C395" i="13"/>
  <c r="W394" i="13"/>
  <c r="V394" i="13"/>
  <c r="U394" i="13"/>
  <c r="D394" i="13"/>
  <c r="C394" i="13"/>
  <c r="W393" i="13"/>
  <c r="V393" i="13"/>
  <c r="U393" i="13"/>
  <c r="D393" i="13"/>
  <c r="C393" i="13"/>
  <c r="W392" i="13"/>
  <c r="V392" i="13"/>
  <c r="U392" i="13"/>
  <c r="D392" i="13"/>
  <c r="C392" i="13"/>
  <c r="W391" i="13"/>
  <c r="V391" i="13"/>
  <c r="U391" i="13"/>
  <c r="D391" i="13"/>
  <c r="C391" i="13"/>
  <c r="W390" i="13"/>
  <c r="V390" i="13"/>
  <c r="U390" i="13"/>
  <c r="D390" i="13"/>
  <c r="C390" i="13"/>
  <c r="W389" i="13"/>
  <c r="V389" i="13"/>
  <c r="U389" i="13"/>
  <c r="D389" i="13"/>
  <c r="C389" i="13"/>
  <c r="W388" i="13"/>
  <c r="V388" i="13"/>
  <c r="U388" i="13"/>
  <c r="D388" i="13"/>
  <c r="C388" i="13"/>
  <c r="W387" i="13"/>
  <c r="V387" i="13"/>
  <c r="U387" i="13"/>
  <c r="D387" i="13"/>
  <c r="C387" i="13"/>
  <c r="W386" i="13"/>
  <c r="U386" i="13"/>
  <c r="D386" i="13"/>
  <c r="C386" i="13"/>
  <c r="W385" i="13"/>
  <c r="U385" i="13"/>
  <c r="D385" i="13"/>
  <c r="C385" i="13"/>
  <c r="W384" i="13"/>
  <c r="U384" i="13"/>
  <c r="D384" i="13"/>
  <c r="C384" i="13"/>
  <c r="W383" i="13"/>
  <c r="U383" i="13"/>
  <c r="D383" i="13"/>
  <c r="C383" i="13"/>
  <c r="W382" i="13"/>
  <c r="U382" i="13"/>
  <c r="D382" i="13"/>
  <c r="C382" i="13"/>
  <c r="W381" i="13"/>
  <c r="U381" i="13"/>
  <c r="D381" i="13"/>
  <c r="C381" i="13"/>
  <c r="W380" i="13"/>
  <c r="U380" i="13"/>
  <c r="D380" i="13"/>
  <c r="C380" i="13"/>
  <c r="W379" i="13"/>
  <c r="U379" i="13"/>
  <c r="D379" i="13"/>
  <c r="C379" i="13"/>
  <c r="W378" i="13"/>
  <c r="U378" i="13"/>
  <c r="D378" i="13"/>
  <c r="C378" i="13"/>
  <c r="W377" i="13"/>
  <c r="U377" i="13"/>
  <c r="D377" i="13"/>
  <c r="C377" i="13"/>
  <c r="W376" i="13"/>
  <c r="U376" i="13"/>
  <c r="D376" i="13"/>
  <c r="C376" i="13"/>
  <c r="W375" i="13"/>
  <c r="U375" i="13"/>
  <c r="D375" i="13"/>
  <c r="C375" i="13"/>
  <c r="W374" i="13"/>
  <c r="U374" i="13"/>
  <c r="D374" i="13"/>
  <c r="C374" i="13"/>
  <c r="W373" i="13"/>
  <c r="U373" i="13"/>
  <c r="D373" i="13"/>
  <c r="C373" i="13"/>
  <c r="W372" i="13"/>
  <c r="U372" i="13"/>
  <c r="D372" i="13"/>
  <c r="C372" i="13"/>
  <c r="W371" i="13"/>
  <c r="U371" i="13"/>
  <c r="D371" i="13"/>
  <c r="C371" i="13"/>
  <c r="W370" i="13"/>
  <c r="D370" i="13"/>
  <c r="C370" i="13"/>
  <c r="W369" i="13"/>
  <c r="D369" i="13"/>
  <c r="C369" i="13"/>
  <c r="W368" i="13"/>
  <c r="D368" i="13"/>
  <c r="C368" i="13"/>
  <c r="W367" i="13"/>
  <c r="D367" i="13"/>
  <c r="C367" i="13"/>
  <c r="W366" i="13"/>
  <c r="D366" i="13"/>
  <c r="C366" i="13"/>
  <c r="W365" i="13"/>
  <c r="D365" i="13"/>
  <c r="C365" i="13"/>
  <c r="W364" i="13"/>
  <c r="D364" i="13"/>
  <c r="C364" i="13"/>
  <c r="W363" i="13"/>
  <c r="D363" i="13"/>
  <c r="C363" i="13"/>
  <c r="W362" i="13"/>
  <c r="D362" i="13"/>
  <c r="C362" i="13"/>
  <c r="W361" i="13"/>
  <c r="D361" i="13"/>
  <c r="C361" i="13"/>
  <c r="W360" i="13"/>
  <c r="D360" i="13"/>
  <c r="C360" i="13"/>
  <c r="W359" i="13"/>
  <c r="V359" i="13"/>
  <c r="D359" i="13"/>
  <c r="C359" i="13"/>
  <c r="W358" i="13"/>
  <c r="V358" i="13"/>
  <c r="R358" i="13"/>
  <c r="Q358" i="13"/>
  <c r="D358" i="13"/>
  <c r="C358" i="13"/>
  <c r="W357" i="13"/>
  <c r="V357" i="13"/>
  <c r="R357" i="13"/>
  <c r="Q357" i="13"/>
  <c r="D357" i="13"/>
  <c r="C357" i="13"/>
  <c r="W356" i="13"/>
  <c r="V356" i="13"/>
  <c r="R356" i="13"/>
  <c r="Q356" i="13"/>
  <c r="D356" i="13"/>
  <c r="C356" i="13"/>
  <c r="W355" i="13"/>
  <c r="V355" i="13"/>
  <c r="R355" i="13"/>
  <c r="Q355" i="13"/>
  <c r="D355" i="13"/>
  <c r="C355" i="13"/>
  <c r="R354" i="13"/>
  <c r="Q354" i="13"/>
  <c r="D354" i="13"/>
  <c r="C354" i="13"/>
  <c r="R353" i="13"/>
  <c r="Q353" i="13"/>
  <c r="D353" i="13"/>
  <c r="C353" i="13"/>
  <c r="R352" i="13"/>
  <c r="Q352" i="13"/>
  <c r="D352" i="13"/>
  <c r="C352" i="13"/>
  <c r="R351" i="13"/>
  <c r="Q351" i="13"/>
  <c r="D351" i="13"/>
  <c r="C351" i="13"/>
  <c r="R350" i="13"/>
  <c r="Q350" i="13"/>
  <c r="D350" i="13"/>
  <c r="C350" i="13"/>
  <c r="R349" i="13"/>
  <c r="Q349" i="13"/>
  <c r="D349" i="13"/>
  <c r="C349" i="13"/>
  <c r="R348" i="13"/>
  <c r="Q348" i="13"/>
  <c r="D348" i="13"/>
  <c r="C348" i="13"/>
  <c r="R347" i="13"/>
  <c r="Q347" i="13"/>
  <c r="D347" i="13"/>
  <c r="C347" i="13"/>
  <c r="R346" i="13"/>
  <c r="Q346" i="13"/>
  <c r="D346" i="13"/>
  <c r="C346" i="13"/>
  <c r="D345" i="13"/>
  <c r="C345" i="13"/>
  <c r="J344" i="13"/>
  <c r="D344" i="13" s="1"/>
  <c r="C344" i="13"/>
  <c r="D343" i="13"/>
  <c r="C343" i="13"/>
  <c r="AH342" i="13"/>
  <c r="AC342" i="13"/>
  <c r="T342" i="13"/>
  <c r="O342" i="13"/>
  <c r="J342" i="13"/>
  <c r="C342" i="13"/>
  <c r="J341" i="13"/>
  <c r="D341" i="13" s="1"/>
  <c r="C341" i="13"/>
  <c r="J340" i="13"/>
  <c r="D340" i="13" s="1"/>
  <c r="C340" i="13"/>
  <c r="J339" i="13"/>
  <c r="D339" i="13" s="1"/>
  <c r="C339" i="13"/>
  <c r="J338" i="13"/>
  <c r="D338" i="13" s="1"/>
  <c r="C338" i="13"/>
  <c r="J337" i="13"/>
  <c r="D337" i="13" s="1"/>
  <c r="C337" i="13"/>
  <c r="J336" i="13"/>
  <c r="D336" i="13" s="1"/>
  <c r="C336" i="13"/>
  <c r="J335" i="13"/>
  <c r="D335" i="13" s="1"/>
  <c r="C335" i="13"/>
  <c r="J334" i="13"/>
  <c r="D334" i="13" s="1"/>
  <c r="C334" i="13"/>
  <c r="J333" i="13"/>
  <c r="D333" i="13" s="1"/>
  <c r="C333" i="13"/>
  <c r="AH332" i="13"/>
  <c r="AC332" i="13"/>
  <c r="Y332" i="13"/>
  <c r="T332" i="13"/>
  <c r="O332" i="13"/>
  <c r="J332" i="13"/>
  <c r="F332" i="13"/>
  <c r="AC331" i="13"/>
  <c r="Y331" i="13"/>
  <c r="T331" i="13"/>
  <c r="J331" i="13"/>
  <c r="F331" i="13"/>
  <c r="C331" i="13"/>
  <c r="F330" i="13"/>
  <c r="D330" i="13" s="1"/>
  <c r="C330" i="13"/>
  <c r="F329" i="13"/>
  <c r="D329" i="13" s="1"/>
  <c r="C329" i="13"/>
  <c r="F328" i="13"/>
  <c r="D328" i="13" s="1"/>
  <c r="C328" i="13"/>
  <c r="F327" i="13"/>
  <c r="D327" i="13" s="1"/>
  <c r="C327" i="13"/>
  <c r="F326" i="13"/>
  <c r="D326" i="13" s="1"/>
  <c r="C326" i="13"/>
  <c r="F325" i="13"/>
  <c r="D325" i="13" s="1"/>
  <c r="C325" i="13"/>
  <c r="F324" i="13"/>
  <c r="D324" i="13" s="1"/>
  <c r="C324" i="13"/>
  <c r="F323" i="13"/>
  <c r="D323" i="13" s="1"/>
  <c r="C323" i="13"/>
  <c r="F322" i="13"/>
  <c r="D322" i="13" s="1"/>
  <c r="C322" i="13"/>
  <c r="F321" i="13"/>
  <c r="D321" i="13" s="1"/>
  <c r="C321" i="13"/>
  <c r="F320" i="13"/>
  <c r="D320" i="13" s="1"/>
  <c r="C320" i="13"/>
  <c r="F319" i="13"/>
  <c r="D319" i="13" s="1"/>
  <c r="C319" i="13"/>
  <c r="F318" i="13"/>
  <c r="D318" i="13" s="1"/>
  <c r="C318" i="13"/>
  <c r="F317" i="13"/>
  <c r="D317" i="13" s="1"/>
  <c r="C317" i="13"/>
  <c r="F316" i="13"/>
  <c r="D316" i="13" s="1"/>
  <c r="C316" i="13"/>
  <c r="F315" i="13"/>
  <c r="D315" i="13" s="1"/>
  <c r="C315" i="13"/>
  <c r="F314" i="13"/>
  <c r="D314" i="13" s="1"/>
  <c r="C314" i="13"/>
  <c r="F313" i="13"/>
  <c r="D313" i="13" s="1"/>
  <c r="C313" i="13"/>
  <c r="F312" i="13"/>
  <c r="D312" i="13" s="1"/>
  <c r="C312" i="13"/>
  <c r="F311" i="13"/>
  <c r="D311" i="13" s="1"/>
  <c r="C311" i="13"/>
  <c r="F310" i="13"/>
  <c r="D310" i="13" s="1"/>
  <c r="C310" i="13"/>
  <c r="F309" i="13"/>
  <c r="D309" i="13" s="1"/>
  <c r="C309" i="13"/>
  <c r="F308" i="13"/>
  <c r="D308" i="13" s="1"/>
  <c r="C308" i="13"/>
  <c r="F307" i="13"/>
  <c r="D307" i="13" s="1"/>
  <c r="C307" i="13"/>
  <c r="F306" i="13"/>
  <c r="D306" i="13" s="1"/>
  <c r="C306" i="13"/>
  <c r="F305" i="13"/>
  <c r="D305" i="13" s="1"/>
  <c r="C305" i="13"/>
  <c r="F304" i="13"/>
  <c r="D304" i="13" s="1"/>
  <c r="C304" i="13"/>
  <c r="F303" i="13"/>
  <c r="D303" i="13" s="1"/>
  <c r="C303" i="13"/>
  <c r="F302" i="13"/>
  <c r="D302" i="13" s="1"/>
  <c r="C302" i="13"/>
  <c r="F301" i="13"/>
  <c r="C301" i="13"/>
  <c r="AK299" i="13"/>
  <c r="AJ299" i="13"/>
  <c r="AG299" i="13"/>
  <c r="AF299" i="13"/>
  <c r="AE299" i="13"/>
  <c r="AD299" i="13"/>
  <c r="AB299" i="13"/>
  <c r="AA299" i="13"/>
  <c r="Z299" i="13"/>
  <c r="X299" i="13"/>
  <c r="W299" i="13"/>
  <c r="V299" i="13"/>
  <c r="U299" i="13"/>
  <c r="T299" i="13"/>
  <c r="S299" i="13"/>
  <c r="R299" i="13"/>
  <c r="Q299" i="13"/>
  <c r="P299" i="13"/>
  <c r="O299" i="13"/>
  <c r="N299" i="13"/>
  <c r="M299" i="13"/>
  <c r="L299" i="13"/>
  <c r="K299" i="13"/>
  <c r="I299" i="13"/>
  <c r="E299" i="13"/>
  <c r="AH298" i="13"/>
  <c r="D298" i="13" s="1"/>
  <c r="J297" i="13"/>
  <c r="D297" i="13" s="1"/>
  <c r="AH296" i="13"/>
  <c r="C296" i="13"/>
  <c r="D295" i="13"/>
  <c r="D294" i="13"/>
  <c r="C294" i="13"/>
  <c r="D293" i="13"/>
  <c r="D292" i="13"/>
  <c r="C292" i="13"/>
  <c r="AC291" i="13"/>
  <c r="D291" i="13" s="1"/>
  <c r="Y290" i="13"/>
  <c r="D290" i="13" s="1"/>
  <c r="AC289" i="13"/>
  <c r="D289" i="13" s="1"/>
  <c r="AC288" i="13"/>
  <c r="Y288" i="13"/>
  <c r="C288" i="13"/>
  <c r="AC287" i="13"/>
  <c r="D287" i="13" s="1"/>
  <c r="AC286" i="13"/>
  <c r="Y286" i="13"/>
  <c r="C286" i="13"/>
  <c r="AC285" i="13"/>
  <c r="D285" i="13" s="1"/>
  <c r="Y284" i="13"/>
  <c r="J283" i="13"/>
  <c r="D283" i="13" s="1"/>
  <c r="J282" i="13"/>
  <c r="D282" i="13" s="1"/>
  <c r="C282" i="13"/>
  <c r="J281" i="13"/>
  <c r="D281" i="13" s="1"/>
  <c r="J280" i="13"/>
  <c r="D280" i="13" s="1"/>
  <c r="C280" i="13"/>
  <c r="J279" i="13"/>
  <c r="D279" i="13" s="1"/>
  <c r="J278" i="13"/>
  <c r="D278" i="13" s="1"/>
  <c r="C278" i="13"/>
  <c r="D277" i="13"/>
  <c r="D276" i="13"/>
  <c r="F275" i="13"/>
  <c r="D275" i="13" s="1"/>
  <c r="F274" i="13"/>
  <c r="F273" i="13"/>
  <c r="H272" i="13"/>
  <c r="H299" i="13" s="1"/>
  <c r="G272" i="13"/>
  <c r="C272" i="13"/>
  <c r="AH268" i="13"/>
  <c r="D268" i="13" s="1"/>
  <c r="AH267" i="13"/>
  <c r="D267" i="13" s="1"/>
  <c r="AH266" i="13"/>
  <c r="D266" i="13" s="1"/>
  <c r="AH265" i="13"/>
  <c r="AH264" i="13"/>
  <c r="D264" i="13" s="1"/>
  <c r="AH263" i="13"/>
  <c r="D263" i="13" s="1"/>
  <c r="AH262" i="13"/>
  <c r="D262" i="13" s="1"/>
  <c r="AH261" i="13"/>
  <c r="D261" i="13" s="1"/>
  <c r="AH260" i="13"/>
  <c r="D260" i="13" s="1"/>
  <c r="AH259" i="13"/>
  <c r="D259" i="13" s="1"/>
  <c r="AH258" i="13"/>
  <c r="D258" i="13" s="1"/>
  <c r="AC257" i="13"/>
  <c r="AC270" i="13" s="1"/>
  <c r="AC588" i="13" s="1"/>
  <c r="AC256" i="13"/>
  <c r="D256" i="13" s="1"/>
  <c r="AC255" i="13"/>
  <c r="D255" i="13" s="1"/>
  <c r="AC254" i="13"/>
  <c r="D254" i="13" s="1"/>
  <c r="AC253" i="13"/>
  <c r="D253" i="13" s="1"/>
  <c r="AC252" i="13"/>
  <c r="D252" i="13" s="1"/>
  <c r="AH251" i="13"/>
  <c r="AC251" i="13"/>
  <c r="AH250" i="13"/>
  <c r="AC250" i="13"/>
  <c r="AH249" i="13"/>
  <c r="D249" i="13" s="1"/>
  <c r="AH248" i="13"/>
  <c r="D248" i="13" s="1"/>
  <c r="AK247" i="13"/>
  <c r="AK269" i="13" s="1"/>
  <c r="AH246" i="13"/>
  <c r="D246" i="13" s="1"/>
  <c r="AH245" i="13"/>
  <c r="AC245" i="13"/>
  <c r="Y245" i="13"/>
  <c r="AH244" i="13"/>
  <c r="AC244" i="13"/>
  <c r="AH243" i="13"/>
  <c r="AC243" i="13"/>
  <c r="AH242" i="13"/>
  <c r="AC242" i="13"/>
  <c r="F241" i="13"/>
  <c r="D241" i="13" s="1"/>
  <c r="T240" i="13"/>
  <c r="D240" i="13" s="1"/>
  <c r="T239" i="13"/>
  <c r="D239" i="13" s="1"/>
  <c r="T238" i="13"/>
  <c r="D238" i="13" s="1"/>
  <c r="AC237" i="13"/>
  <c r="Y237" i="13"/>
  <c r="W237" i="13"/>
  <c r="W269" i="13" s="1"/>
  <c r="AH236" i="13"/>
  <c r="AC236" i="13"/>
  <c r="O236" i="13"/>
  <c r="O269" i="13" s="1"/>
  <c r="F235" i="13"/>
  <c r="D235" i="13" s="1"/>
  <c r="F234" i="13"/>
  <c r="D234" i="13" s="1"/>
  <c r="D233" i="13"/>
  <c r="D232" i="13"/>
  <c r="D231" i="13"/>
  <c r="D230" i="13"/>
  <c r="AH229" i="13"/>
  <c r="AC229" i="13"/>
  <c r="Y229" i="13"/>
  <c r="L229" i="13"/>
  <c r="L269" i="13" s="1"/>
  <c r="K229" i="13"/>
  <c r="K269" i="13" s="1"/>
  <c r="J229" i="13"/>
  <c r="F228" i="13"/>
  <c r="D228" i="13" s="1"/>
  <c r="F227" i="13"/>
  <c r="D227" i="13" s="1"/>
  <c r="F226" i="13"/>
  <c r="D226" i="13" s="1"/>
  <c r="F225" i="13"/>
  <c r="AD223" i="13"/>
  <c r="D222" i="13"/>
  <c r="AH221" i="13"/>
  <c r="D221" i="13" s="1"/>
  <c r="D220" i="13"/>
  <c r="D219" i="13"/>
  <c r="AH218" i="13"/>
  <c r="AC218" i="13"/>
  <c r="AK217" i="13"/>
  <c r="AA217" i="13"/>
  <c r="Y217" i="13"/>
  <c r="AH216" i="13"/>
  <c r="D216" i="13" s="1"/>
  <c r="AH215" i="13"/>
  <c r="AC215" i="13"/>
  <c r="Y215" i="13"/>
  <c r="D214" i="13"/>
  <c r="D213" i="13"/>
  <c r="AH212" i="13"/>
  <c r="AC212" i="13"/>
  <c r="AK211" i="13"/>
  <c r="AJ211" i="13"/>
  <c r="AG211" i="13"/>
  <c r="AF211" i="13"/>
  <c r="AE211" i="13"/>
  <c r="AB211" i="13"/>
  <c r="AA211" i="13"/>
  <c r="Z211" i="13"/>
  <c r="X211" i="13"/>
  <c r="W211" i="13"/>
  <c r="V211" i="13"/>
  <c r="T211" i="13"/>
  <c r="S211" i="13"/>
  <c r="R211" i="13"/>
  <c r="Q211" i="13"/>
  <c r="O211" i="13"/>
  <c r="N211" i="13"/>
  <c r="M211" i="13"/>
  <c r="L211" i="13"/>
  <c r="J211" i="13"/>
  <c r="I211" i="13"/>
  <c r="H211" i="13"/>
  <c r="G211" i="13"/>
  <c r="F211" i="13"/>
  <c r="D210" i="13"/>
  <c r="D209" i="13"/>
  <c r="D208" i="13"/>
  <c r="D207" i="13"/>
  <c r="AH206" i="13"/>
  <c r="AC206" i="13"/>
  <c r="AC205" i="13" s="1"/>
  <c r="AK205" i="13"/>
  <c r="AJ205" i="13"/>
  <c r="AG205" i="13"/>
  <c r="AF205" i="13"/>
  <c r="AE205" i="13"/>
  <c r="AB205" i="13"/>
  <c r="AA205" i="13"/>
  <c r="Z205" i="13"/>
  <c r="Y205" i="13"/>
  <c r="X205" i="13"/>
  <c r="W205" i="13"/>
  <c r="V205" i="13"/>
  <c r="T205" i="13"/>
  <c r="S205" i="13"/>
  <c r="R205" i="13"/>
  <c r="Q205" i="13"/>
  <c r="O205" i="13"/>
  <c r="N205" i="13"/>
  <c r="M205" i="13"/>
  <c r="L205" i="13"/>
  <c r="J205" i="13"/>
  <c r="I205" i="13"/>
  <c r="H205" i="13"/>
  <c r="G205" i="13"/>
  <c r="F205" i="13"/>
  <c r="D204" i="13"/>
  <c r="D203" i="13"/>
  <c r="D202" i="13"/>
  <c r="AH201" i="13"/>
  <c r="AC201" i="13"/>
  <c r="AH200" i="13"/>
  <c r="AC200" i="13"/>
  <c r="Y200" i="13"/>
  <c r="Y199" i="13" s="1"/>
  <c r="AK199" i="13"/>
  <c r="AJ199" i="13"/>
  <c r="AG199" i="13"/>
  <c r="AF199" i="13"/>
  <c r="AE199" i="13"/>
  <c r="AB199" i="13"/>
  <c r="AA199" i="13"/>
  <c r="Z199" i="13"/>
  <c r="X199" i="13"/>
  <c r="W199" i="13"/>
  <c r="V199" i="13"/>
  <c r="T199" i="13"/>
  <c r="S199" i="13"/>
  <c r="R199" i="13"/>
  <c r="Q199" i="13"/>
  <c r="O199" i="13"/>
  <c r="N199" i="13"/>
  <c r="M199" i="13"/>
  <c r="L199" i="13"/>
  <c r="J199" i="13"/>
  <c r="I199" i="13"/>
  <c r="H199" i="13"/>
  <c r="G199" i="13"/>
  <c r="F199" i="13"/>
  <c r="D198" i="13"/>
  <c r="AH197" i="13"/>
  <c r="AC197" i="13"/>
  <c r="AH196" i="13"/>
  <c r="AC196" i="13"/>
  <c r="AH195" i="13"/>
  <c r="AC195" i="13"/>
  <c r="AH194" i="13"/>
  <c r="AC194" i="13"/>
  <c r="Y194" i="13"/>
  <c r="AK193" i="13"/>
  <c r="AJ193" i="13"/>
  <c r="AF193" i="13"/>
  <c r="AE193" i="13"/>
  <c r="AB193" i="13"/>
  <c r="AA193" i="13"/>
  <c r="Z193" i="13"/>
  <c r="X193" i="13"/>
  <c r="W193" i="13"/>
  <c r="V193" i="13"/>
  <c r="T193" i="13"/>
  <c r="S193" i="13"/>
  <c r="R193" i="13"/>
  <c r="Q193" i="13"/>
  <c r="O193" i="13"/>
  <c r="N193" i="13"/>
  <c r="M193" i="13"/>
  <c r="L193" i="13"/>
  <c r="J193" i="13"/>
  <c r="I193" i="13"/>
  <c r="H193" i="13"/>
  <c r="G193" i="13"/>
  <c r="F193" i="13"/>
  <c r="AH192" i="13"/>
  <c r="AC192" i="13"/>
  <c r="AH191" i="13"/>
  <c r="AC191" i="13"/>
  <c r="Y191" i="13"/>
  <c r="AH190" i="13"/>
  <c r="AC190" i="13"/>
  <c r="AH189" i="13"/>
  <c r="AC189" i="13"/>
  <c r="AH188" i="13"/>
  <c r="AC188" i="13"/>
  <c r="Y188" i="13"/>
  <c r="AK187" i="13"/>
  <c r="AJ187" i="13"/>
  <c r="AF187" i="13"/>
  <c r="AE187" i="13"/>
  <c r="AB187" i="13"/>
  <c r="AA187" i="13"/>
  <c r="Z187" i="13"/>
  <c r="X187" i="13"/>
  <c r="W187" i="13"/>
  <c r="V187" i="13"/>
  <c r="T187" i="13"/>
  <c r="S187" i="13"/>
  <c r="R187" i="13"/>
  <c r="Q187" i="13"/>
  <c r="O187" i="13"/>
  <c r="N187" i="13"/>
  <c r="M187" i="13"/>
  <c r="L187" i="13"/>
  <c r="J187" i="13"/>
  <c r="I187" i="13"/>
  <c r="H187" i="13"/>
  <c r="G187" i="13"/>
  <c r="F187" i="13"/>
  <c r="AH186" i="13"/>
  <c r="D186" i="13" s="1"/>
  <c r="AH185" i="13"/>
  <c r="AC185" i="13"/>
  <c r="AH184" i="13"/>
  <c r="AC184" i="13"/>
  <c r="AH183" i="13"/>
  <c r="AC183" i="13"/>
  <c r="AH182" i="13"/>
  <c r="AC182" i="13"/>
  <c r="Y182" i="13"/>
  <c r="Y181" i="13" s="1"/>
  <c r="AK181" i="13"/>
  <c r="AJ181" i="13"/>
  <c r="AG181" i="13"/>
  <c r="AF181" i="13"/>
  <c r="AE181" i="13"/>
  <c r="AB181" i="13"/>
  <c r="AA181" i="13"/>
  <c r="Z181" i="13"/>
  <c r="X181" i="13"/>
  <c r="W181" i="13"/>
  <c r="V181" i="13"/>
  <c r="T181" i="13"/>
  <c r="S181" i="13"/>
  <c r="R181" i="13"/>
  <c r="Q181" i="13"/>
  <c r="O181" i="13"/>
  <c r="N181" i="13"/>
  <c r="M181" i="13"/>
  <c r="L181" i="13"/>
  <c r="J181" i="13"/>
  <c r="I181" i="13"/>
  <c r="H181" i="13"/>
  <c r="G181" i="13"/>
  <c r="F181" i="13"/>
  <c r="D180" i="13"/>
  <c r="AH179" i="13"/>
  <c r="D179" i="13" s="1"/>
  <c r="D178" i="13"/>
  <c r="D177" i="13"/>
  <c r="AH176" i="13"/>
  <c r="AC176" i="13"/>
  <c r="AC174" i="13" s="1"/>
  <c r="AK174" i="13"/>
  <c r="AJ174" i="13"/>
  <c r="AG174" i="13"/>
  <c r="AF174" i="13"/>
  <c r="AE174" i="13"/>
  <c r="AB174" i="13"/>
  <c r="AA174" i="13"/>
  <c r="Z174" i="13"/>
  <c r="Y174" i="13"/>
  <c r="X174" i="13"/>
  <c r="W174" i="13"/>
  <c r="V174" i="13"/>
  <c r="T174" i="13"/>
  <c r="S174" i="13"/>
  <c r="R174" i="13"/>
  <c r="Q174" i="13"/>
  <c r="O174" i="13"/>
  <c r="N174" i="13"/>
  <c r="M174" i="13"/>
  <c r="L174" i="13"/>
  <c r="J174" i="13"/>
  <c r="I174" i="13"/>
  <c r="H174" i="13"/>
  <c r="G174" i="13"/>
  <c r="F174" i="13"/>
  <c r="AH173" i="13"/>
  <c r="AC173" i="13"/>
  <c r="AH172" i="13"/>
  <c r="AC172" i="13"/>
  <c r="AH171" i="13"/>
  <c r="AC171" i="13"/>
  <c r="AH170" i="13"/>
  <c r="AC170" i="13"/>
  <c r="AH169" i="13"/>
  <c r="AC169" i="13"/>
  <c r="T169" i="13"/>
  <c r="T168" i="13" s="1"/>
  <c r="AK168" i="13"/>
  <c r="AJ168" i="13"/>
  <c r="AG168" i="13"/>
  <c r="AF168" i="13"/>
  <c r="AE168" i="13"/>
  <c r="AA168" i="13"/>
  <c r="Z168" i="13"/>
  <c r="Y168" i="13"/>
  <c r="X168" i="13"/>
  <c r="W168" i="13"/>
  <c r="V168" i="13"/>
  <c r="S168" i="13"/>
  <c r="R168" i="13"/>
  <c r="Q168" i="13"/>
  <c r="O168" i="13"/>
  <c r="N168" i="13"/>
  <c r="M168" i="13"/>
  <c r="L168" i="13"/>
  <c r="J168" i="13"/>
  <c r="I168" i="13"/>
  <c r="H168" i="13"/>
  <c r="G168" i="13"/>
  <c r="F168" i="13"/>
  <c r="D167" i="13"/>
  <c r="D166" i="13"/>
  <c r="D165" i="13"/>
  <c r="D164" i="13"/>
  <c r="D163" i="13"/>
  <c r="AH162" i="13"/>
  <c r="AH161" i="13" s="1"/>
  <c r="AC162" i="13"/>
  <c r="AC161" i="13" s="1"/>
  <c r="AK161" i="13"/>
  <c r="AJ161" i="13"/>
  <c r="AG161" i="13"/>
  <c r="AF161" i="13"/>
  <c r="AE161" i="13"/>
  <c r="AB161" i="13"/>
  <c r="AA161" i="13"/>
  <c r="Z161" i="13"/>
  <c r="Y161" i="13"/>
  <c r="X161" i="13"/>
  <c r="W161" i="13"/>
  <c r="V161" i="13"/>
  <c r="T161" i="13"/>
  <c r="R161" i="13"/>
  <c r="Q161" i="13"/>
  <c r="O161" i="13"/>
  <c r="N161" i="13"/>
  <c r="M161" i="13"/>
  <c r="L161" i="13"/>
  <c r="J161" i="13"/>
  <c r="I161" i="13"/>
  <c r="H161" i="13"/>
  <c r="G161" i="13"/>
  <c r="F161" i="13"/>
  <c r="D160" i="13"/>
  <c r="C160" i="13"/>
  <c r="AH159" i="13"/>
  <c r="AC159" i="13"/>
  <c r="D158" i="13"/>
  <c r="D157" i="13"/>
  <c r="AH156" i="13"/>
  <c r="AH155" i="13" s="1"/>
  <c r="AC156" i="13"/>
  <c r="AK155" i="13"/>
  <c r="AJ155" i="13"/>
  <c r="AG155" i="13"/>
  <c r="AF155" i="13"/>
  <c r="AE155" i="13"/>
  <c r="AB155" i="13"/>
  <c r="AA155" i="13"/>
  <c r="Z155" i="13"/>
  <c r="Y155" i="13"/>
  <c r="X155" i="13"/>
  <c r="W155" i="13"/>
  <c r="V155" i="13"/>
  <c r="T155" i="13"/>
  <c r="S155" i="13"/>
  <c r="R155" i="13"/>
  <c r="Q155" i="13"/>
  <c r="O155" i="13"/>
  <c r="N155" i="13"/>
  <c r="M155" i="13"/>
  <c r="L155" i="13"/>
  <c r="J155" i="13"/>
  <c r="I155" i="13"/>
  <c r="H155" i="13"/>
  <c r="G155" i="13"/>
  <c r="F155" i="13"/>
  <c r="AH154" i="13"/>
  <c r="D154" i="13" s="1"/>
  <c r="AH153" i="13"/>
  <c r="AC153" i="13"/>
  <c r="AH152" i="13"/>
  <c r="AC152" i="13"/>
  <c r="AH151" i="13"/>
  <c r="AC151" i="13"/>
  <c r="AH150" i="13"/>
  <c r="AC150" i="13"/>
  <c r="AK149" i="13"/>
  <c r="AJ149" i="13"/>
  <c r="AG149" i="13"/>
  <c r="AF149" i="13"/>
  <c r="AE149" i="13"/>
  <c r="AB149" i="13"/>
  <c r="AA149" i="13"/>
  <c r="Z149" i="13"/>
  <c r="Y149" i="13"/>
  <c r="X149" i="13"/>
  <c r="W149" i="13"/>
  <c r="V149" i="13"/>
  <c r="T149" i="13"/>
  <c r="S149" i="13"/>
  <c r="R149" i="13"/>
  <c r="Q149" i="13"/>
  <c r="O149" i="13"/>
  <c r="N149" i="13"/>
  <c r="M149" i="13"/>
  <c r="L149" i="13"/>
  <c r="J149" i="13"/>
  <c r="I149" i="13"/>
  <c r="H149" i="13"/>
  <c r="G149" i="13"/>
  <c r="F149" i="13"/>
  <c r="AH146" i="13"/>
  <c r="AH144" i="13" s="1"/>
  <c r="AC146" i="13"/>
  <c r="AC144" i="13" s="1"/>
  <c r="AK144" i="13"/>
  <c r="AJ144" i="13"/>
  <c r="AG144" i="13"/>
  <c r="AF144" i="13"/>
  <c r="AE144" i="13"/>
  <c r="AB144" i="13"/>
  <c r="AA144" i="13"/>
  <c r="Z144" i="13"/>
  <c r="Y144" i="13"/>
  <c r="X144" i="13"/>
  <c r="W144" i="13"/>
  <c r="V144" i="13"/>
  <c r="T144" i="13"/>
  <c r="S144" i="13"/>
  <c r="R144" i="13"/>
  <c r="Q144" i="13"/>
  <c r="O144" i="13"/>
  <c r="N144" i="13"/>
  <c r="M144" i="13"/>
  <c r="L144" i="13"/>
  <c r="J144" i="13"/>
  <c r="I144" i="13"/>
  <c r="H144" i="13"/>
  <c r="G144" i="13"/>
  <c r="F144" i="13"/>
  <c r="Y143" i="13"/>
  <c r="Y141" i="13" s="1"/>
  <c r="J143" i="13"/>
  <c r="D142" i="13"/>
  <c r="AK141" i="13"/>
  <c r="AJ141" i="13"/>
  <c r="AH141" i="13"/>
  <c r="AG141" i="13"/>
  <c r="AF141" i="13"/>
  <c r="AE141" i="13"/>
  <c r="AC141" i="13"/>
  <c r="AB141" i="13"/>
  <c r="AA141" i="13"/>
  <c r="Z141" i="13"/>
  <c r="X141" i="13"/>
  <c r="W141" i="13"/>
  <c r="V141" i="13"/>
  <c r="T141" i="13"/>
  <c r="S141" i="13"/>
  <c r="R141" i="13"/>
  <c r="Q141" i="13"/>
  <c r="O141" i="13"/>
  <c r="N141" i="13"/>
  <c r="L141" i="13"/>
  <c r="H141" i="13"/>
  <c r="G141" i="13"/>
  <c r="F141" i="13"/>
  <c r="F140" i="13"/>
  <c r="D140" i="13" s="1"/>
  <c r="T139" i="13"/>
  <c r="F139" i="13"/>
  <c r="S137" i="13"/>
  <c r="S588" i="13" s="1"/>
  <c r="R137" i="13"/>
  <c r="R588" i="13" s="1"/>
  <c r="Q137" i="13"/>
  <c r="Q588" i="13" s="1"/>
  <c r="P137" i="13"/>
  <c r="P588" i="13" s="1"/>
  <c r="AH135" i="13"/>
  <c r="D135" i="13" s="1"/>
  <c r="C135" i="13"/>
  <c r="AH134" i="13"/>
  <c r="AC134" i="13"/>
  <c r="AH133" i="13"/>
  <c r="AC133" i="13"/>
  <c r="AH132" i="13"/>
  <c r="AC132" i="13"/>
  <c r="C132" i="13"/>
  <c r="AH131" i="13"/>
  <c r="AC131" i="13"/>
  <c r="C131" i="13"/>
  <c r="AH130" i="13"/>
  <c r="AC130" i="13"/>
  <c r="C130" i="13"/>
  <c r="AH129" i="13"/>
  <c r="AC129" i="13"/>
  <c r="C129" i="13"/>
  <c r="AC128" i="13"/>
  <c r="D128" i="13" s="1"/>
  <c r="AH127" i="13"/>
  <c r="AC127" i="13"/>
  <c r="C127" i="13"/>
  <c r="AH126" i="13"/>
  <c r="F126" i="13"/>
  <c r="E126" i="13"/>
  <c r="C126" i="13" s="1"/>
  <c r="AC125" i="13"/>
  <c r="K125" i="13"/>
  <c r="K123" i="13" s="1"/>
  <c r="K136" i="13" s="1"/>
  <c r="F125" i="13"/>
  <c r="E125" i="13"/>
  <c r="C125" i="13" s="1"/>
  <c r="Y124" i="13"/>
  <c r="Y123" i="13" s="1"/>
  <c r="T124" i="13"/>
  <c r="T123" i="13" s="1"/>
  <c r="AK123" i="13"/>
  <c r="AJ123" i="13"/>
  <c r="AI123" i="13"/>
  <c r="AG123" i="13"/>
  <c r="AF123" i="13"/>
  <c r="AE123" i="13"/>
  <c r="AD123" i="13"/>
  <c r="AB123" i="13"/>
  <c r="AA123" i="13"/>
  <c r="Z123" i="13"/>
  <c r="X123" i="13"/>
  <c r="W123" i="13"/>
  <c r="V123" i="13"/>
  <c r="U123" i="13"/>
  <c r="U136" i="13" s="1"/>
  <c r="S123" i="13"/>
  <c r="R123" i="13"/>
  <c r="Q123" i="13"/>
  <c r="P123" i="13"/>
  <c r="P136" i="13" s="1"/>
  <c r="O123" i="13"/>
  <c r="N123" i="13"/>
  <c r="M123" i="13"/>
  <c r="L123" i="13"/>
  <c r="J123" i="13"/>
  <c r="I123" i="13"/>
  <c r="H123" i="13"/>
  <c r="G123" i="13"/>
  <c r="O122" i="13"/>
  <c r="D122" i="13" s="1"/>
  <c r="O121" i="13"/>
  <c r="D121" i="13" s="1"/>
  <c r="O120" i="13"/>
  <c r="D120" i="13" s="1"/>
  <c r="M115" i="13"/>
  <c r="J115" i="13"/>
  <c r="D115" i="13" s="1"/>
  <c r="AH114" i="13"/>
  <c r="D114" i="13" s="1"/>
  <c r="AH113" i="13"/>
  <c r="AC113" i="13"/>
  <c r="AK109" i="13"/>
  <c r="AJ109" i="13"/>
  <c r="AG109" i="13"/>
  <c r="AF109" i="13"/>
  <c r="AE109" i="13"/>
  <c r="AD109" i="13"/>
  <c r="AB109" i="13"/>
  <c r="AA109" i="13"/>
  <c r="Z109" i="13"/>
  <c r="Y109" i="13"/>
  <c r="X109" i="13"/>
  <c r="W109" i="13"/>
  <c r="V109" i="13"/>
  <c r="T109" i="13"/>
  <c r="S109" i="13"/>
  <c r="R109" i="13"/>
  <c r="Q109" i="13"/>
  <c r="O109" i="13"/>
  <c r="N109" i="13"/>
  <c r="M109" i="13"/>
  <c r="L109" i="13"/>
  <c r="J109" i="13"/>
  <c r="I109" i="13"/>
  <c r="H109" i="13"/>
  <c r="G109" i="13"/>
  <c r="F109" i="13"/>
  <c r="AC103" i="13"/>
  <c r="D103" i="13" s="1"/>
  <c r="AK102" i="13"/>
  <c r="AJ102" i="13"/>
  <c r="AH102" i="13"/>
  <c r="AG102" i="13"/>
  <c r="AF102" i="13"/>
  <c r="AE102" i="13"/>
  <c r="AD102" i="13"/>
  <c r="AC102" i="13"/>
  <c r="AB102" i="13"/>
  <c r="AA102" i="13"/>
  <c r="Z102" i="13"/>
  <c r="Y102" i="13"/>
  <c r="X102" i="13"/>
  <c r="W102" i="13"/>
  <c r="V102" i="13"/>
  <c r="T102" i="13"/>
  <c r="S102" i="13"/>
  <c r="R102" i="13"/>
  <c r="Q102" i="13"/>
  <c r="O102" i="13"/>
  <c r="N102" i="13"/>
  <c r="M102" i="13"/>
  <c r="L102" i="13"/>
  <c r="J102" i="13"/>
  <c r="I102" i="13"/>
  <c r="H102" i="13"/>
  <c r="G102" i="13"/>
  <c r="F102" i="13"/>
  <c r="C101" i="13"/>
  <c r="AC100" i="13"/>
  <c r="D100" i="13" s="1"/>
  <c r="AC98" i="13"/>
  <c r="D98" i="13" s="1"/>
  <c r="AC97" i="13"/>
  <c r="D97" i="13" s="1"/>
  <c r="AK96" i="13"/>
  <c r="AJ96" i="13"/>
  <c r="AH96" i="13"/>
  <c r="AG96" i="13"/>
  <c r="AF96" i="13"/>
  <c r="AE96" i="13"/>
  <c r="AD96" i="13"/>
  <c r="AB96" i="13"/>
  <c r="AA96" i="13"/>
  <c r="Z96" i="13"/>
  <c r="Y96" i="13"/>
  <c r="X96" i="13"/>
  <c r="W96" i="13"/>
  <c r="V96" i="13"/>
  <c r="T96" i="13"/>
  <c r="S96" i="13"/>
  <c r="R96" i="13"/>
  <c r="Q96" i="13"/>
  <c r="O96" i="13"/>
  <c r="N96" i="13"/>
  <c r="M96" i="13"/>
  <c r="L96" i="13"/>
  <c r="J96" i="13"/>
  <c r="I96" i="13"/>
  <c r="C96" i="13" s="1"/>
  <c r="H96" i="13"/>
  <c r="G96" i="13"/>
  <c r="F96" i="13"/>
  <c r="AH94" i="13"/>
  <c r="AH90" i="13" s="1"/>
  <c r="AC94" i="13"/>
  <c r="AC92" i="13"/>
  <c r="D92" i="13" s="1"/>
  <c r="AK90" i="13"/>
  <c r="AJ90" i="13"/>
  <c r="AG90" i="13"/>
  <c r="AF90" i="13"/>
  <c r="AE90" i="13"/>
  <c r="AD90" i="13"/>
  <c r="AB90" i="13"/>
  <c r="AA90" i="13"/>
  <c r="Z90" i="13"/>
  <c r="Y90" i="13"/>
  <c r="X90" i="13"/>
  <c r="W90" i="13"/>
  <c r="V90" i="13"/>
  <c r="T90" i="13"/>
  <c r="S90" i="13"/>
  <c r="R90" i="13"/>
  <c r="Q90" i="13"/>
  <c r="O90" i="13"/>
  <c r="N90" i="13"/>
  <c r="M90" i="13"/>
  <c r="L90" i="13"/>
  <c r="J90" i="13"/>
  <c r="I90" i="13"/>
  <c r="H90" i="13"/>
  <c r="G90" i="13"/>
  <c r="F90" i="13"/>
  <c r="AC84" i="13"/>
  <c r="D84" i="13" s="1"/>
  <c r="O82" i="13"/>
  <c r="D82" i="13" s="1"/>
  <c r="AC81" i="13"/>
  <c r="D81" i="13" s="1"/>
  <c r="AC80" i="13"/>
  <c r="D80" i="13" s="1"/>
  <c r="AC79" i="13"/>
  <c r="Y79" i="13"/>
  <c r="AK78" i="13"/>
  <c r="AJ78" i="13"/>
  <c r="AI78" i="13"/>
  <c r="AH78" i="13"/>
  <c r="AG78" i="13"/>
  <c r="AF78" i="13"/>
  <c r="AE78" i="13"/>
  <c r="AB78" i="13"/>
  <c r="AA78" i="13"/>
  <c r="Z78" i="13"/>
  <c r="X78" i="13"/>
  <c r="W78" i="13"/>
  <c r="V78" i="13"/>
  <c r="T78" i="13"/>
  <c r="S78" i="13"/>
  <c r="R78" i="13"/>
  <c r="Q78" i="13"/>
  <c r="N78" i="13"/>
  <c r="M78" i="13"/>
  <c r="L78" i="13"/>
  <c r="J78" i="13"/>
  <c r="I78" i="13"/>
  <c r="H78" i="13"/>
  <c r="G78" i="13"/>
  <c r="F78" i="13"/>
  <c r="C76" i="13"/>
  <c r="Y74" i="13"/>
  <c r="D74" i="13" s="1"/>
  <c r="AC73" i="13"/>
  <c r="D73" i="13" s="1"/>
  <c r="AC72" i="13"/>
  <c r="D72" i="13" s="1"/>
  <c r="AC71" i="13"/>
  <c r="D71" i="13" s="1"/>
  <c r="AG70" i="13"/>
  <c r="AF70" i="13"/>
  <c r="AE70" i="13"/>
  <c r="AA70" i="13"/>
  <c r="Z70" i="13"/>
  <c r="X70" i="13"/>
  <c r="W70" i="13"/>
  <c r="V70" i="13"/>
  <c r="T70" i="13"/>
  <c r="S70" i="13"/>
  <c r="Q70" i="13"/>
  <c r="O70" i="13"/>
  <c r="N70" i="13"/>
  <c r="M70" i="13"/>
  <c r="L70" i="13"/>
  <c r="J70" i="13"/>
  <c r="I70" i="13"/>
  <c r="H70" i="13"/>
  <c r="G70" i="13"/>
  <c r="F70" i="13"/>
  <c r="AC63" i="13"/>
  <c r="D63" i="13" s="1"/>
  <c r="AC62" i="13"/>
  <c r="D62" i="13" s="1"/>
  <c r="AC61" i="13"/>
  <c r="D61" i="13" s="1"/>
  <c r="AC60" i="13"/>
  <c r="D60" i="13" s="1"/>
  <c r="AJ59" i="13"/>
  <c r="AG59" i="13"/>
  <c r="AF59" i="13"/>
  <c r="AE59" i="13"/>
  <c r="AB59" i="13"/>
  <c r="AA59" i="13"/>
  <c r="Z59" i="13"/>
  <c r="Y59" i="13"/>
  <c r="X59" i="13"/>
  <c r="W59" i="13"/>
  <c r="V59" i="13"/>
  <c r="T59" i="13"/>
  <c r="S59" i="13"/>
  <c r="R59" i="13"/>
  <c r="Q59" i="13"/>
  <c r="O59" i="13"/>
  <c r="M59" i="13"/>
  <c r="L59" i="13"/>
  <c r="J59" i="13"/>
  <c r="I59" i="13"/>
  <c r="H59" i="13"/>
  <c r="G59" i="13"/>
  <c r="F59" i="13"/>
  <c r="AC57" i="13"/>
  <c r="Y57" i="13"/>
  <c r="AC55" i="13"/>
  <c r="D55" i="13" s="1"/>
  <c r="AC54" i="13"/>
  <c r="Y54" i="13"/>
  <c r="AJ53" i="13"/>
  <c r="AG53" i="13"/>
  <c r="AF53" i="13"/>
  <c r="AE53" i="13"/>
  <c r="AB53" i="13"/>
  <c r="AA53" i="13"/>
  <c r="Z53" i="13"/>
  <c r="X53" i="13"/>
  <c r="W53" i="13"/>
  <c r="V53" i="13"/>
  <c r="T53" i="13"/>
  <c r="S53" i="13"/>
  <c r="R53" i="13"/>
  <c r="Q53" i="13"/>
  <c r="O53" i="13"/>
  <c r="N53" i="13"/>
  <c r="M53" i="13"/>
  <c r="L53" i="13"/>
  <c r="J53" i="13"/>
  <c r="I53" i="13"/>
  <c r="H53" i="13"/>
  <c r="G53" i="13"/>
  <c r="F53" i="13"/>
  <c r="AC48" i="13"/>
  <c r="AC47" i="13" s="1"/>
  <c r="Y48" i="13"/>
  <c r="AJ47" i="13"/>
  <c r="AG47" i="13"/>
  <c r="AF47" i="13"/>
  <c r="AE47" i="13"/>
  <c r="AB47" i="13"/>
  <c r="AA47" i="13"/>
  <c r="Z47" i="13"/>
  <c r="X47" i="13"/>
  <c r="W47" i="13"/>
  <c r="V47" i="13"/>
  <c r="T47" i="13"/>
  <c r="S47" i="13"/>
  <c r="R47" i="13"/>
  <c r="Q47" i="13"/>
  <c r="O47" i="13"/>
  <c r="N47" i="13"/>
  <c r="M47" i="13"/>
  <c r="L47" i="13"/>
  <c r="J47" i="13"/>
  <c r="I47" i="13"/>
  <c r="H47" i="13"/>
  <c r="G47" i="13"/>
  <c r="F47" i="13"/>
  <c r="AC45" i="13"/>
  <c r="D45" i="13" s="1"/>
  <c r="AC44" i="13"/>
  <c r="D44" i="13" s="1"/>
  <c r="AC43" i="13"/>
  <c r="D43" i="13" s="1"/>
  <c r="AC42" i="13"/>
  <c r="Y42" i="13"/>
  <c r="AG41" i="13"/>
  <c r="AF41" i="13"/>
  <c r="AE41" i="13"/>
  <c r="AB41" i="13"/>
  <c r="AA41" i="13"/>
  <c r="Z41" i="13"/>
  <c r="X41" i="13"/>
  <c r="W41" i="13"/>
  <c r="V41" i="13"/>
  <c r="T41" i="13"/>
  <c r="S41" i="13"/>
  <c r="R41" i="13"/>
  <c r="Q41" i="13"/>
  <c r="O41" i="13"/>
  <c r="N41" i="13"/>
  <c r="M41" i="13"/>
  <c r="L41" i="13"/>
  <c r="J41" i="13"/>
  <c r="I41" i="13"/>
  <c r="H41" i="13"/>
  <c r="G41" i="13"/>
  <c r="F41" i="13"/>
  <c r="AC37" i="13"/>
  <c r="D37" i="13" s="1"/>
  <c r="AG35" i="13"/>
  <c r="AF35" i="13"/>
  <c r="AE35" i="13"/>
  <c r="AB35" i="13"/>
  <c r="AA35" i="13"/>
  <c r="Z35" i="13"/>
  <c r="Y35" i="13"/>
  <c r="X35" i="13"/>
  <c r="W35" i="13"/>
  <c r="V35" i="13"/>
  <c r="T35" i="13"/>
  <c r="S35" i="13"/>
  <c r="R35" i="13"/>
  <c r="Q35" i="13"/>
  <c r="O35" i="13"/>
  <c r="N35" i="13"/>
  <c r="M35" i="13"/>
  <c r="L35" i="13"/>
  <c r="J35" i="13"/>
  <c r="I35" i="13"/>
  <c r="H35" i="13"/>
  <c r="G35" i="13"/>
  <c r="F35" i="13"/>
  <c r="Y34" i="13"/>
  <c r="D34" i="13" s="1"/>
  <c r="Y33" i="13"/>
  <c r="D33" i="13" s="1"/>
  <c r="Y32" i="13"/>
  <c r="D32" i="13" s="1"/>
  <c r="AK29" i="13"/>
  <c r="AJ29" i="13"/>
  <c r="AH29" i="13"/>
  <c r="AA29" i="13"/>
  <c r="Z29" i="13"/>
  <c r="X29" i="13"/>
  <c r="W29" i="13"/>
  <c r="V29" i="13"/>
  <c r="T29" i="13"/>
  <c r="S29" i="13"/>
  <c r="R29" i="13"/>
  <c r="Q29" i="13"/>
  <c r="O29" i="13"/>
  <c r="N29" i="13"/>
  <c r="M29" i="13"/>
  <c r="L29" i="13"/>
  <c r="J29" i="13"/>
  <c r="I29" i="13"/>
  <c r="C29" i="13" s="1"/>
  <c r="H29" i="13"/>
  <c r="G29" i="13"/>
  <c r="F29" i="13"/>
  <c r="Y25" i="13"/>
  <c r="D25" i="13" s="1"/>
  <c r="AK22" i="13"/>
  <c r="AJ22" i="13"/>
  <c r="AH22" i="13"/>
  <c r="AG22" i="13"/>
  <c r="AA22" i="13"/>
  <c r="Z22" i="13"/>
  <c r="X22" i="13"/>
  <c r="W22" i="13"/>
  <c r="V22" i="13"/>
  <c r="T22" i="13"/>
  <c r="S22" i="13"/>
  <c r="R22" i="13"/>
  <c r="Q22" i="13"/>
  <c r="O22" i="13"/>
  <c r="N22" i="13"/>
  <c r="M22" i="13"/>
  <c r="L22" i="13"/>
  <c r="J22" i="13"/>
  <c r="I22" i="13"/>
  <c r="H22" i="13"/>
  <c r="G22" i="13"/>
  <c r="F22" i="13"/>
  <c r="AC21" i="13"/>
  <c r="D21" i="13" s="1"/>
  <c r="AH19" i="13"/>
  <c r="AH18" i="13" s="1"/>
  <c r="T19" i="13"/>
  <c r="T18" i="13" s="1"/>
  <c r="J19" i="13"/>
  <c r="J18" i="13" s="1"/>
  <c r="AK18" i="13"/>
  <c r="AJ18" i="13"/>
  <c r="AG18" i="13"/>
  <c r="AF18" i="13"/>
  <c r="AE18" i="13"/>
  <c r="AD18" i="13"/>
  <c r="AB18" i="13"/>
  <c r="AA18" i="13"/>
  <c r="Z18" i="13"/>
  <c r="Y18" i="13"/>
  <c r="X18" i="13"/>
  <c r="W18" i="13"/>
  <c r="V18" i="13"/>
  <c r="S18" i="13"/>
  <c r="R18" i="13"/>
  <c r="Q18" i="13"/>
  <c r="O18" i="13"/>
  <c r="N18" i="13"/>
  <c r="M18" i="13"/>
  <c r="L18" i="13"/>
  <c r="I18" i="13"/>
  <c r="H18" i="13"/>
  <c r="G18" i="13"/>
  <c r="O16" i="13"/>
  <c r="J15" i="13"/>
  <c r="D15" i="13" s="1"/>
  <c r="C15" i="13"/>
  <c r="D332" i="13" l="1"/>
  <c r="C123" i="13"/>
  <c r="C90" i="13"/>
  <c r="AC35" i="13"/>
  <c r="D35" i="13" s="1"/>
  <c r="AC18" i="13"/>
  <c r="C22" i="13"/>
  <c r="E123" i="13"/>
  <c r="D126" i="13"/>
  <c r="D150" i="13"/>
  <c r="D152" i="13"/>
  <c r="C181" i="13"/>
  <c r="T136" i="13"/>
  <c r="AG136" i="13"/>
  <c r="C70" i="13"/>
  <c r="AD136" i="13"/>
  <c r="AD587" i="13" s="1"/>
  <c r="AD589" i="13" s="1"/>
  <c r="D141" i="13"/>
  <c r="H223" i="13"/>
  <c r="M223" i="13"/>
  <c r="C193" i="13"/>
  <c r="D195" i="13"/>
  <c r="K587" i="13"/>
  <c r="K589" i="13" s="1"/>
  <c r="J223" i="13"/>
  <c r="D185" i="13"/>
  <c r="C187" i="13"/>
  <c r="D191" i="13"/>
  <c r="AH187" i="13"/>
  <c r="F578" i="13"/>
  <c r="F585" i="13" s="1"/>
  <c r="D169" i="13"/>
  <c r="D171" i="13"/>
  <c r="D173" i="13"/>
  <c r="C78" i="13"/>
  <c r="AC199" i="13"/>
  <c r="Y269" i="13"/>
  <c r="AI136" i="13"/>
  <c r="D94" i="13"/>
  <c r="C155" i="13"/>
  <c r="D184" i="13"/>
  <c r="D194" i="13"/>
  <c r="AH247" i="13"/>
  <c r="D247" i="13" s="1"/>
  <c r="P587" i="13"/>
  <c r="P589" i="13" s="1"/>
  <c r="AH585" i="13"/>
  <c r="D125" i="13"/>
  <c r="D265" i="13"/>
  <c r="C59" i="13"/>
  <c r="E47" i="13"/>
  <c r="D124" i="13"/>
  <c r="D146" i="13"/>
  <c r="D156" i="13"/>
  <c r="D159" i="13"/>
  <c r="D161" i="13"/>
  <c r="D170" i="13"/>
  <c r="D176" i="13"/>
  <c r="AH199" i="13"/>
  <c r="D199" i="13" s="1"/>
  <c r="D212" i="13"/>
  <c r="D257" i="13"/>
  <c r="D286" i="13"/>
  <c r="D288" i="13"/>
  <c r="AH299" i="13"/>
  <c r="D532" i="13"/>
  <c r="Y585" i="13"/>
  <c r="D579" i="13"/>
  <c r="D251" i="13"/>
  <c r="AC269" i="13"/>
  <c r="O78" i="13"/>
  <c r="O136" i="13" s="1"/>
  <c r="AC90" i="13"/>
  <c r="D90" i="13" s="1"/>
  <c r="T223" i="13"/>
  <c r="G223" i="13"/>
  <c r="Z223" i="13"/>
  <c r="AE223" i="13"/>
  <c r="D162" i="13"/>
  <c r="Q223" i="13"/>
  <c r="D182" i="13"/>
  <c r="AC211" i="13"/>
  <c r="D218" i="13"/>
  <c r="D229" i="13"/>
  <c r="J269" i="13"/>
  <c r="T237" i="13"/>
  <c r="T269" i="13" s="1"/>
  <c r="D245" i="13"/>
  <c r="J585" i="13"/>
  <c r="AC585" i="13"/>
  <c r="V136" i="13"/>
  <c r="F223" i="13"/>
  <c r="D139" i="13"/>
  <c r="R136" i="13"/>
  <c r="AE136" i="13"/>
  <c r="AK136" i="13"/>
  <c r="D42" i="13"/>
  <c r="Y47" i="13"/>
  <c r="D47" i="13" s="1"/>
  <c r="D48" i="13"/>
  <c r="D57" i="13"/>
  <c r="D131" i="13"/>
  <c r="AA223" i="13"/>
  <c r="D144" i="13"/>
  <c r="C149" i="13"/>
  <c r="AH149" i="13"/>
  <c r="V223" i="13"/>
  <c r="C168" i="13"/>
  <c r="D172" i="13"/>
  <c r="AH174" i="13"/>
  <c r="D174" i="13" s="1"/>
  <c r="AC181" i="13"/>
  <c r="D190" i="13"/>
  <c r="Y193" i="13"/>
  <c r="D201" i="13"/>
  <c r="C211" i="13"/>
  <c r="AH217" i="13"/>
  <c r="D217" i="13" s="1"/>
  <c r="D242" i="13"/>
  <c r="D244" i="13"/>
  <c r="D530" i="13"/>
  <c r="Y586" i="13"/>
  <c r="Y588" i="13" s="1"/>
  <c r="D584" i="13"/>
  <c r="D586" i="13" s="1"/>
  <c r="D270" i="13"/>
  <c r="D225" i="13"/>
  <c r="F269" i="13"/>
  <c r="O137" i="13"/>
  <c r="D137" i="13" s="1"/>
  <c r="D16" i="13"/>
  <c r="S136" i="13"/>
  <c r="F19" i="13"/>
  <c r="N136" i="13"/>
  <c r="AC41" i="13"/>
  <c r="D54" i="13"/>
  <c r="D79" i="13"/>
  <c r="D102" i="13"/>
  <c r="AC109" i="13"/>
  <c r="D113" i="13"/>
  <c r="D127" i="13"/>
  <c r="D130" i="13"/>
  <c r="W223" i="13"/>
  <c r="D151" i="13"/>
  <c r="D153" i="13"/>
  <c r="O223" i="13"/>
  <c r="AC155" i="13"/>
  <c r="D155" i="13" s="1"/>
  <c r="AC168" i="13"/>
  <c r="AJ223" i="13"/>
  <c r="D296" i="13"/>
  <c r="O573" i="13"/>
  <c r="D342" i="13"/>
  <c r="V573" i="13"/>
  <c r="U573" i="13"/>
  <c r="U587" i="13" s="1"/>
  <c r="U589" i="13" s="1"/>
  <c r="D529" i="13"/>
  <c r="D575" i="13"/>
  <c r="C578" i="13"/>
  <c r="C585" i="13" s="1"/>
  <c r="AH123" i="13"/>
  <c r="D134" i="13"/>
  <c r="D243" i="13"/>
  <c r="D531" i="13"/>
  <c r="G136" i="13"/>
  <c r="Z136" i="13"/>
  <c r="D129" i="13"/>
  <c r="D133" i="13"/>
  <c r="D250" i="13"/>
  <c r="J136" i="13"/>
  <c r="W136" i="13"/>
  <c r="AA136" i="13"/>
  <c r="D132" i="13"/>
  <c r="D583" i="13"/>
  <c r="H136" i="13"/>
  <c r="AJ136" i="13"/>
  <c r="AJ587" i="13" s="1"/>
  <c r="I136" i="13"/>
  <c r="X136" i="13"/>
  <c r="AB136" i="13"/>
  <c r="AB587" i="13" s="1"/>
  <c r="AB589" i="13" s="1"/>
  <c r="AF136" i="13"/>
  <c r="AC78" i="13"/>
  <c r="AC96" i="13"/>
  <c r="D96" i="13" s="1"/>
  <c r="AC123" i="13"/>
  <c r="N223" i="13"/>
  <c r="C141" i="13"/>
  <c r="S223" i="13"/>
  <c r="X223" i="13"/>
  <c r="D143" i="13"/>
  <c r="D183" i="13"/>
  <c r="D192" i="13"/>
  <c r="D197" i="13"/>
  <c r="D200" i="13"/>
  <c r="AH205" i="13"/>
  <c r="D205" i="13" s="1"/>
  <c r="D206" i="13"/>
  <c r="C299" i="13"/>
  <c r="D284" i="13"/>
  <c r="Y299" i="13"/>
  <c r="AC187" i="13"/>
  <c r="D189" i="13"/>
  <c r="F272" i="13"/>
  <c r="G299" i="13"/>
  <c r="L136" i="13"/>
  <c r="Q136" i="13"/>
  <c r="Y22" i="13"/>
  <c r="D22" i="13" s="1"/>
  <c r="Y53" i="13"/>
  <c r="AC59" i="13"/>
  <c r="D59" i="13" s="1"/>
  <c r="AC70" i="13"/>
  <c r="F123" i="13"/>
  <c r="AF223" i="13"/>
  <c r="AK223" i="13"/>
  <c r="I223" i="13"/>
  <c r="AH168" i="13"/>
  <c r="Y187" i="13"/>
  <c r="D188" i="13"/>
  <c r="D196" i="13"/>
  <c r="AC193" i="13"/>
  <c r="D215" i="13"/>
  <c r="Y211" i="13"/>
  <c r="AC299" i="13"/>
  <c r="Y41" i="13"/>
  <c r="AC53" i="13"/>
  <c r="C18" i="13"/>
  <c r="C136" i="13" s="1"/>
  <c r="M136" i="13"/>
  <c r="Y29" i="13"/>
  <c r="D29" i="13" s="1"/>
  <c r="Y70" i="13"/>
  <c r="AH109" i="13"/>
  <c r="AH136" i="13" s="1"/>
  <c r="L223" i="13"/>
  <c r="R223" i="13"/>
  <c r="AG223" i="13"/>
  <c r="AC149" i="13"/>
  <c r="AH181" i="13"/>
  <c r="T573" i="13"/>
  <c r="D331" i="13"/>
  <c r="Q573" i="13"/>
  <c r="AH573" i="13"/>
  <c r="W573" i="13"/>
  <c r="Y78" i="13"/>
  <c r="AH211" i="13"/>
  <c r="J299" i="13"/>
  <c r="C573" i="13"/>
  <c r="D577" i="13"/>
  <c r="AH193" i="13"/>
  <c r="D236" i="13"/>
  <c r="F573" i="13"/>
  <c r="D301" i="13"/>
  <c r="J573" i="13"/>
  <c r="R573" i="13"/>
  <c r="Z573" i="13"/>
  <c r="Y573" i="13" s="1"/>
  <c r="AE573" i="13"/>
  <c r="AC573" i="13" s="1"/>
  <c r="D576" i="13"/>
  <c r="AJ75" i="8"/>
  <c r="AK587" i="13" l="1"/>
  <c r="AI587" i="13"/>
  <c r="AI589" i="13" s="1"/>
  <c r="H587" i="13"/>
  <c r="H589" i="13" s="1"/>
  <c r="AG587" i="13"/>
  <c r="AG589" i="13" s="1"/>
  <c r="E136" i="13"/>
  <c r="E587" i="13" s="1"/>
  <c r="E589" i="13" s="1"/>
  <c r="D237" i="13"/>
  <c r="M587" i="13"/>
  <c r="M589" i="13" s="1"/>
  <c r="AJ589" i="13"/>
  <c r="AA587" i="13"/>
  <c r="AA589" i="13" s="1"/>
  <c r="D578" i="13"/>
  <c r="D585" i="13" s="1"/>
  <c r="D149" i="13"/>
  <c r="AH269" i="13"/>
  <c r="D269" i="13" s="1"/>
  <c r="O587" i="13"/>
  <c r="D41" i="13"/>
  <c r="Q587" i="13"/>
  <c r="Q589" i="13" s="1"/>
  <c r="W587" i="13"/>
  <c r="W589" i="13" s="1"/>
  <c r="G587" i="13"/>
  <c r="G589" i="13" s="1"/>
  <c r="I587" i="13"/>
  <c r="I589" i="13" s="1"/>
  <c r="D181" i="13"/>
  <c r="AE587" i="13"/>
  <c r="AE589" i="13" s="1"/>
  <c r="V587" i="13"/>
  <c r="V589" i="13" s="1"/>
  <c r="AF587" i="13"/>
  <c r="AF589" i="13" s="1"/>
  <c r="N587" i="13"/>
  <c r="N589" i="13" s="1"/>
  <c r="R587" i="13"/>
  <c r="R589" i="13" s="1"/>
  <c r="L587" i="13"/>
  <c r="L589" i="13" s="1"/>
  <c r="X587" i="13"/>
  <c r="X589" i="13" s="1"/>
  <c r="Z587" i="13"/>
  <c r="Z589" i="13" s="1"/>
  <c r="D108" i="13"/>
  <c r="S587" i="13"/>
  <c r="S589" i="13" s="1"/>
  <c r="T587" i="13"/>
  <c r="T589" i="13" s="1"/>
  <c r="D70" i="13"/>
  <c r="Y223" i="13"/>
  <c r="D53" i="13"/>
  <c r="D193" i="13"/>
  <c r="AH223" i="13"/>
  <c r="AH587" i="13" s="1"/>
  <c r="AH589" i="13" s="1"/>
  <c r="AK589" i="13"/>
  <c r="D78" i="13"/>
  <c r="J587" i="13"/>
  <c r="J589" i="13" s="1"/>
  <c r="D211" i="13"/>
  <c r="D109" i="13"/>
  <c r="D588" i="13"/>
  <c r="D19" i="13"/>
  <c r="F18" i="13"/>
  <c r="D18" i="13" s="1"/>
  <c r="D168" i="13"/>
  <c r="D187" i="13"/>
  <c r="C223" i="13"/>
  <c r="O588" i="13"/>
  <c r="AC136" i="13"/>
  <c r="D597" i="13"/>
  <c r="D123" i="13"/>
  <c r="D573" i="13"/>
  <c r="F299" i="13"/>
  <c r="D272" i="13"/>
  <c r="D299" i="13" s="1"/>
  <c r="AC223" i="13"/>
  <c r="Y136" i="13"/>
  <c r="AK102" i="8"/>
  <c r="Y587" i="13" l="1"/>
  <c r="Y589" i="13" s="1"/>
  <c r="O589" i="13"/>
  <c r="F136" i="13"/>
  <c r="F587" i="13" s="1"/>
  <c r="F589" i="13" s="1"/>
  <c r="AC587" i="13"/>
  <c r="AC589" i="13" s="1"/>
  <c r="D223" i="13"/>
  <c r="D596" i="13"/>
  <c r="AM102" i="8"/>
  <c r="AL102" i="8"/>
  <c r="AI101" i="8"/>
  <c r="AI92" i="8"/>
  <c r="AO92" i="8" l="1"/>
  <c r="AO101" i="8"/>
  <c r="D136" i="13"/>
  <c r="AN101" i="8"/>
  <c r="AN92" i="8"/>
  <c r="AM136" i="8"/>
  <c r="BC136" i="8" s="1"/>
  <c r="AL136" i="8"/>
  <c r="BB136" i="8" s="1"/>
  <c r="AK136" i="8"/>
  <c r="BA136" i="8" s="1"/>
  <c r="AS137" i="8"/>
  <c r="AR137" i="8"/>
  <c r="AI131" i="8"/>
  <c r="AN131" i="8" s="1"/>
  <c r="AJ130" i="8"/>
  <c r="AZ136" i="8" s="1"/>
  <c r="D587" i="13" l="1"/>
  <c r="D589" i="13" s="1"/>
  <c r="AN137" i="8"/>
  <c r="AI137" i="8"/>
  <c r="AY137" i="8" s="1"/>
  <c r="AY131" i="8"/>
  <c r="AO131" i="8"/>
  <c r="AO137" i="8" s="1"/>
  <c r="AQ137" i="8"/>
  <c r="AL138" i="8"/>
  <c r="AK138" i="8"/>
  <c r="AM138" i="8"/>
  <c r="AJ138" i="8"/>
  <c r="AJ24" i="8"/>
  <c r="AS138" i="8" l="1"/>
  <c r="BC138" i="8"/>
  <c r="AR138" i="8"/>
  <c r="BB138" i="8"/>
  <c r="AQ138" i="8"/>
  <c r="BA138" i="8"/>
  <c r="AP138" i="8"/>
  <c r="AZ138" i="8"/>
  <c r="AI51" i="8"/>
  <c r="AO51" i="8" l="1"/>
  <c r="AN51" i="8"/>
  <c r="J109" i="8"/>
  <c r="AJ108" i="8"/>
  <c r="AP108" i="8" s="1"/>
  <c r="AJ121" i="8" l="1"/>
  <c r="AZ120" i="8"/>
  <c r="AI135" i="8"/>
  <c r="AY135" i="8" s="1"/>
  <c r="AI133" i="8"/>
  <c r="AY133" i="8" s="1"/>
  <c r="AI132" i="8"/>
  <c r="AY132" i="8" s="1"/>
  <c r="AI128" i="8"/>
  <c r="AY128" i="8" s="1"/>
  <c r="AI119" i="8"/>
  <c r="AY119" i="8" s="1"/>
  <c r="AI118" i="8"/>
  <c r="AY118" i="8" s="1"/>
  <c r="AI117" i="8"/>
  <c r="AY117" i="8" s="1"/>
  <c r="AI116" i="8"/>
  <c r="AY116" i="8" s="1"/>
  <c r="AI115" i="8"/>
  <c r="AY115" i="8" s="1"/>
  <c r="AI114" i="8"/>
  <c r="AY114" i="8" s="1"/>
  <c r="AI113" i="8"/>
  <c r="AY113" i="8" s="1"/>
  <c r="AI112" i="8"/>
  <c r="AY112" i="8" s="1"/>
  <c r="AI111" i="8"/>
  <c r="AY111" i="8" s="1"/>
  <c r="AI109" i="8"/>
  <c r="AY109" i="8" s="1"/>
  <c r="AI89" i="8"/>
  <c r="AY89" i="8" s="1"/>
  <c r="AI79" i="8"/>
  <c r="AY79" i="8" s="1"/>
  <c r="AI78" i="8"/>
  <c r="AY78" i="8" s="1"/>
  <c r="AI77" i="8"/>
  <c r="AY77" i="8" s="1"/>
  <c r="AI76" i="8"/>
  <c r="AY76" i="8" s="1"/>
  <c r="AI75" i="8"/>
  <c r="AI67" i="8"/>
  <c r="AY67" i="8" s="1"/>
  <c r="AI64" i="8"/>
  <c r="AY64" i="8" s="1"/>
  <c r="AI62" i="8"/>
  <c r="AY62" i="8" s="1"/>
  <c r="AI61" i="8"/>
  <c r="AY61" i="8" s="1"/>
  <c r="AI60" i="8"/>
  <c r="AY60" i="8" s="1"/>
  <c r="AI59" i="8"/>
  <c r="AY59" i="8" s="1"/>
  <c r="AI58" i="8"/>
  <c r="AY58" i="8" s="1"/>
  <c r="AI57" i="8"/>
  <c r="AY57" i="8" s="1"/>
  <c r="AI56" i="8"/>
  <c r="AY56" i="8" s="1"/>
  <c r="AI55" i="8"/>
  <c r="AY55" i="8" s="1"/>
  <c r="AI54" i="8"/>
  <c r="AY54" i="8" s="1"/>
  <c r="AI53" i="8"/>
  <c r="AY53" i="8" s="1"/>
  <c r="AI52" i="8"/>
  <c r="AY52" i="8" s="1"/>
  <c r="AI50" i="8"/>
  <c r="AI49" i="8"/>
  <c r="AI48" i="8"/>
  <c r="AY48" i="8" s="1"/>
  <c r="AI47" i="8"/>
  <c r="AY47" i="8" s="1"/>
  <c r="AI45" i="8"/>
  <c r="AY45" i="8" s="1"/>
  <c r="AI43" i="8"/>
  <c r="AY43" i="8" s="1"/>
  <c r="AI42" i="8"/>
  <c r="AY42" i="8" s="1"/>
  <c r="AI41" i="8"/>
  <c r="AY41" i="8" s="1"/>
  <c r="AI40" i="8"/>
  <c r="AY40" i="8" s="1"/>
  <c r="AI39" i="8"/>
  <c r="AY39" i="8" s="1"/>
  <c r="AI38" i="8"/>
  <c r="AY38" i="8" s="1"/>
  <c r="AI37" i="8"/>
  <c r="AY37" i="8" s="1"/>
  <c r="AI36" i="8"/>
  <c r="AY36" i="8" s="1"/>
  <c r="AI35" i="8"/>
  <c r="AY35" i="8" s="1"/>
  <c r="AI34" i="8"/>
  <c r="AY34" i="8" s="1"/>
  <c r="AI33" i="8"/>
  <c r="AY33" i="8" s="1"/>
  <c r="AI32" i="8"/>
  <c r="AY32" i="8" s="1"/>
  <c r="AI30" i="8"/>
  <c r="AY30" i="8" s="1"/>
  <c r="AI29" i="8"/>
  <c r="AY29" i="8" s="1"/>
  <c r="AI27" i="8"/>
  <c r="AY27" i="8" s="1"/>
  <c r="AI26" i="8"/>
  <c r="AY26" i="8" s="1"/>
  <c r="AI25" i="8"/>
  <c r="AY25" i="8" s="1"/>
  <c r="AI24" i="8"/>
  <c r="AI23" i="8"/>
  <c r="AY23" i="8" s="1"/>
  <c r="AI22" i="8"/>
  <c r="AI20" i="8"/>
  <c r="AI19" i="8"/>
  <c r="AI18" i="8"/>
  <c r="AI17" i="8"/>
  <c r="AI16" i="8"/>
  <c r="AI15" i="8"/>
  <c r="AD135" i="8"/>
  <c r="AD127" i="8"/>
  <c r="AD119" i="8"/>
  <c r="AD117" i="8"/>
  <c r="AD116" i="8"/>
  <c r="AD114" i="8"/>
  <c r="AD113" i="8"/>
  <c r="AD111" i="8"/>
  <c r="AD109" i="8"/>
  <c r="AD93" i="8"/>
  <c r="AD89" i="8"/>
  <c r="AD79" i="8"/>
  <c r="AD78" i="8"/>
  <c r="AD77" i="8"/>
  <c r="AD76" i="8"/>
  <c r="AD67" i="8"/>
  <c r="AD64" i="8"/>
  <c r="AD62" i="8"/>
  <c r="AD61" i="8"/>
  <c r="AD60" i="8"/>
  <c r="AD59" i="8"/>
  <c r="AD58" i="8"/>
  <c r="AD57" i="8"/>
  <c r="AD56" i="8"/>
  <c r="AD55" i="8"/>
  <c r="AD54" i="8"/>
  <c r="AD53" i="8"/>
  <c r="AD52" i="8"/>
  <c r="AD49" i="8"/>
  <c r="AD48" i="8"/>
  <c r="AD47" i="8"/>
  <c r="AD46" i="8"/>
  <c r="AD45" i="8"/>
  <c r="AD43" i="8"/>
  <c r="AD42" i="8"/>
  <c r="AD41" i="8"/>
  <c r="AD40" i="8"/>
  <c r="AD39" i="8"/>
  <c r="AD38" i="8"/>
  <c r="AD37" i="8"/>
  <c r="AD36" i="8"/>
  <c r="AD35" i="8"/>
  <c r="AD34" i="8"/>
  <c r="AD33" i="8"/>
  <c r="AD32" i="8"/>
  <c r="AD30" i="8"/>
  <c r="AD29" i="8"/>
  <c r="AD28" i="8"/>
  <c r="AD27" i="8"/>
  <c r="AD26" i="8"/>
  <c r="AD25" i="8"/>
  <c r="AD24" i="8"/>
  <c r="AD22" i="8"/>
  <c r="AD21" i="8"/>
  <c r="AD20" i="8"/>
  <c r="AD19" i="8"/>
  <c r="AD18" i="8"/>
  <c r="AD17" i="8"/>
  <c r="AD16" i="8"/>
  <c r="AD15" i="8"/>
  <c r="Y135" i="8"/>
  <c r="Y133" i="8"/>
  <c r="Y132" i="8"/>
  <c r="Y130" i="8"/>
  <c r="Y119" i="8"/>
  <c r="Y117" i="8"/>
  <c r="Y116" i="8"/>
  <c r="Y114" i="8"/>
  <c r="Y113" i="8"/>
  <c r="Y111" i="8"/>
  <c r="Y107" i="8"/>
  <c r="Y93" i="8"/>
  <c r="Y91" i="8"/>
  <c r="Y89" i="8"/>
  <c r="Y67" i="8"/>
  <c r="Y66" i="8"/>
  <c r="Y64" i="8"/>
  <c r="Y62" i="8"/>
  <c r="Y61" i="8"/>
  <c r="Y59" i="8"/>
  <c r="Y58" i="8"/>
  <c r="Y57" i="8"/>
  <c r="Y56" i="8"/>
  <c r="Y55" i="8"/>
  <c r="Y54" i="8"/>
  <c r="Y53" i="8"/>
  <c r="Y52" i="8"/>
  <c r="Y49" i="8"/>
  <c r="Y48" i="8"/>
  <c r="Y47" i="8"/>
  <c r="Y46" i="8"/>
  <c r="Y45" i="8"/>
  <c r="Y30" i="8"/>
  <c r="Y29" i="8"/>
  <c r="Y28" i="8"/>
  <c r="Y27" i="8"/>
  <c r="Y26" i="8"/>
  <c r="Y25" i="8"/>
  <c r="Y24" i="8"/>
  <c r="Y23" i="8"/>
  <c r="Y22" i="8"/>
  <c r="Y20" i="8"/>
  <c r="Y18" i="8"/>
  <c r="Y17" i="8"/>
  <c r="Y16" i="8"/>
  <c r="Y15" i="8"/>
  <c r="T135" i="8"/>
  <c r="T133" i="8"/>
  <c r="T132" i="8"/>
  <c r="T130" i="8"/>
  <c r="T127" i="8"/>
  <c r="T119" i="8"/>
  <c r="T117" i="8"/>
  <c r="T114" i="8"/>
  <c r="T113" i="8"/>
  <c r="T112" i="8"/>
  <c r="T111" i="8"/>
  <c r="T107" i="8"/>
  <c r="T93" i="8"/>
  <c r="J93" i="8"/>
  <c r="J89" i="8"/>
  <c r="T91" i="8"/>
  <c r="T89" i="8"/>
  <c r="T79" i="8"/>
  <c r="T78" i="8"/>
  <c r="T77" i="8"/>
  <c r="T76" i="8"/>
  <c r="T67" i="8"/>
  <c r="T64" i="8"/>
  <c r="T62" i="8"/>
  <c r="T61" i="8"/>
  <c r="T60" i="8"/>
  <c r="T58" i="8"/>
  <c r="T57" i="8"/>
  <c r="T55" i="8"/>
  <c r="T54" i="8"/>
  <c r="T53" i="8"/>
  <c r="T50" i="8"/>
  <c r="T48" i="8"/>
  <c r="T47" i="8"/>
  <c r="T45" i="8"/>
  <c r="T43" i="8"/>
  <c r="T42" i="8"/>
  <c r="T41" i="8"/>
  <c r="T40" i="8"/>
  <c r="T39" i="8"/>
  <c r="T38" i="8"/>
  <c r="T37" i="8"/>
  <c r="T36" i="8"/>
  <c r="T35" i="8"/>
  <c r="T34" i="8"/>
  <c r="T33" i="8"/>
  <c r="T32" i="8"/>
  <c r="T30" i="8"/>
  <c r="T29" i="8"/>
  <c r="T27" i="8"/>
  <c r="T25" i="8"/>
  <c r="T24" i="8"/>
  <c r="T21" i="8"/>
  <c r="T20" i="8"/>
  <c r="T19" i="8"/>
  <c r="T18" i="8"/>
  <c r="T17" i="8"/>
  <c r="T16" i="8"/>
  <c r="T15" i="8"/>
  <c r="O119" i="8"/>
  <c r="O117" i="8"/>
  <c r="O116" i="8"/>
  <c r="O115" i="8"/>
  <c r="O114" i="8"/>
  <c r="O113" i="8"/>
  <c r="O112" i="8"/>
  <c r="O111" i="8"/>
  <c r="O110" i="8"/>
  <c r="AO110" i="8" s="1"/>
  <c r="J119" i="8"/>
  <c r="J118" i="8"/>
  <c r="J117" i="8"/>
  <c r="J116" i="8"/>
  <c r="J115" i="8"/>
  <c r="J114" i="8"/>
  <c r="J113" i="8"/>
  <c r="J112" i="8"/>
  <c r="J111" i="8"/>
  <c r="J107" i="8"/>
  <c r="O107" i="8"/>
  <c r="O93" i="8"/>
  <c r="O91" i="8"/>
  <c r="O89" i="8"/>
  <c r="O79" i="8"/>
  <c r="O78" i="8"/>
  <c r="O77" i="8"/>
  <c r="O76" i="8"/>
  <c r="O64" i="8"/>
  <c r="O62" i="8"/>
  <c r="O61" i="8"/>
  <c r="O59" i="8"/>
  <c r="O58" i="8"/>
  <c r="O57" i="8"/>
  <c r="O56" i="8"/>
  <c r="O55" i="8"/>
  <c r="O54" i="8"/>
  <c r="O53" i="8"/>
  <c r="O52" i="8"/>
  <c r="O50" i="8"/>
  <c r="O49" i="8"/>
  <c r="O48" i="8"/>
  <c r="O30" i="8"/>
  <c r="O29" i="8"/>
  <c r="O27" i="8"/>
  <c r="O26" i="8"/>
  <c r="O25" i="8"/>
  <c r="O24" i="8"/>
  <c r="O22" i="8"/>
  <c r="O20" i="8"/>
  <c r="O19" i="8"/>
  <c r="O18" i="8"/>
  <c r="O17" i="8"/>
  <c r="O16" i="8"/>
  <c r="O15" i="8"/>
  <c r="J67" i="8"/>
  <c r="J64" i="8"/>
  <c r="J62" i="8"/>
  <c r="J61" i="8"/>
  <c r="J60" i="8"/>
  <c r="J59" i="8"/>
  <c r="J58" i="8"/>
  <c r="J57" i="8"/>
  <c r="J55" i="8"/>
  <c r="J54" i="8"/>
  <c r="J52" i="8"/>
  <c r="J50" i="8"/>
  <c r="J48" i="8"/>
  <c r="J47" i="8"/>
  <c r="J32" i="8"/>
  <c r="J22" i="8"/>
  <c r="J21" i="8"/>
  <c r="J20" i="8"/>
  <c r="J19" i="8"/>
  <c r="J18" i="8"/>
  <c r="J17" i="8"/>
  <c r="J16" i="8"/>
  <c r="J15" i="8"/>
  <c r="J30" i="8"/>
  <c r="J29" i="8"/>
  <c r="J28" i="8"/>
  <c r="J27" i="8"/>
  <c r="J26" i="8"/>
  <c r="J25" i="8"/>
  <c r="E112" i="8"/>
  <c r="E113" i="8"/>
  <c r="E114" i="8"/>
  <c r="E115" i="8"/>
  <c r="E116" i="8"/>
  <c r="E117" i="8"/>
  <c r="E118" i="8"/>
  <c r="E119" i="8"/>
  <c r="E107" i="8"/>
  <c r="I102" i="8"/>
  <c r="H102" i="8"/>
  <c r="G102" i="8"/>
  <c r="F102" i="8"/>
  <c r="E100" i="8"/>
  <c r="E99" i="8"/>
  <c r="E98" i="8"/>
  <c r="E97" i="8"/>
  <c r="E96" i="8"/>
  <c r="E95" i="8"/>
  <c r="E93" i="8"/>
  <c r="E91" i="8"/>
  <c r="E89" i="8"/>
  <c r="AO89" i="8" s="1"/>
  <c r="E88" i="8"/>
  <c r="E87" i="8"/>
  <c r="E86" i="8"/>
  <c r="E79" i="8"/>
  <c r="E78" i="8"/>
  <c r="E77" i="8"/>
  <c r="E76" i="8"/>
  <c r="E67" i="8"/>
  <c r="E66" i="8"/>
  <c r="E64" i="8"/>
  <c r="E62" i="8"/>
  <c r="E61" i="8"/>
  <c r="AO61" i="8" s="1"/>
  <c r="E60" i="8"/>
  <c r="E58" i="8"/>
  <c r="E57" i="8"/>
  <c r="E55" i="8"/>
  <c r="E54" i="8"/>
  <c r="E52" i="8"/>
  <c r="E49" i="8"/>
  <c r="E48" i="8"/>
  <c r="E47" i="8"/>
  <c r="E46" i="8"/>
  <c r="E45" i="8"/>
  <c r="E43" i="8"/>
  <c r="E42" i="8"/>
  <c r="E41" i="8"/>
  <c r="E40" i="8"/>
  <c r="E39" i="8"/>
  <c r="E38" i="8"/>
  <c r="E37" i="8"/>
  <c r="E36" i="8"/>
  <c r="E35" i="8"/>
  <c r="E34" i="8"/>
  <c r="E33" i="8"/>
  <c r="E32" i="8"/>
  <c r="E30" i="8"/>
  <c r="E29" i="8"/>
  <c r="E27" i="8"/>
  <c r="E25" i="8"/>
  <c r="E24" i="8"/>
  <c r="E22" i="8"/>
  <c r="E21" i="8"/>
  <c r="E20" i="8"/>
  <c r="E19" i="8"/>
  <c r="E18" i="8"/>
  <c r="E16" i="8"/>
  <c r="AO62" i="8" l="1"/>
  <c r="AJ140" i="8"/>
  <c r="AZ140" i="8" s="1"/>
  <c r="AZ121" i="8"/>
  <c r="AO64" i="8"/>
  <c r="AO58" i="8"/>
  <c r="AO114" i="8"/>
  <c r="AO16" i="8"/>
  <c r="AO27" i="8"/>
  <c r="AO119" i="8"/>
  <c r="AN110" i="8"/>
  <c r="AO30" i="8"/>
  <c r="AO48" i="8"/>
  <c r="AO55" i="8"/>
  <c r="AO117" i="8"/>
  <c r="AO113" i="8"/>
  <c r="AO111" i="8"/>
  <c r="AO20" i="8"/>
  <c r="AO25" i="8"/>
  <c r="AO57" i="8"/>
  <c r="AO18" i="8"/>
  <c r="AO29" i="8"/>
  <c r="AO54" i="8"/>
  <c r="AJ122" i="8"/>
  <c r="AZ122" i="8" s="1"/>
  <c r="AN114" i="8"/>
  <c r="AN119" i="8"/>
  <c r="AN111" i="8"/>
  <c r="AN113" i="8"/>
  <c r="AN117" i="8"/>
  <c r="AI69" i="8"/>
  <c r="AY69" i="8" s="1"/>
  <c r="E120" i="8"/>
  <c r="AM120" i="8"/>
  <c r="BC120" i="8" s="1"/>
  <c r="AL120" i="8"/>
  <c r="BB120" i="8" s="1"/>
  <c r="AH120" i="8"/>
  <c r="AG120" i="8"/>
  <c r="AF120" i="8"/>
  <c r="AC120" i="8"/>
  <c r="AB120" i="8"/>
  <c r="X120" i="8"/>
  <c r="S120" i="8"/>
  <c r="R120" i="8"/>
  <c r="Q120" i="8"/>
  <c r="N120" i="8"/>
  <c r="M120" i="8"/>
  <c r="L120" i="8"/>
  <c r="K120" i="8"/>
  <c r="J120" i="8"/>
  <c r="I120" i="8"/>
  <c r="H120" i="8"/>
  <c r="G120" i="8"/>
  <c r="F120" i="8"/>
  <c r="AM121" i="8"/>
  <c r="AL121" i="8"/>
  <c r="AK121" i="8"/>
  <c r="BA121" i="8" s="1"/>
  <c r="AH121" i="8"/>
  <c r="AG121" i="8"/>
  <c r="AF121" i="8"/>
  <c r="AF122" i="8" s="1"/>
  <c r="AE121" i="8"/>
  <c r="AD121" i="8"/>
  <c r="AC121" i="8"/>
  <c r="AB121" i="8"/>
  <c r="AA121" i="8"/>
  <c r="Z121" i="8"/>
  <c r="Y121" i="8"/>
  <c r="X121" i="8"/>
  <c r="W121" i="8"/>
  <c r="V121" i="8"/>
  <c r="U121" i="8"/>
  <c r="T121" i="8"/>
  <c r="S121" i="8"/>
  <c r="R121" i="8"/>
  <c r="Q121" i="8"/>
  <c r="P121" i="8"/>
  <c r="O121" i="8"/>
  <c r="N121" i="8"/>
  <c r="M121" i="8"/>
  <c r="L121" i="8"/>
  <c r="K121" i="8"/>
  <c r="J121" i="8"/>
  <c r="I121" i="8"/>
  <c r="H121" i="8"/>
  <c r="AR121" i="8" s="1"/>
  <c r="G121" i="8"/>
  <c r="F121" i="8"/>
  <c r="S122" i="8"/>
  <c r="E121" i="8"/>
  <c r="AL140" i="8" l="1"/>
  <c r="BB140" i="8" s="1"/>
  <c r="BB121" i="8"/>
  <c r="AP121" i="8"/>
  <c r="R122" i="8"/>
  <c r="X122" i="8"/>
  <c r="AM140" i="8"/>
  <c r="BC140" i="8" s="1"/>
  <c r="BC121" i="8"/>
  <c r="AS121" i="8"/>
  <c r="AS120" i="8"/>
  <c r="AQ121" i="8"/>
  <c r="Q122" i="8"/>
  <c r="AB122" i="8"/>
  <c r="H122" i="8"/>
  <c r="L122" i="8"/>
  <c r="AM122" i="8"/>
  <c r="BC122" i="8" s="1"/>
  <c r="G122" i="8"/>
  <c r="K122" i="8"/>
  <c r="AK122" i="8"/>
  <c r="BA122" i="8" s="1"/>
  <c r="AK140" i="8"/>
  <c r="BA140" i="8" s="1"/>
  <c r="F122" i="8"/>
  <c r="AL122" i="8"/>
  <c r="BB122" i="8" s="1"/>
  <c r="AG122" i="8"/>
  <c r="AH122" i="8"/>
  <c r="N122" i="8"/>
  <c r="AC122" i="8"/>
  <c r="I122" i="8"/>
  <c r="M122" i="8"/>
  <c r="J122" i="8"/>
  <c r="E122" i="8"/>
  <c r="AH140" i="8"/>
  <c r="AG140" i="8"/>
  <c r="AF140" i="8"/>
  <c r="AE140" i="8"/>
  <c r="AD69" i="8"/>
  <c r="AD140" i="8" s="1"/>
  <c r="AC140" i="8"/>
  <c r="AB140" i="8"/>
  <c r="AA140" i="8"/>
  <c r="Z140" i="8"/>
  <c r="Y69" i="8"/>
  <c r="Y140" i="8" s="1"/>
  <c r="X140" i="8"/>
  <c r="W140" i="8"/>
  <c r="V140" i="8"/>
  <c r="U140" i="8"/>
  <c r="T69" i="8"/>
  <c r="T140" i="8" s="1"/>
  <c r="S140" i="8"/>
  <c r="R140" i="8"/>
  <c r="Q140" i="8"/>
  <c r="P140" i="8"/>
  <c r="N140" i="8"/>
  <c r="M140" i="8"/>
  <c r="L140" i="8"/>
  <c r="K140" i="8"/>
  <c r="J69" i="8"/>
  <c r="J140" i="8" s="1"/>
  <c r="I140" i="8"/>
  <c r="H140" i="8"/>
  <c r="G140" i="8"/>
  <c r="AC70" i="8"/>
  <c r="X70" i="8"/>
  <c r="Q70" i="8"/>
  <c r="I70" i="8"/>
  <c r="AR140" i="8" l="1"/>
  <c r="AQ140" i="8"/>
  <c r="AS140" i="8"/>
  <c r="AS122" i="8"/>
  <c r="AK70" i="8"/>
  <c r="BA70" i="8" s="1"/>
  <c r="G70" i="8"/>
  <c r="V70" i="8"/>
  <c r="AA70" i="8"/>
  <c r="AF70" i="8"/>
  <c r="S70" i="8"/>
  <c r="AH70" i="8"/>
  <c r="AM70" i="8"/>
  <c r="BC70" i="8" s="1"/>
  <c r="E69" i="8"/>
  <c r="F140" i="8"/>
  <c r="AP140" i="8" s="1"/>
  <c r="H70" i="8"/>
  <c r="R70" i="8"/>
  <c r="W70" i="8"/>
  <c r="AB70" i="8"/>
  <c r="AG70" i="8"/>
  <c r="AL70" i="8"/>
  <c r="BB70" i="8" s="1"/>
  <c r="M70" i="8"/>
  <c r="N70" i="8"/>
  <c r="L70" i="8"/>
  <c r="N22" i="9"/>
  <c r="N23" i="9"/>
  <c r="N24" i="9"/>
  <c r="N25" i="9"/>
  <c r="N26" i="9"/>
  <c r="N27" i="9"/>
  <c r="N28" i="9"/>
  <c r="N29" i="9"/>
  <c r="N31" i="9"/>
  <c r="N32" i="9"/>
  <c r="N33" i="9"/>
  <c r="N34" i="9"/>
  <c r="N35" i="9"/>
  <c r="N36" i="9"/>
  <c r="N37" i="9"/>
  <c r="N38" i="9"/>
  <c r="N39" i="9"/>
  <c r="N40" i="9"/>
  <c r="N41" i="9"/>
  <c r="N42" i="9"/>
  <c r="N43" i="9"/>
  <c r="N44" i="9"/>
  <c r="N45" i="9"/>
  <c r="N46" i="9"/>
  <c r="N47" i="9"/>
  <c r="N48" i="9"/>
  <c r="N49" i="9"/>
  <c r="N50" i="9"/>
  <c r="N51" i="9"/>
  <c r="N52"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6" i="9"/>
  <c r="N97" i="9"/>
  <c r="N98" i="9"/>
  <c r="N99" i="9"/>
  <c r="N100" i="9"/>
  <c r="N101" i="9"/>
  <c r="N102" i="9"/>
  <c r="N103" i="9"/>
  <c r="N104" i="9"/>
  <c r="N105" i="9"/>
  <c r="N107" i="9"/>
  <c r="N108" i="9"/>
  <c r="N109" i="9"/>
  <c r="N110" i="9"/>
  <c r="N112" i="9"/>
  <c r="N113" i="9"/>
  <c r="N114" i="9"/>
  <c r="N115" i="9"/>
  <c r="N116" i="9"/>
  <c r="N117" i="9"/>
  <c r="N118" i="9"/>
  <c r="N119" i="9"/>
  <c r="N120" i="9"/>
  <c r="N121" i="9"/>
  <c r="N122" i="9"/>
  <c r="N123" i="9"/>
  <c r="N124" i="9"/>
  <c r="N125" i="9"/>
  <c r="N126" i="9"/>
  <c r="N127" i="9"/>
  <c r="N130" i="9"/>
  <c r="N133" i="9"/>
  <c r="N134" i="9"/>
  <c r="N135" i="9"/>
  <c r="N136" i="9"/>
  <c r="N137" i="9"/>
  <c r="N138" i="9"/>
  <c r="N139" i="9"/>
  <c r="N140" i="9"/>
  <c r="N141" i="9"/>
  <c r="N142" i="9"/>
  <c r="N143" i="9"/>
  <c r="N144" i="9"/>
  <c r="N145" i="9"/>
  <c r="N146" i="9"/>
  <c r="N147" i="9"/>
  <c r="N148" i="9"/>
  <c r="N149" i="9"/>
  <c r="N150" i="9"/>
  <c r="N151" i="9"/>
  <c r="N152" i="9"/>
  <c r="N153" i="9"/>
  <c r="N21" i="9"/>
  <c r="BC19" i="8"/>
  <c r="BB19" i="8"/>
  <c r="BA19" i="8"/>
  <c r="BC18" i="8"/>
  <c r="BB18" i="8"/>
  <c r="BA18" i="8"/>
  <c r="AZ18" i="8"/>
  <c r="BC17" i="8"/>
  <c r="BB17" i="8"/>
  <c r="BA17" i="8"/>
  <c r="AZ17" i="8"/>
  <c r="BC16" i="8"/>
  <c r="BB16" i="8"/>
  <c r="BA16" i="8"/>
  <c r="AZ16" i="8"/>
  <c r="BC15" i="8"/>
  <c r="BB15" i="8"/>
  <c r="BA15" i="8"/>
  <c r="AZ15" i="8"/>
  <c r="AS70" i="8" l="1"/>
  <c r="AR70" i="8"/>
  <c r="AQ70" i="8"/>
  <c r="E140" i="8"/>
  <c r="AI107" i="8"/>
  <c r="AI66" i="8"/>
  <c r="AY66" i="8" s="1"/>
  <c r="AG81" i="10" l="1"/>
  <c r="AI46" i="8"/>
  <c r="AY46" i="8" s="1"/>
  <c r="AI108" i="8" l="1"/>
  <c r="AO108" i="8" s="1"/>
  <c r="AN108" i="8" l="1"/>
  <c r="AI121" i="8"/>
  <c r="AY121" i="8" s="1"/>
  <c r="AY120" i="8"/>
  <c r="AI140" i="8" l="1"/>
  <c r="AY140" i="8" s="1"/>
  <c r="AO121" i="8"/>
  <c r="AI122" i="8"/>
  <c r="AY122" i="8" s="1"/>
  <c r="E15" i="8" l="1"/>
  <c r="AO15" i="8" s="1"/>
  <c r="AH136" i="8"/>
  <c r="AG136" i="8"/>
  <c r="AF136" i="8"/>
  <c r="AC136" i="8"/>
  <c r="AB136" i="8"/>
  <c r="AA136" i="8"/>
  <c r="X136" i="8"/>
  <c r="W136" i="8"/>
  <c r="V136" i="8"/>
  <c r="S136" i="8"/>
  <c r="R136" i="8"/>
  <c r="Q136" i="8"/>
  <c r="N136" i="8"/>
  <c r="M136" i="8"/>
  <c r="L136" i="8"/>
  <c r="I136" i="8"/>
  <c r="H136" i="8"/>
  <c r="G136" i="8"/>
  <c r="AQ136" i="8" l="1"/>
  <c r="AS136" i="8"/>
  <c r="AR136" i="8"/>
  <c r="AF94" i="10" l="1"/>
  <c r="AE94" i="10"/>
  <c r="AD94" i="10"/>
  <c r="AA94" i="10"/>
  <c r="Z94" i="10"/>
  <c r="Y94" i="10"/>
  <c r="V94" i="10"/>
  <c r="U94" i="10"/>
  <c r="T94" i="10"/>
  <c r="Q94" i="10"/>
  <c r="P94" i="10"/>
  <c r="O94" i="10"/>
  <c r="L94" i="10"/>
  <c r="K94" i="10"/>
  <c r="J94" i="10"/>
  <c r="F94" i="10"/>
  <c r="E94" i="10"/>
  <c r="N93" i="10"/>
  <c r="M93" i="10" s="1"/>
  <c r="AA92" i="10"/>
  <c r="Z92" i="10"/>
  <c r="Y92" i="10"/>
  <c r="V92" i="10"/>
  <c r="U92" i="10"/>
  <c r="T92" i="10"/>
  <c r="L92" i="10"/>
  <c r="K92" i="10"/>
  <c r="J92" i="10"/>
  <c r="G92" i="10"/>
  <c r="F92" i="10"/>
  <c r="E92" i="10"/>
  <c r="C91" i="10"/>
  <c r="AL91" i="10" s="1"/>
  <c r="AG90" i="10"/>
  <c r="AC90" i="10"/>
  <c r="AB90" i="10" s="1"/>
  <c r="W90" i="10"/>
  <c r="R90" i="10"/>
  <c r="N90" i="10"/>
  <c r="M90" i="10"/>
  <c r="H90" i="10"/>
  <c r="C90" i="10"/>
  <c r="C89" i="10"/>
  <c r="AL89" i="10" s="1"/>
  <c r="M88" i="10"/>
  <c r="H88" i="10"/>
  <c r="C88" i="10"/>
  <c r="AL87" i="10"/>
  <c r="Q87" i="10"/>
  <c r="P87" i="10" s="1"/>
  <c r="O87" i="10" s="1"/>
  <c r="M87" i="10" s="1"/>
  <c r="H87" i="10"/>
  <c r="C87" i="10"/>
  <c r="W85" i="10"/>
  <c r="R85" i="10"/>
  <c r="N85" i="10"/>
  <c r="M85" i="10" s="1"/>
  <c r="H85" i="10"/>
  <c r="C85" i="10"/>
  <c r="AC84" i="10"/>
  <c r="AC92" i="10" s="1"/>
  <c r="AB84" i="10"/>
  <c r="S84" i="10"/>
  <c r="R84" i="10"/>
  <c r="M84" i="10"/>
  <c r="I84" i="10"/>
  <c r="H84" i="10" s="1"/>
  <c r="D84" i="10"/>
  <c r="C84" i="10" s="1"/>
  <c r="M83" i="10"/>
  <c r="H83" i="10"/>
  <c r="C83" i="10"/>
  <c r="M82" i="10"/>
  <c r="H82" i="10"/>
  <c r="C82" i="10"/>
  <c r="W81" i="10"/>
  <c r="S81" i="10"/>
  <c r="R81" i="10"/>
  <c r="M81" i="10"/>
  <c r="I81" i="10"/>
  <c r="H81" i="10" s="1"/>
  <c r="D81" i="10"/>
  <c r="C81" i="10" s="1"/>
  <c r="W80" i="10"/>
  <c r="M80" i="10"/>
  <c r="H80" i="10"/>
  <c r="C80" i="10"/>
  <c r="W79" i="10"/>
  <c r="M79" i="10"/>
  <c r="H79" i="10"/>
  <c r="C79" i="10"/>
  <c r="W78" i="10"/>
  <c r="M78" i="10"/>
  <c r="I78" i="10"/>
  <c r="H78" i="10" s="1"/>
  <c r="D78" i="10"/>
  <c r="C78" i="10" s="1"/>
  <c r="W77" i="10"/>
  <c r="M77" i="10"/>
  <c r="H77" i="10"/>
  <c r="C77" i="10"/>
  <c r="AG73" i="10"/>
  <c r="AB73" i="10"/>
  <c r="X73" i="10"/>
  <c r="W73" i="10" s="1"/>
  <c r="S73" i="10"/>
  <c r="R73" i="10" s="1"/>
  <c r="M73" i="10"/>
  <c r="H73" i="10"/>
  <c r="D73" i="10"/>
  <c r="C73" i="10" s="1"/>
  <c r="AB70" i="10"/>
  <c r="W70" i="10"/>
  <c r="S70" i="10"/>
  <c r="R70" i="10" s="1"/>
  <c r="M70" i="10"/>
  <c r="I70" i="10"/>
  <c r="H70" i="10" s="1"/>
  <c r="C70" i="10"/>
  <c r="M69" i="10"/>
  <c r="C69" i="10"/>
  <c r="N68" i="10"/>
  <c r="M68" i="10" s="1"/>
  <c r="H68" i="10"/>
  <c r="C68" i="10"/>
  <c r="W62" i="10"/>
  <c r="N62" i="10"/>
  <c r="M62" i="10" s="1"/>
  <c r="H62" i="10"/>
  <c r="C62" i="10"/>
  <c r="M61" i="10"/>
  <c r="H61" i="10"/>
  <c r="C61" i="10"/>
  <c r="W60" i="10"/>
  <c r="M60" i="10"/>
  <c r="C60" i="10"/>
  <c r="W59" i="10"/>
  <c r="M59" i="10"/>
  <c r="C59" i="10"/>
  <c r="W58" i="10"/>
  <c r="M58" i="10"/>
  <c r="W57" i="10"/>
  <c r="M57" i="10"/>
  <c r="W56" i="10"/>
  <c r="M56" i="10"/>
  <c r="W55" i="10"/>
  <c r="M55" i="10"/>
  <c r="W54" i="10"/>
  <c r="M54" i="10"/>
  <c r="W53" i="10"/>
  <c r="M53" i="10"/>
  <c r="W52" i="10"/>
  <c r="M52" i="10"/>
  <c r="W51" i="10"/>
  <c r="M51" i="10"/>
  <c r="W50" i="10"/>
  <c r="M50" i="10"/>
  <c r="W49" i="10"/>
  <c r="M49" i="10"/>
  <c r="X48" i="10"/>
  <c r="M48" i="10"/>
  <c r="C48" i="10"/>
  <c r="M47" i="10"/>
  <c r="AL47" i="10" s="1"/>
  <c r="AG34" i="10"/>
  <c r="W34" i="10"/>
  <c r="N34" i="10"/>
  <c r="M34" i="10"/>
  <c r="I34" i="10"/>
  <c r="H34" i="10" s="1"/>
  <c r="D34" i="10"/>
  <c r="C34" i="10" s="1"/>
  <c r="AL33" i="10"/>
  <c r="D31" i="10"/>
  <c r="C31" i="10" s="1"/>
  <c r="AL31" i="10" s="1"/>
  <c r="C30" i="10"/>
  <c r="AL30" i="10" s="1"/>
  <c r="R26" i="10"/>
  <c r="M26" i="10"/>
  <c r="I26" i="10"/>
  <c r="H26" i="10" s="1"/>
  <c r="C26" i="10"/>
  <c r="S21" i="10"/>
  <c r="R21" i="10" s="1"/>
  <c r="N21" i="10"/>
  <c r="M21" i="10"/>
  <c r="I21" i="10"/>
  <c r="H21" i="10" s="1"/>
  <c r="D21" i="10"/>
  <c r="S20" i="10"/>
  <c r="R20" i="10"/>
  <c r="C20" i="10"/>
  <c r="AH19" i="10"/>
  <c r="AH92" i="10" s="1"/>
  <c r="AH94" i="10" s="1"/>
  <c r="AB19" i="10"/>
  <c r="X19" i="10"/>
  <c r="W19" i="10"/>
  <c r="N19" i="10"/>
  <c r="M19" i="10"/>
  <c r="H19" i="10"/>
  <c r="C19" i="10"/>
  <c r="X15" i="10"/>
  <c r="W15" i="10" s="1"/>
  <c r="C15" i="10"/>
  <c r="X14" i="10"/>
  <c r="W14" i="10"/>
  <c r="C14" i="10"/>
  <c r="M13" i="10"/>
  <c r="C13" i="10"/>
  <c r="M12" i="10"/>
  <c r="C12" i="10"/>
  <c r="W11" i="10"/>
  <c r="M11" i="10"/>
  <c r="C11" i="10"/>
  <c r="M10" i="10"/>
  <c r="C10" i="10"/>
  <c r="C21" i="10" l="1"/>
  <c r="D92" i="10"/>
  <c r="AL49" i="10"/>
  <c r="AL93" i="10"/>
  <c r="AB92" i="10"/>
  <c r="AL51" i="10"/>
  <c r="AL53" i="10"/>
  <c r="AL52" i="10"/>
  <c r="AL61" i="10"/>
  <c r="AL68" i="10"/>
  <c r="AL69" i="10"/>
  <c r="AL57" i="10"/>
  <c r="AL59" i="10"/>
  <c r="AL82" i="10"/>
  <c r="AL85" i="10"/>
  <c r="AL12" i="10"/>
  <c r="AL14" i="10"/>
  <c r="X92" i="10"/>
  <c r="N94" i="10"/>
  <c r="M94" i="10" s="1"/>
  <c r="AL81" i="10"/>
  <c r="AL10" i="10"/>
  <c r="AL11" i="10"/>
  <c r="AL26" i="10"/>
  <c r="AL48" i="10"/>
  <c r="AL54" i="10"/>
  <c r="AL79" i="10"/>
  <c r="AL80" i="10"/>
  <c r="AL83" i="10"/>
  <c r="AL88" i="10"/>
  <c r="AL90" i="10"/>
  <c r="AL21" i="10"/>
  <c r="AL70" i="10"/>
  <c r="AL13" i="10"/>
  <c r="AL20" i="10"/>
  <c r="S94" i="10"/>
  <c r="S92" i="10" s="1"/>
  <c r="D94" i="10"/>
  <c r="C94" i="10" s="1"/>
  <c r="I92" i="10"/>
  <c r="AL50" i="10"/>
  <c r="AL55" i="10"/>
  <c r="AL56" i="10"/>
  <c r="AL58" i="10"/>
  <c r="AL60" i="10"/>
  <c r="AL62" i="10"/>
  <c r="AC94" i="10"/>
  <c r="AL15" i="10"/>
  <c r="AL73" i="10"/>
  <c r="W92" i="10"/>
  <c r="H92" i="10"/>
  <c r="AL34" i="10"/>
  <c r="AL84" i="10"/>
  <c r="C92" i="10"/>
  <c r="I94" i="10"/>
  <c r="H94" i="10" s="1"/>
  <c r="X94" i="10"/>
  <c r="W94" i="10" s="1"/>
  <c r="AG19" i="10"/>
  <c r="AG92" i="10" s="1"/>
  <c r="AG94" i="10" s="1"/>
  <c r="N92" i="10"/>
  <c r="M92" i="10" s="1"/>
  <c r="N111" i="9"/>
  <c r="J77" i="9"/>
  <c r="L53" i="9"/>
  <c r="N53" i="9" s="1"/>
  <c r="L30" i="9"/>
  <c r="N30" i="9" s="1"/>
  <c r="K30" i="9"/>
  <c r="AB94" i="10" l="1"/>
  <c r="AL19" i="10"/>
  <c r="R94" i="10"/>
  <c r="R92" i="10" s="1"/>
  <c r="AL92" i="10" s="1"/>
  <c r="AL94" i="10" s="1"/>
  <c r="AJ21" i="8" l="1"/>
  <c r="AI21" i="8" l="1"/>
  <c r="AJ28" i="8"/>
  <c r="AI28" i="8" s="1"/>
  <c r="AI68" i="8" l="1"/>
  <c r="AY68" i="8" s="1"/>
  <c r="AJ68" i="8"/>
  <c r="AZ68" i="8" s="1"/>
  <c r="AE115" i="8"/>
  <c r="AD115" i="8" s="1"/>
  <c r="AE118" i="8"/>
  <c r="AD118" i="8" s="1"/>
  <c r="AI70" i="8" l="1"/>
  <c r="AY70" i="8" s="1"/>
  <c r="AJ70" i="8"/>
  <c r="AZ70" i="8" s="1"/>
  <c r="AE107" i="8"/>
  <c r="AP107" i="8" s="1"/>
  <c r="AE66" i="8"/>
  <c r="AD66" i="8" s="1"/>
  <c r="AE23" i="8"/>
  <c r="AD107" i="8" l="1"/>
  <c r="AO107" i="8" s="1"/>
  <c r="AD23" i="8"/>
  <c r="AE132" i="8"/>
  <c r="AD132" i="8" s="1"/>
  <c r="AN107" i="8" l="1"/>
  <c r="AE112" i="8"/>
  <c r="AD112" i="8" l="1"/>
  <c r="AE120" i="8"/>
  <c r="AE122" i="8" s="1"/>
  <c r="AD120" i="8" l="1"/>
  <c r="AD122" i="8" s="1"/>
  <c r="AE50" i="8"/>
  <c r="AE68" i="8" s="1"/>
  <c r="AD50" i="8" l="1"/>
  <c r="AD68" i="8" s="1"/>
  <c r="AD70" i="8" s="1"/>
  <c r="AI93" i="8"/>
  <c r="AO93" i="8" s="1"/>
  <c r="AE133" i="8"/>
  <c r="AD133" i="8" s="1"/>
  <c r="AE70" i="8" l="1"/>
  <c r="AN93" i="8"/>
  <c r="AI91" i="8"/>
  <c r="AE91" i="8" l="1"/>
  <c r="AD91" i="8" s="1"/>
  <c r="Z75" i="8" l="1"/>
  <c r="Z21" i="8"/>
  <c r="Y21" i="8" s="1"/>
  <c r="Z50" i="8" l="1"/>
  <c r="Y50" i="8" s="1"/>
  <c r="Z118" i="8" l="1"/>
  <c r="Z60" i="8" l="1"/>
  <c r="Y60" i="8" s="1"/>
  <c r="Z109" i="8" l="1"/>
  <c r="Y109" i="8" l="1"/>
  <c r="AA118" i="8"/>
  <c r="AQ118" i="8" s="1"/>
  <c r="AA120" i="8" l="1"/>
  <c r="AA122" i="8" s="1"/>
  <c r="Y118" i="8"/>
  <c r="Z19" i="8" l="1"/>
  <c r="Z68" i="8" l="1"/>
  <c r="AP19" i="8"/>
  <c r="Y19" i="8"/>
  <c r="AO19" i="8" s="1"/>
  <c r="Z112" i="8"/>
  <c r="AP112" i="8" s="1"/>
  <c r="Y112" i="8" l="1"/>
  <c r="AO112" i="8" s="1"/>
  <c r="Z120" i="8"/>
  <c r="Z122" i="8" s="1"/>
  <c r="Z70" i="8"/>
  <c r="P135" i="8"/>
  <c r="AP135" i="8" s="1"/>
  <c r="J135" i="8"/>
  <c r="E135" i="8"/>
  <c r="AN112" i="8" l="1"/>
  <c r="Y120" i="8"/>
  <c r="Y122" i="8" s="1"/>
  <c r="O135" i="8"/>
  <c r="AO135" i="8" l="1"/>
  <c r="AN135" i="8"/>
  <c r="AI127" i="8"/>
  <c r="AI130" i="8"/>
  <c r="AY130" i="8" s="1"/>
  <c r="AD130" i="8"/>
  <c r="AY127" i="8" l="1"/>
  <c r="AI136" i="8"/>
  <c r="AY136" i="8" s="1"/>
  <c r="U56" i="8"/>
  <c r="T56" i="8" s="1"/>
  <c r="U59" i="8"/>
  <c r="T59" i="8" s="1"/>
  <c r="AI138" i="8" l="1"/>
  <c r="U22" i="8"/>
  <c r="AP22" i="8" s="1"/>
  <c r="U46" i="8"/>
  <c r="T46" i="8" s="1"/>
  <c r="U66" i="8"/>
  <c r="T66" i="8" s="1"/>
  <c r="AO138" i="8" l="1"/>
  <c r="AY138" i="8"/>
  <c r="T22" i="8"/>
  <c r="AO22" i="8" s="1"/>
  <c r="U26" i="8"/>
  <c r="T26" i="8" s="1"/>
  <c r="U52" i="8"/>
  <c r="AP52" i="8" s="1"/>
  <c r="U49" i="8"/>
  <c r="T49" i="8" s="1"/>
  <c r="U75" i="8"/>
  <c r="U118" i="8"/>
  <c r="T118" i="8" s="1"/>
  <c r="U109" i="8"/>
  <c r="T109" i="8" l="1"/>
  <c r="T52" i="8"/>
  <c r="AO52" i="8" s="1"/>
  <c r="V116" i="8"/>
  <c r="AQ116" i="8" s="1"/>
  <c r="W116" i="8"/>
  <c r="AR116" i="8" s="1"/>
  <c r="U28" i="8"/>
  <c r="T28" i="8" s="1"/>
  <c r="W120" i="8" l="1"/>
  <c r="V120" i="8"/>
  <c r="U23" i="8"/>
  <c r="U68" i="8" s="1"/>
  <c r="V122" i="8" l="1"/>
  <c r="AQ122" i="8" s="1"/>
  <c r="AQ120" i="8"/>
  <c r="W122" i="8"/>
  <c r="AR122" i="8" s="1"/>
  <c r="AR120" i="8"/>
  <c r="T23" i="8"/>
  <c r="T68" i="8" s="1"/>
  <c r="T70" i="8" s="1"/>
  <c r="Z127" i="8"/>
  <c r="Y127" i="8" s="1"/>
  <c r="U70" i="8" l="1"/>
  <c r="U116" i="8"/>
  <c r="AP116" i="8" s="1"/>
  <c r="T116" i="8" l="1"/>
  <c r="U115" i="8"/>
  <c r="AP115" i="8" s="1"/>
  <c r="T75" i="8"/>
  <c r="AN116" i="8" l="1"/>
  <c r="AO116" i="8"/>
  <c r="T115" i="8"/>
  <c r="AO115" i="8" s="1"/>
  <c r="U120" i="8"/>
  <c r="U122" i="8" s="1"/>
  <c r="AI95" i="8"/>
  <c r="AD95" i="8"/>
  <c r="Y95" i="8"/>
  <c r="T95" i="8"/>
  <c r="O95" i="8"/>
  <c r="J95" i="8"/>
  <c r="AO95" i="8" l="1"/>
  <c r="AN115" i="8"/>
  <c r="T120" i="8"/>
  <c r="T122" i="8" s="1"/>
  <c r="AE128" i="8" l="1"/>
  <c r="Z128" i="8"/>
  <c r="U128" i="8"/>
  <c r="T128" i="8" l="1"/>
  <c r="T136" i="8" s="1"/>
  <c r="AP128" i="8"/>
  <c r="Z136" i="8"/>
  <c r="Y128" i="8"/>
  <c r="Y136" i="8" s="1"/>
  <c r="AE136" i="8"/>
  <c r="AD128" i="8"/>
  <c r="AD136" i="8" s="1"/>
  <c r="U136" i="8"/>
  <c r="Y43" i="8" l="1"/>
  <c r="Y42" i="8"/>
  <c r="Y41" i="8"/>
  <c r="Y40" i="8"/>
  <c r="Y39" i="8"/>
  <c r="Y38" i="8"/>
  <c r="Y37" i="8"/>
  <c r="Y36" i="8"/>
  <c r="Y35" i="8"/>
  <c r="Y34" i="8"/>
  <c r="Y33" i="8"/>
  <c r="Y32" i="8"/>
  <c r="Y68" i="8" l="1"/>
  <c r="Y70" i="8" s="1"/>
  <c r="AI100" i="8"/>
  <c r="AD100" i="8"/>
  <c r="Y100" i="8"/>
  <c r="T100" i="8"/>
  <c r="AI99" i="8"/>
  <c r="AD99" i="8"/>
  <c r="Y99" i="8"/>
  <c r="T99" i="8"/>
  <c r="AI98" i="8"/>
  <c r="AD98" i="8"/>
  <c r="Y98" i="8"/>
  <c r="T98" i="8"/>
  <c r="AI97" i="8"/>
  <c r="AD97" i="8"/>
  <c r="Y97" i="8"/>
  <c r="T97" i="8"/>
  <c r="AI96" i="8"/>
  <c r="AD96" i="8"/>
  <c r="Y96" i="8"/>
  <c r="T96" i="8"/>
  <c r="AN95" i="8"/>
  <c r="AI88" i="8"/>
  <c r="AY88" i="8" s="1"/>
  <c r="AD88" i="8"/>
  <c r="Y88" i="8"/>
  <c r="T88" i="8"/>
  <c r="AI87" i="8"/>
  <c r="AY87" i="8" s="1"/>
  <c r="AD87" i="8"/>
  <c r="Y87" i="8"/>
  <c r="T87" i="8"/>
  <c r="AI86" i="8"/>
  <c r="AY86" i="8" s="1"/>
  <c r="AD86" i="8"/>
  <c r="Y86" i="8"/>
  <c r="T86" i="8"/>
  <c r="AI85" i="8"/>
  <c r="AI102" i="8" s="1"/>
  <c r="AD85" i="8"/>
  <c r="Y85" i="8"/>
  <c r="T85" i="8"/>
  <c r="P130" i="8" l="1"/>
  <c r="P75" i="8" l="1"/>
  <c r="AP75" i="8" s="1"/>
  <c r="P133" i="8"/>
  <c r="AP133" i="8" s="1"/>
  <c r="P23" i="8"/>
  <c r="O23" i="8" s="1"/>
  <c r="P28" i="8"/>
  <c r="O28" i="8" s="1"/>
  <c r="P46" i="8"/>
  <c r="AP46" i="8" s="1"/>
  <c r="P60" i="8"/>
  <c r="AP60" i="8" s="1"/>
  <c r="P66" i="8"/>
  <c r="AP66" i="8" s="1"/>
  <c r="O60" i="8" l="1"/>
  <c r="AO60" i="8" s="1"/>
  <c r="P136" i="8"/>
  <c r="P118" i="8"/>
  <c r="AP118" i="8" s="1"/>
  <c r="O118" i="8" l="1"/>
  <c r="O133" i="8"/>
  <c r="J133" i="8"/>
  <c r="E133" i="8"/>
  <c r="AO133" i="8" s="1"/>
  <c r="O132" i="8"/>
  <c r="J132" i="8"/>
  <c r="F132" i="8"/>
  <c r="O130" i="8"/>
  <c r="K130" i="8"/>
  <c r="AP130" i="8" s="1"/>
  <c r="E130" i="8"/>
  <c r="O128" i="8"/>
  <c r="J128" i="8"/>
  <c r="E128" i="8"/>
  <c r="O127" i="8"/>
  <c r="K127" i="8"/>
  <c r="AP127" i="8" s="1"/>
  <c r="E127" i="8"/>
  <c r="P109" i="8"/>
  <c r="AP109" i="8" s="1"/>
  <c r="AH102" i="8"/>
  <c r="AG102" i="8"/>
  <c r="AF102" i="8"/>
  <c r="AE102" i="8"/>
  <c r="AC102" i="8"/>
  <c r="AB102" i="8"/>
  <c r="AA102" i="8"/>
  <c r="Z102" i="8"/>
  <c r="X102" i="8"/>
  <c r="W102" i="8"/>
  <c r="V102" i="8"/>
  <c r="U102" i="8"/>
  <c r="S102" i="8"/>
  <c r="R102" i="8"/>
  <c r="Q102" i="8"/>
  <c r="P102" i="8"/>
  <c r="N102" i="8"/>
  <c r="AS102" i="8" s="1"/>
  <c r="M102" i="8"/>
  <c r="AR102" i="8" s="1"/>
  <c r="L102" i="8"/>
  <c r="AQ102" i="8" s="1"/>
  <c r="O100" i="8"/>
  <c r="J100" i="8"/>
  <c r="O99" i="8"/>
  <c r="J99" i="8"/>
  <c r="O98" i="8"/>
  <c r="J98" i="8"/>
  <c r="O97" i="8"/>
  <c r="J97" i="8"/>
  <c r="O96" i="8"/>
  <c r="J96" i="8"/>
  <c r="K91" i="8"/>
  <c r="O88" i="8"/>
  <c r="J88" i="8"/>
  <c r="O87" i="8"/>
  <c r="J87" i="8"/>
  <c r="O86" i="8"/>
  <c r="J86" i="8"/>
  <c r="O85" i="8"/>
  <c r="J85" i="8"/>
  <c r="E85" i="8"/>
  <c r="AM80" i="8"/>
  <c r="AL80" i="8"/>
  <c r="AK80" i="8"/>
  <c r="AJ80" i="8"/>
  <c r="AH80" i="8"/>
  <c r="AG80" i="8"/>
  <c r="AF80" i="8"/>
  <c r="AE80" i="8"/>
  <c r="AE139" i="8" s="1"/>
  <c r="AE141" i="8" s="1"/>
  <c r="AC80" i="8"/>
  <c r="AB80" i="8"/>
  <c r="AA80" i="8"/>
  <c r="Z80" i="8"/>
  <c r="Z139" i="8" s="1"/>
  <c r="Z141" i="8" s="1"/>
  <c r="X80" i="8"/>
  <c r="W80" i="8"/>
  <c r="V80" i="8"/>
  <c r="U80" i="8"/>
  <c r="U139" i="8" s="1"/>
  <c r="U141" i="8" s="1"/>
  <c r="S80" i="8"/>
  <c r="R80" i="8"/>
  <c r="Q80" i="8"/>
  <c r="N80" i="8"/>
  <c r="M80" i="8"/>
  <c r="L80" i="8"/>
  <c r="K80" i="8"/>
  <c r="I80" i="8"/>
  <c r="H80" i="8"/>
  <c r="G80" i="8"/>
  <c r="F80" i="8"/>
  <c r="Y79" i="8"/>
  <c r="J79" i="8"/>
  <c r="Y78" i="8"/>
  <c r="J78" i="8"/>
  <c r="Y77" i="8"/>
  <c r="J77" i="8"/>
  <c r="Y76" i="8"/>
  <c r="J76" i="8"/>
  <c r="AD75" i="8"/>
  <c r="Y75" i="8"/>
  <c r="P80" i="8"/>
  <c r="J75" i="8"/>
  <c r="E75" i="8"/>
  <c r="O67" i="8"/>
  <c r="AO67" i="8" s="1"/>
  <c r="O66" i="8"/>
  <c r="J66" i="8"/>
  <c r="F59" i="8"/>
  <c r="K56" i="8"/>
  <c r="J56" i="8" s="1"/>
  <c r="F56" i="8"/>
  <c r="K53" i="8"/>
  <c r="J53" i="8" s="1"/>
  <c r="F53" i="8"/>
  <c r="F50" i="8"/>
  <c r="K49" i="8"/>
  <c r="P47" i="8"/>
  <c r="O46" i="8"/>
  <c r="J46" i="8"/>
  <c r="O45" i="8"/>
  <c r="J45" i="8"/>
  <c r="O43" i="8"/>
  <c r="AO43" i="8" s="1"/>
  <c r="O42" i="8"/>
  <c r="O41" i="8"/>
  <c r="AO41" i="8" s="1"/>
  <c r="O40" i="8"/>
  <c r="AO40" i="8" s="1"/>
  <c r="O39" i="8"/>
  <c r="AO39" i="8" s="1"/>
  <c r="O38" i="8"/>
  <c r="AO38" i="8" s="1"/>
  <c r="O37" i="8"/>
  <c r="AO37" i="8" s="1"/>
  <c r="O36" i="8"/>
  <c r="AO36" i="8" s="1"/>
  <c r="O35" i="8"/>
  <c r="AO35" i="8" s="1"/>
  <c r="O34" i="8"/>
  <c r="AO34" i="8" s="1"/>
  <c r="O33" i="8"/>
  <c r="AO33" i="8" s="1"/>
  <c r="O32" i="8"/>
  <c r="AO32" i="8" s="1"/>
  <c r="F28" i="8"/>
  <c r="F26" i="8"/>
  <c r="K24" i="8"/>
  <c r="K23" i="8"/>
  <c r="K68" i="8" s="1"/>
  <c r="F23" i="8"/>
  <c r="P21" i="8"/>
  <c r="E17" i="8"/>
  <c r="AO17" i="8" s="1"/>
  <c r="AY15" i="8"/>
  <c r="AO66" i="8" l="1"/>
  <c r="AO76" i="8"/>
  <c r="AO78" i="8"/>
  <c r="AO87" i="8"/>
  <c r="AP80" i="8"/>
  <c r="Q139" i="8"/>
  <c r="Q141" i="8" s="1"/>
  <c r="AA139" i="8"/>
  <c r="AA141" i="8" s="1"/>
  <c r="L139" i="8"/>
  <c r="L141" i="8" s="1"/>
  <c r="V139" i="8"/>
  <c r="V141" i="8" s="1"/>
  <c r="AF139" i="8"/>
  <c r="AF141" i="8" s="1"/>
  <c r="AO86" i="8"/>
  <c r="AO88" i="8"/>
  <c r="AO77" i="8"/>
  <c r="AO79" i="8"/>
  <c r="J91" i="8"/>
  <c r="AO91" i="8" s="1"/>
  <c r="AP91" i="8"/>
  <c r="J49" i="8"/>
  <c r="AO49" i="8" s="1"/>
  <c r="AP49" i="8"/>
  <c r="AP23" i="8"/>
  <c r="E28" i="8"/>
  <c r="AO28" i="8" s="1"/>
  <c r="AP28" i="8"/>
  <c r="AO42" i="8"/>
  <c r="AO46" i="8"/>
  <c r="E50" i="8"/>
  <c r="AO50" i="8" s="1"/>
  <c r="AP50" i="8"/>
  <c r="E56" i="8"/>
  <c r="AO56" i="8" s="1"/>
  <c r="AP56" i="8"/>
  <c r="AQ80" i="8"/>
  <c r="R139" i="8"/>
  <c r="R141" i="8" s="1"/>
  <c r="W139" i="8"/>
  <c r="W141" i="8" s="1"/>
  <c r="AB139" i="8"/>
  <c r="AB141" i="8" s="1"/>
  <c r="AG139" i="8"/>
  <c r="AG141" i="8" s="1"/>
  <c r="AO96" i="8"/>
  <c r="AO98" i="8"/>
  <c r="AO100" i="8"/>
  <c r="AP132" i="8"/>
  <c r="P68" i="8"/>
  <c r="AP21" i="8"/>
  <c r="E53" i="8"/>
  <c r="AO53" i="8" s="1"/>
  <c r="AP53" i="8"/>
  <c r="H139" i="8"/>
  <c r="AR80" i="8"/>
  <c r="E26" i="8"/>
  <c r="AO26" i="8" s="1"/>
  <c r="AP26" i="8"/>
  <c r="J24" i="8"/>
  <c r="AO24" i="8" s="1"/>
  <c r="AP24" i="8"/>
  <c r="AO45" i="8"/>
  <c r="O47" i="8"/>
  <c r="AO47" i="8" s="1"/>
  <c r="AP47" i="8"/>
  <c r="E59" i="8"/>
  <c r="AO59" i="8" s="1"/>
  <c r="AP59" i="8"/>
  <c r="I139" i="8"/>
  <c r="AS80" i="8"/>
  <c r="AO97" i="8"/>
  <c r="AO99" i="8"/>
  <c r="AO128" i="8"/>
  <c r="AN118" i="8"/>
  <c r="AO118" i="8"/>
  <c r="S139" i="8"/>
  <c r="S141" i="8" s="1"/>
  <c r="X139" i="8"/>
  <c r="X141" i="8" s="1"/>
  <c r="AC139" i="8"/>
  <c r="AC141" i="8" s="1"/>
  <c r="AH139" i="8"/>
  <c r="AH141" i="8" s="1"/>
  <c r="AL139" i="8"/>
  <c r="BB139" i="8" s="1"/>
  <c r="F68" i="8"/>
  <c r="M139" i="8"/>
  <c r="M141" i="8" s="1"/>
  <c r="AM139" i="8"/>
  <c r="AJ139" i="8"/>
  <c r="AZ139" i="8" s="1"/>
  <c r="AK139" i="8"/>
  <c r="BA139" i="8" s="1"/>
  <c r="N139" i="8"/>
  <c r="N141" i="8" s="1"/>
  <c r="O21" i="8"/>
  <c r="AO21" i="8" s="1"/>
  <c r="O109" i="8"/>
  <c r="AO109" i="8" s="1"/>
  <c r="P120" i="8"/>
  <c r="O69" i="8"/>
  <c r="G139" i="8"/>
  <c r="G141" i="8" s="1"/>
  <c r="E23" i="8"/>
  <c r="J23" i="8"/>
  <c r="J68" i="8" s="1"/>
  <c r="J70" i="8" s="1"/>
  <c r="AN20" i="8"/>
  <c r="AY16" i="8"/>
  <c r="AY17" i="8"/>
  <c r="AY18" i="8"/>
  <c r="AN19" i="8"/>
  <c r="AN22" i="8"/>
  <c r="AN24" i="8"/>
  <c r="AN25" i="8"/>
  <c r="AN27" i="8"/>
  <c r="AN29" i="8"/>
  <c r="AN33" i="8"/>
  <c r="AN35" i="8"/>
  <c r="AN37" i="8"/>
  <c r="AN39" i="8"/>
  <c r="AN41" i="8"/>
  <c r="AN61" i="8"/>
  <c r="AN64" i="8"/>
  <c r="AN67" i="8"/>
  <c r="AN89" i="8"/>
  <c r="AN32" i="8"/>
  <c r="AN34" i="8"/>
  <c r="AN36" i="8"/>
  <c r="AN38" i="8"/>
  <c r="AN40" i="8"/>
  <c r="AN121" i="8"/>
  <c r="J130" i="8"/>
  <c r="AO130" i="8" s="1"/>
  <c r="O136" i="8"/>
  <c r="J127" i="8"/>
  <c r="AN127" i="8" s="1"/>
  <c r="K136" i="8"/>
  <c r="E132" i="8"/>
  <c r="AO132" i="8" s="1"/>
  <c r="F136" i="8"/>
  <c r="AN15" i="8"/>
  <c r="AN43" i="8"/>
  <c r="AN87" i="8"/>
  <c r="AN30" i="8"/>
  <c r="AN96" i="8"/>
  <c r="AN42" i="8"/>
  <c r="E80" i="8"/>
  <c r="AN45" i="8"/>
  <c r="AN55" i="8"/>
  <c r="AN59" i="8"/>
  <c r="AN100" i="8"/>
  <c r="J80" i="8"/>
  <c r="AN17" i="8"/>
  <c r="AN48" i="8"/>
  <c r="AN54" i="8"/>
  <c r="AN58" i="8"/>
  <c r="AN77" i="8"/>
  <c r="AN52" i="8"/>
  <c r="AN57" i="8"/>
  <c r="O80" i="8"/>
  <c r="AN78" i="8"/>
  <c r="AN86" i="8"/>
  <c r="AN99" i="8"/>
  <c r="AN16" i="8"/>
  <c r="AN18" i="8"/>
  <c r="AN21" i="8"/>
  <c r="AN46" i="8"/>
  <c r="AN60" i="8"/>
  <c r="AN66" i="8"/>
  <c r="Y80" i="8"/>
  <c r="AI80" i="8"/>
  <c r="AN85" i="8"/>
  <c r="AN88" i="8"/>
  <c r="AN97" i="8"/>
  <c r="AN98" i="8"/>
  <c r="T80" i="8"/>
  <c r="AD80" i="8"/>
  <c r="O102" i="8"/>
  <c r="AN79" i="8"/>
  <c r="E102" i="8"/>
  <c r="Y102" i="8"/>
  <c r="T102" i="8"/>
  <c r="AN130" i="8"/>
  <c r="AN62" i="8"/>
  <c r="AN76" i="8"/>
  <c r="AD102" i="8"/>
  <c r="AN128" i="8"/>
  <c r="K102" i="8"/>
  <c r="AP102" i="8" s="1"/>
  <c r="AN133" i="8"/>
  <c r="O75" i="8"/>
  <c r="AN75" i="8" s="1"/>
  <c r="AN28" i="8" l="1"/>
  <c r="AN47" i="8"/>
  <c r="J102" i="8"/>
  <c r="AO102" i="8" s="1"/>
  <c r="AN91" i="8"/>
  <c r="AN102" i="8" s="1"/>
  <c r="AM141" i="8"/>
  <c r="BC141" i="8" s="1"/>
  <c r="BC139" i="8"/>
  <c r="O68" i="8"/>
  <c r="O70" i="8" s="1"/>
  <c r="AN50" i="8"/>
  <c r="Y139" i="8"/>
  <c r="Y141" i="8" s="1"/>
  <c r="AO80" i="8"/>
  <c r="AP136" i="8"/>
  <c r="O140" i="8"/>
  <c r="AO140" i="8" s="1"/>
  <c r="AO69" i="8"/>
  <c r="I141" i="8"/>
  <c r="AS139" i="8"/>
  <c r="AO127" i="8"/>
  <c r="AO23" i="8"/>
  <c r="P122" i="8"/>
  <c r="AP122" i="8" s="1"/>
  <c r="AP120" i="8"/>
  <c r="AQ139" i="8"/>
  <c r="AO75" i="8"/>
  <c r="H141" i="8"/>
  <c r="AR139" i="8"/>
  <c r="E68" i="8"/>
  <c r="AP68" i="8"/>
  <c r="AN109" i="8"/>
  <c r="AN120" i="8" s="1"/>
  <c r="AN69" i="8"/>
  <c r="AN140" i="8" s="1"/>
  <c r="AJ141" i="8"/>
  <c r="AZ141" i="8" s="1"/>
  <c r="AK141" i="8"/>
  <c r="BA141" i="8" s="1"/>
  <c r="AL141" i="8"/>
  <c r="BB141" i="8" s="1"/>
  <c r="AI139" i="8"/>
  <c r="AY139" i="8" s="1"/>
  <c r="T139" i="8"/>
  <c r="T141" i="8" s="1"/>
  <c r="AD139" i="8"/>
  <c r="AD141" i="8" s="1"/>
  <c r="F139" i="8"/>
  <c r="F141" i="8" s="1"/>
  <c r="F70" i="8"/>
  <c r="O120" i="8"/>
  <c r="P139" i="8"/>
  <c r="P141" i="8" s="1"/>
  <c r="P70" i="8"/>
  <c r="K139" i="8"/>
  <c r="K141" i="8" s="1"/>
  <c r="K70" i="8"/>
  <c r="AN56" i="8"/>
  <c r="AN49" i="8"/>
  <c r="J136" i="8"/>
  <c r="AN53" i="8"/>
  <c r="AN26" i="8"/>
  <c r="AN23" i="8"/>
  <c r="E136" i="8"/>
  <c r="AO136" i="8" s="1"/>
  <c r="AN132" i="8"/>
  <c r="AN136" i="8" s="1"/>
  <c r="AN80" i="8"/>
  <c r="J139" i="8" l="1"/>
  <c r="J141" i="8" s="1"/>
  <c r="AO68" i="8"/>
  <c r="AN138" i="8"/>
  <c r="AS141" i="8"/>
  <c r="E70" i="8"/>
  <c r="AO70" i="8" s="1"/>
  <c r="AP70" i="8"/>
  <c r="E139" i="8"/>
  <c r="E141" i="8" s="1"/>
  <c r="AR141" i="8"/>
  <c r="AN68" i="8"/>
  <c r="AN70" i="8" s="1"/>
  <c r="O122" i="8"/>
  <c r="AO122" i="8" s="1"/>
  <c r="AO120" i="8"/>
  <c r="AP139" i="8"/>
  <c r="AP141" i="8"/>
  <c r="AQ141" i="8"/>
  <c r="AI141" i="8"/>
  <c r="AY141" i="8" s="1"/>
  <c r="AN122" i="8"/>
  <c r="O139" i="8"/>
  <c r="O141" i="8" s="1"/>
  <c r="AO139" i="8" l="1"/>
  <c r="AO141" i="8"/>
  <c r="AN139" i="8"/>
  <c r="AN141" i="8" s="1"/>
</calcChain>
</file>

<file path=xl/sharedStrings.xml><?xml version="1.0" encoding="utf-8"?>
<sst xmlns="http://schemas.openxmlformats.org/spreadsheetml/2006/main" count="2659" uniqueCount="1487">
  <si>
    <t xml:space="preserve">Реконструкция светофорных объектов  </t>
  </si>
  <si>
    <t xml:space="preserve">Создание и установка указателей маршрутного ориентирования участников дорожного движения      </t>
  </si>
  <si>
    <t xml:space="preserve">Паспортизация автомобильных дорог (техническое освидетельствование состояния объектов улично-дорожной сети) </t>
  </si>
  <si>
    <t xml:space="preserve">Замена павильонов ООТ </t>
  </si>
  <si>
    <t>№</t>
  </si>
  <si>
    <t>Итого</t>
  </si>
  <si>
    <t>Всего</t>
  </si>
  <si>
    <t xml:space="preserve">Участие в организации городского конкурса профессионального мастерства водителей </t>
  </si>
  <si>
    <t>Предупреждение и устранение аварийных ситуаций (в т.ч. устранение розлива нефтепродуктов)</t>
  </si>
  <si>
    <t>Проведение конкурса на лучшее образовательное учреждение по организации работы с детьми по профилактике детского дорожно-транспортного травматизма</t>
  </si>
  <si>
    <t>Проведение фестиваля юных инспекторов дорожного движения</t>
  </si>
  <si>
    <t>Выпуск целевой литературы, печатной и сувенирной  продукции по тематике безопасности дорожного движения для распространения её в организациях, на автостоянках, в автогаражных объединениях, на остановках общественного транспорта</t>
  </si>
  <si>
    <t xml:space="preserve">Разработка и издание методических материалов по обучению детей безопасному поведению на дорогах </t>
  </si>
  <si>
    <t>Размещение информации по безопасности дорожного движения  в средствах массовой информации, общественном транспорте, кинотеатрах</t>
  </si>
  <si>
    <t xml:space="preserve">Строительство (реконструкция) надземных и подземных пешеходных переходов                                  
</t>
  </si>
  <si>
    <t>Проведение городских конкурсов, викторин, сборов, фестивалей по профилактике детского дорожного травматизма и обучению детей безопасному поведению на дорогах</t>
  </si>
  <si>
    <t>Оснащение   муниципальных образовательных учреждений современным оборудованием и средствами обучения безопасному поведению на дорогах (тренажеры, компьютерные обучающие игры)</t>
  </si>
  <si>
    <t>Устройство пешеходных дорожек</t>
  </si>
  <si>
    <t xml:space="preserve">Разработка рабочего проекта устройства светофорных объектов  
</t>
  </si>
  <si>
    <t xml:space="preserve">Реконструкция пересечений  автодорог                                 </t>
  </si>
  <si>
    <t>Сроки реализации</t>
  </si>
  <si>
    <t>местный      бюджет</t>
  </si>
  <si>
    <t>областной  бюджет</t>
  </si>
  <si>
    <t>федеральный   бюджет</t>
  </si>
  <si>
    <t>Внебюджетные средства</t>
  </si>
  <si>
    <t xml:space="preserve"> План на 2014 год</t>
  </si>
  <si>
    <t xml:space="preserve"> План на 2015 год</t>
  </si>
  <si>
    <t xml:space="preserve"> План на 2016 год</t>
  </si>
  <si>
    <t xml:space="preserve"> План на 2017 год</t>
  </si>
  <si>
    <t xml:space="preserve"> План на 2018 год</t>
  </si>
  <si>
    <t xml:space="preserve"> План на 2019 год</t>
  </si>
  <si>
    <t xml:space="preserve"> План на 2020 год</t>
  </si>
  <si>
    <t>ИТОГО ПО ПОДПРОГРАММЕ "РАЧC"</t>
  </si>
  <si>
    <t>Приобретение материалов и специальных частей для проведения капитального ремонта контактной сети</t>
  </si>
  <si>
    <t>Модернизация оборудования энергохозяйства</t>
  </si>
  <si>
    <t>ИТОГО ПО ПОДПРОГРАММЕ "РГПТ"</t>
  </si>
  <si>
    <t>2014-2020</t>
  </si>
  <si>
    <t>2015-2020</t>
  </si>
  <si>
    <t>Приобретение средств визуального оповещения для оборудования существующего парка общественного транспорта для перевозки людей с ограниченными возможностями здоровья</t>
  </si>
  <si>
    <t>Содержание МКУ "ЦОДД  ГОТ"</t>
  </si>
  <si>
    <t>Приобретение троллейбусов (низкопольные), средства визуального оповещения</t>
  </si>
  <si>
    <t>2014-2017</t>
  </si>
  <si>
    <t>Приобретение ограничивающих пешеходных  ограждений и выполнение работ по их установке для нужд городского округа Тольятти</t>
  </si>
  <si>
    <t>Проведение акций "Внимание дети!", "Внимание пешеход!" "Вежливый водитель", "Зебра"; привлечение информационных и рекламных агенств к проведению профилактических акций, направленных на укрепление дисциплины участников дорожного движения.</t>
  </si>
  <si>
    <t>Создание видео- и телевизионной информационно-пропагандистской продукции по безопасности дорожного движения.</t>
  </si>
  <si>
    <t xml:space="preserve">Закупка заготовок  дорожных знаков                                                          </t>
  </si>
  <si>
    <t>Приобретение спецтехники</t>
  </si>
  <si>
    <t>Приобретение мебели, компьютерной техники, оргтехники, носителей иформации.</t>
  </si>
  <si>
    <t xml:space="preserve">Приобретение материалов для содержания ТСОДД, ремонта остановочных павильонов   </t>
  </si>
  <si>
    <t>Модернизация светофорных объектов</t>
  </si>
  <si>
    <t xml:space="preserve">Устройство парковочных площадок, карманов  и стоянок                                               </t>
  </si>
  <si>
    <t xml:space="preserve">Изготовление и установка табличек на остановочных пунктах                                                     </t>
  </si>
  <si>
    <t xml:space="preserve">Приобретение специальных транспортных средств (автовышек) для обслуживания контактной сети троллейбусов     </t>
  </si>
  <si>
    <t>Нанесение горизонтальной дорожной разметки</t>
  </si>
  <si>
    <t>Проектирование реконструкции пересечений автодорог</t>
  </si>
  <si>
    <t xml:space="preserve">Выполнение проектно-изыскательских работ для обеспечения дорожной деятельности в отношении автодорог городского округа Тольятти, расположенных в зоне застройки индивидуальными жилыми домами </t>
  </si>
  <si>
    <t>Капитальный ремонт автодорог городского округа Тольятти, расположенных в зоне застройки индивидуальными жилыми домами</t>
  </si>
  <si>
    <t>Строительство автодорог  городского округа Тольятти, расположенных в зоне застройки индивидуальными жилыми домами</t>
  </si>
  <si>
    <t>Ремонт автодорог городского округа Тольятти, расположенных в зоне застройки индивидуальными жилыми домами</t>
  </si>
  <si>
    <t>Приобретение  дорожных знаков и выполнение работ по их установке</t>
  </si>
  <si>
    <t>Осуществление технологического присоединения энергопринимающих устройств объектов</t>
  </si>
  <si>
    <t xml:space="preserve">Приобретение автобусов "МАЗ" (низкопольные) на компримированном природном газе          </t>
  </si>
  <si>
    <t xml:space="preserve">Мероприятие по приобретению автобусов вместимостью более 18 мест на условиях лизинга, 2012г. - 102 ед.                     </t>
  </si>
  <si>
    <t>Проведение исследования по вопросам эффективности профилактики детского дорожно-транспортного травматизма в образовательных учреждениях</t>
  </si>
  <si>
    <t>Цель муниципальной программы: Развитие дорожно-транспортной инфраструктуры в городском округе Тольятти, обеспечение безопасных условий дорожного движения.</t>
  </si>
  <si>
    <t>Задача 1 муниципальной программы: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t>
  </si>
  <si>
    <t>Задача подпрограммы: проведение организационных и инженерных мер, направленных на предупреждение причин возникновения дорожно-транспортных происшествий</t>
  </si>
  <si>
    <t>Задача подпрограммы: совершенствование системы мер по предупреждению дорожно-транспортных  происшествий</t>
  </si>
  <si>
    <t>Задача подпрограммы: повышение эффективности планирования работ по строительству,  реконструкции,  ремонту и содержанию автодорог</t>
  </si>
  <si>
    <t>Задача 2 муниципальной программы: Повышение уровня благоустройства зоны застройки индивидуальными жилыми домами городского округа Тольятти за счет капитального ремонта, строительства и ремонта автомобильных дорог</t>
  </si>
  <si>
    <t>Задача подпрограммы: совершенствование технического и технологического обеспечения транспортного обслуживания</t>
  </si>
  <si>
    <t>Задача 3 муниципальной программы: Повышение качества и доступности транспортных услуг, обеспечение устойчивого и безопасного функционирования пассажирского транспорта</t>
  </si>
  <si>
    <t>Задача подпрограммы: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t>
  </si>
  <si>
    <t>Задача подпрограммы: выполнение мероприятий по организации  дорожного движения</t>
  </si>
  <si>
    <t>Задача подпрограммы : создание условий для осуществления деятельности муниципального казенного учреждения "Центр организации дорожного движения городского округа Тольятти"</t>
  </si>
  <si>
    <t>Цель подпрограммы: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t>
  </si>
  <si>
    <t>Задача подпрограммы: оптимизация режимов движения на участках улично-дорожной сети с использованием современных схем организации  дорожного движения, технических средств организации  дорожного движения  и автоматизированных систем управления дорожного движения</t>
  </si>
  <si>
    <t>Цель подпрограммы: Повышение уровня благоустройства зоны застройки индивидуальными жилыми домами городского округа Тольятти за счет капитального ремонта, строительства и ремонта автомобильных дорог</t>
  </si>
  <si>
    <t>Цель подпрограммы: Повышение качества и доступности транспортных услуг, обеспечение устойчивого и безопасного функционирования пассажирского транспорта</t>
  </si>
  <si>
    <t>Задача подпрограммы: оптимизация структуры парков транспортных средств и ускорение обновления их состава</t>
  </si>
  <si>
    <t>Задача подпрограммы: проектирование, строительство, реконструкция, капитальный ремонт и ремонт автомобильных дорог общего пользования местного значения городского округа Тольятти</t>
  </si>
  <si>
    <t>Строительство дорог общего пользования местного значения городского округа Тольятти</t>
  </si>
  <si>
    <t>Реконструкция дорог общего пользования местного значения городского округа Тольятти</t>
  </si>
  <si>
    <t>Цель подпрограммы: Содействие экономическому и социальному развитию г.о.Тольятти, повышению уровня жизни горожан за счет совершенствования и развития улично-дорожной сети в соответствии с их нуждами.</t>
  </si>
  <si>
    <t>Финансовое обеспечение реализации муниципальной программы, тыс. руб.</t>
  </si>
  <si>
    <t>Ответственный 
исполнитель</t>
  </si>
  <si>
    <t xml:space="preserve">
Наименование целей, задач и мероприятий муниципальной программы</t>
  </si>
  <si>
    <t>2014-2018</t>
  </si>
  <si>
    <t>Капитальный ремонт дорог общего пользования местного значения городского округа Тольятти</t>
  </si>
  <si>
    <t>Задача 5 муниципальной программы: Содействие экономическому и социальному развитию городского округа Тольятти, повышению уровня жизни горожан за счет совершенствования и развития улично-дорожной сети в соответствии с их нуждами</t>
  </si>
  <si>
    <t xml:space="preserve">Приобретение автобусов,  работающих на компримированном природном газе                     </t>
  </si>
  <si>
    <t>Мероприятия по решению неотложных задач по приведению в нормативное состояние автомобильных дорог местного значения городского округа Тольятти</t>
  </si>
  <si>
    <t xml:space="preserve">Перечень мероприятий муниципальной программы"Развитие транспортной системы и дорожного хозяйства городского округа Тольятти на 2014-2020 гг." </t>
  </si>
  <si>
    <t xml:space="preserve">Подпрограмма "Повышение безопасности дорожного движения на период 2014-2020 гг."                       </t>
  </si>
  <si>
    <t>Подпрограмма "Развитие автомобильных дорог городского округа Тольятти, расположенных в зоне застройки индивидуальными жилыми домами на 2014-2020 гг."</t>
  </si>
  <si>
    <t>Подпрограмма "Развитие  городского пассажирского транспорта в городском округе Тольяттина период 2014-2020 гг."</t>
  </si>
  <si>
    <t xml:space="preserve">Подпрограмма"Модернизация и развитие автомобильных дорог  общего пользования местного значения  городского округа  Тольятти на 2014 -2020 гг." </t>
  </si>
  <si>
    <t>Подпрограмма "Содержание улично-дорожной сети на 2014-2020 гг."</t>
  </si>
  <si>
    <t>Устройство пешеходных дорожек (ликвидация места разворота транспортных средств)</t>
  </si>
  <si>
    <t xml:space="preserve">Устройство линий наружного электроосвещения      </t>
  </si>
  <si>
    <t xml:space="preserve">Департамент дорожного хозяйства и транспорта  администрации городского округа Тольятти </t>
  </si>
  <si>
    <t>Департамент дорожного хозяйства и транспорта администрации городского округа Тольятти</t>
  </si>
  <si>
    <t>Департамент дорожного хозяйства и транспорта  администрации городского округа Тольятти</t>
  </si>
  <si>
    <t xml:space="preserve">Департамент дорожного хозяйства и транспорта  администрации городского округа Тольятти                                   </t>
  </si>
  <si>
    <t>Департамент дорожного хозяйства и транспорта  администрации городского округа Тольятти                              МКУ "ЦОДД ГОТ"</t>
  </si>
  <si>
    <t>Департамент дорожного хозяйства и транспорта  администрации городского округа Тольятти                         МКУ "ЦОДД ГОТ"</t>
  </si>
  <si>
    <t xml:space="preserve">Департамент дорожного хозяйства и транспорта  администрации городского округа Тольятти                           </t>
  </si>
  <si>
    <t>Департамент образования администрации городского округа Тольятти</t>
  </si>
  <si>
    <t xml:space="preserve">Департамент общественной безопасности администрации городского округа Тольятти </t>
  </si>
  <si>
    <t>Департамент общественной безопасности администрации городского округа Тольятти</t>
  </si>
  <si>
    <t xml:space="preserve">Департамент дорожного хозяйства и транспорта  администрации городского округа Тольятти                              </t>
  </si>
  <si>
    <t xml:space="preserve">Департамент дорожного хозяйства и транспорта администрации городского округа Тольятти                            </t>
  </si>
  <si>
    <t>Департамент дорожного хозяйства и транспорта  администрации городского округа Тольятти                                 МКУ "ЦОДД ГОТ"</t>
  </si>
  <si>
    <t>Департамент дорожного хозяйства и транспорта  администрации городского округа Тольятти                                         МКУ "ЦОДД ГОТ"</t>
  </si>
  <si>
    <t>Департамент дорожного хозяйства и транспорта  администрации городского округа Тольятти                                                    МКУ "ЦОДД ГОТ"</t>
  </si>
  <si>
    <t>Департамент дорожного хозяйства и транспорта  администрации городского округа Тольятти                                     МКУ "ЦОДД ГОТ"</t>
  </si>
  <si>
    <t>Департамент дорожного хозяйства и транспорта  администрации городского округа Тольятти                                                МКУ "ЦОДД ГОТ"</t>
  </si>
  <si>
    <t>Департамент дорожного хозяйства и транспорта            администрации городского округа Тольятти</t>
  </si>
  <si>
    <t>Департамент дорожного хозяйства и транспорта  администрации городского округа Тольятти                                Департамент градостроительной деятельности администрации городского округа Тольятти</t>
  </si>
  <si>
    <t xml:space="preserve">Департамент дорожного хозяйства и транспорта администрации городского округа Тольятти </t>
  </si>
  <si>
    <t xml:space="preserve">Департамент по управлению муниципальным имуществом администрации городского округа Тольятти </t>
  </si>
  <si>
    <t xml:space="preserve">Департамент дорожного хозяйства и транспорта  администрации городского округа Тольятти                                Департамент градостроительной деятельности администрации городского округа Тольятти                Департамент по управлению муниципальным имуществом администрации городского округа Тольятти </t>
  </si>
  <si>
    <t>Приобретение низкопольных троллейбусов, путем заключения муниципального контракта на оказание услуг финансовой аренды (лизинга)</t>
  </si>
  <si>
    <t xml:space="preserve">Департамент городского хозяйства  администрации городского округа Тольятти, департамент дорожного хозяйства и транспорта администрации городского округа Тольятти </t>
  </si>
  <si>
    <t>2017-2019</t>
  </si>
  <si>
    <t>2017-2018</t>
  </si>
  <si>
    <t xml:space="preserve">Содержание   надземных и подземных пешеходных переходов </t>
  </si>
  <si>
    <t>2016-2018</t>
  </si>
  <si>
    <t xml:space="preserve">Исполнение судебного решения, вступившего в законную силу, касающегося уплаты городскими округами основного долга  по муниципальному контракту </t>
  </si>
  <si>
    <t>2018-2019</t>
  </si>
  <si>
    <t>2016-2018, 2020</t>
  </si>
  <si>
    <t>2014, 2016</t>
  </si>
  <si>
    <t>2014-2015</t>
  </si>
  <si>
    <t>Проектно-изыскательские работы по устройству линий наружного электроосвещения, в т.ч. инженерные изыскания; экспертиза выполненных работ</t>
  </si>
  <si>
    <t>Проектирование устройства пешеходных дорожек, в т.ч. экспертиза выполненных работ</t>
  </si>
  <si>
    <t xml:space="preserve">Устройство и перенос остановок общественного транспорта  на территории городского округа Тольятти                                                                                                                                                              </t>
  </si>
  <si>
    <t xml:space="preserve">Проектирование устройства и переноса остановок общественного транспорта, в т.ч. экспертиза выполненных работ   </t>
  </si>
  <si>
    <t>2014, 2017-2020</t>
  </si>
  <si>
    <t>2014, 2018-2019</t>
  </si>
  <si>
    <t>2014, 2020</t>
  </si>
  <si>
    <t>2014, 2017,2019</t>
  </si>
  <si>
    <t xml:space="preserve">Выполнение проектно-изыскательских работ для обеспечения дорожной деятельности в отношении дорог местного значения городского округа Тольятти, в т.ч. геодезические работы </t>
  </si>
  <si>
    <t>Проектирование устройства парковочных площадок (карманов  и стоянок)</t>
  </si>
  <si>
    <t xml:space="preserve">Приобретение ограничивающих пешеходных и барьерных ограждений  </t>
  </si>
  <si>
    <t>Ремонт надземных пешеходных переходов, путепроводов (мостов - трасса М5 "Москва-Челябинск",  пешеходный переход Автозаводское шоссе")</t>
  </si>
  <si>
    <t>Выполнение проектно-изыскательских работ по капитальному ремонту путепроводов, подземных пешеходных переходов и мостов: в 2019г. - подземный переход через автодорогу по ул.Свердлова в р-не д.№80</t>
  </si>
  <si>
    <t>Задача подпрограммы: обеспечение перевозки пассажиров на маршрутах, финансируемых за счет средств бюджета городского округа Тольятти, сокращение интервалов движения транспортных средств по маршрутам</t>
  </si>
  <si>
    <t>Задача подпрограммы: приведение в нормативное состояние автомобильных дорог городского округа Тольятти, расположенных в зоне застройки индивидуальными жилыми домами, за счет увеличения их площади и  пропускной способности</t>
  </si>
  <si>
    <t>Отсыпка автомобильных дорог городского округа Тольятти, расположенных в зоне застройки индивидуальными жилыми домами, асфальтогранулятом,  в т.ч. экспертиза выполненных работ</t>
  </si>
  <si>
    <t>Ремонт дворовых территорий многоквартирных домов, проездов к дворовым территориям многоквартирных домов городского округа Тольятти</t>
  </si>
  <si>
    <t xml:space="preserve">Выполнение проектно-изыскательских работ по капитальному ремонту, ремонту дорог общего пользования местного значения городского округа Тольятти, в т.ч. диагностика автодорог, изготовление технических паспортов автодорог </t>
  </si>
  <si>
    <t xml:space="preserve">Приложение № 2                                                                                                                                                   к  муниципальной программе "Развитие транспортной системы и дорожного хозяйства городского округа Тольятти на 2014-2020 гг."
</t>
  </si>
  <si>
    <t>ПОКАЗАТЕЛИ (ИНДИКАТОРЫ) МУНИЦИПАЛЬНОЙ ПРОГРАММЫ "РАЗВИТИЕ ТРАНСПОРТНОЙ СИСТЕМЫ И ДОРОЖНОГО ХОЗЯЙСТВА ГОРОДСКОГО ОКРУГА ТОЛЬЯТТИ НА 2014-2020 ГГ."</t>
  </si>
  <si>
    <t>Наименование показателей (индикаторов)</t>
  </si>
  <si>
    <t>Единица измерения</t>
  </si>
  <si>
    <t>Базовое значение</t>
  </si>
  <si>
    <t>Значение показателей (индикаторов) по годам</t>
  </si>
  <si>
    <t>Цель муниципальной программы: Развитие дорожно-транспортной инфраструктуры в городском округе Тольятти, обеспечение безопасных условий дорожного движения</t>
  </si>
  <si>
    <t xml:space="preserve">Цель подпрограммы: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t>
  </si>
  <si>
    <t>Проектирование строительства (реконструкции) надземных и подземных пешеходных переходов</t>
  </si>
  <si>
    <t>Количество проектных  работ на строительство (реконструкцию) надземных и подземных пешеходных переходов</t>
  </si>
  <si>
    <t>шт.</t>
  </si>
  <si>
    <t>-</t>
  </si>
  <si>
    <t>Строительство (реконструкция) надземных и подземных пешеходных переходов</t>
  </si>
  <si>
    <t>Количество  вновь введенных в эксплуатацию (реконструируемых) надземных и подземных пешеходных переходов</t>
  </si>
  <si>
    <t xml:space="preserve">Проектирование капремонта (ремонта) надземных и подземных пешеходных переходов </t>
  </si>
  <si>
    <t>Количество проектных  работ на капремонт (ремонт) надземных и подземных пешеходных переходов</t>
  </si>
  <si>
    <t>Капремонт (ремонт) надземных и подземных пешеходных переходов</t>
  </si>
  <si>
    <t>Количество отремонтированных путем кап. ремонта и ремонта надземных и подземных пешеходных переходов</t>
  </si>
  <si>
    <t>Количество объектов, к которым осуществлено присоединение энергопринимающих устройств</t>
  </si>
  <si>
    <t xml:space="preserve">Проектно-изыскательские работы по устройству линий наружного электроосвещения, в т.ч. инженерные изыскания, экспертиза выполненных работ         </t>
  </si>
  <si>
    <t>Количество проектных работ на строительство линий наружного электроосвещения</t>
  </si>
  <si>
    <t>Количество экспертных заключений на соответствие выполненных работ условиям муниципальных контрактов</t>
  </si>
  <si>
    <t xml:space="preserve">Устройство линий наружного электроосвещения мест концентрации ДТП     </t>
  </si>
  <si>
    <t xml:space="preserve">Количество устроенных линий наружного электроосвещения мест концентрации ДТП    </t>
  </si>
  <si>
    <t xml:space="preserve">Приобретение ограничивающих пешеходных и барьерных ограждений   </t>
  </si>
  <si>
    <t>Количество приобретенных секций пешеходных и барьерных ограждений</t>
  </si>
  <si>
    <t xml:space="preserve">Приобретение ограничивающих пешеходных  ограждений и выполнение работ по их установке для нужд городского округа Тольятти </t>
  </si>
  <si>
    <t>Протяженность установленных  пешеходных ограждений</t>
  </si>
  <si>
    <t>тыс.м.п.</t>
  </si>
  <si>
    <t>Устройство  искусственных дорожных  неровностей, в т.ч. экспертиза выполненных работ</t>
  </si>
  <si>
    <t>Количество устроенных искусственных дорожных неровностей</t>
  </si>
  <si>
    <t>Замена павильонов ООТ</t>
  </si>
  <si>
    <t>Количество павильонов ООТ, подлежащих замене</t>
  </si>
  <si>
    <t>Проектирование устройства пешеходных дорожек, в том числе экспертиза проектов</t>
  </si>
  <si>
    <t>Количество проектных работ на устройство пешеходных дорожек</t>
  </si>
  <si>
    <t>Количество, проведенных проверок достоверности определения сметной стоимости проекта</t>
  </si>
  <si>
    <t>Количество построенных пешеходных дорожек</t>
  </si>
  <si>
    <t>Количество ликвидированных мест разворота транспортных средств</t>
  </si>
  <si>
    <t>Методические материалы по обучению детей безопасности поведения на дороге</t>
  </si>
  <si>
    <t>Количество литературы по безопасности дорожного движения</t>
  </si>
  <si>
    <t xml:space="preserve"> -</t>
  </si>
  <si>
    <t>Количество исследований по вопросам эффективности профилактики детского дорожно-транспортного травматизма</t>
  </si>
  <si>
    <t>Оснащение   муниципальных  образовательных учреждений современным оборудованием и средствами обучения безопасному поведению на дорогах (тренажеры, компьютерные обучающие игры)</t>
  </si>
  <si>
    <t>Количество оснащенных учреждений современным оборудованием и средствами обучения безопасности поведения на дорогах</t>
  </si>
  <si>
    <t>Количество мероприятий по безопасности дорожного движения</t>
  </si>
  <si>
    <t>Количество проведенных конкурсов, по организации работы с детьми по профилактике детского дорожно-транспортного травматизма</t>
  </si>
  <si>
    <t>Количество размещенной рекламы</t>
  </si>
  <si>
    <t>Количество видов продукции по безопасности дорожного движения</t>
  </si>
  <si>
    <t>Создание и установка указателей маршрутного ориентирования участников дорожного движения</t>
  </si>
  <si>
    <t>Количество установленных информационных щитов</t>
  </si>
  <si>
    <t>Количество проведенных конкурсов профессионального мастерства</t>
  </si>
  <si>
    <t>Задача подпрограммы: оптимизация режимов движения на участках улично-дорожной сети с использованием современных схем организации  дорожного движения, технических средств организации  дорожного движения и автоматизированных систем управления дорожным движением.</t>
  </si>
  <si>
    <t>Разработка рабочего проекта  устройства светофорных объектов</t>
  </si>
  <si>
    <t>Количество проектных работ на строительство технических средств организации дорожного движения</t>
  </si>
  <si>
    <t>Количество установленных светофорных объектов</t>
  </si>
  <si>
    <t>Модернизация  светофорных объектов</t>
  </si>
  <si>
    <t>Количество модернизированных светофорных объектов</t>
  </si>
  <si>
    <t>Реконструкция светофорных объектов</t>
  </si>
  <si>
    <t>Количество вновь введенных в эксплуатацию (реконструируемых) светофорных объектов</t>
  </si>
  <si>
    <t xml:space="preserve">Проектирование устройства и переноса остановок общественного транспорта, в т.ч. экспертиза выполненных работ </t>
  </si>
  <si>
    <t>Количество проектных работ на  устройство и перенос остановок общественного транспорта</t>
  </si>
  <si>
    <t xml:space="preserve">Устройство и перенос остановок общественного транспорта </t>
  </si>
  <si>
    <t>Количество  вновь введенных (перенесенных) в эксплуатацию остановок общественного транспорта</t>
  </si>
  <si>
    <t>Проектирование устройства парковочных площадок, карманов  и стоянок</t>
  </si>
  <si>
    <t>Количество проектных работ на строительство и реконструкцию парковочных площадок и стоянок</t>
  </si>
  <si>
    <t>Устройство парковочных площадок, карманов  и стоянок</t>
  </si>
  <si>
    <t>Площадь  вновь введенных в эксплуатацию (реконструируемых) парковочных площадок и стоянок</t>
  </si>
  <si>
    <t>Проектирование реконструкции пересечений  автомобильных  дорог</t>
  </si>
  <si>
    <t>Количество проектных работ по реконструкции пересечений автомобильных дорог</t>
  </si>
  <si>
    <t>Количество  реконструируемых пересечений автомобильных дорог</t>
  </si>
  <si>
    <t>Закупка заготовок дорожных знаков</t>
  </si>
  <si>
    <t>Количество закупленных заготовок  дорожных знаков</t>
  </si>
  <si>
    <t>Приобретение  спецтехники</t>
  </si>
  <si>
    <t>Количество приобретенных единиц спецтехники</t>
  </si>
  <si>
    <t>ед.</t>
  </si>
  <si>
    <t>Приобретение мебели, компьютерной техники, оргтехники, носителей информации</t>
  </si>
  <si>
    <t>Количество единиц мебели</t>
  </si>
  <si>
    <t>Приобретение материалов для содержания ТСОДД, ремонта остановочных павильонов</t>
  </si>
  <si>
    <t>Количество приобретенных видов материалов для содержания ТСОДД, ремонта остановочных павильонов</t>
  </si>
  <si>
    <t xml:space="preserve">Приобретение  дорожных знаков и выполнение работ по их установке
   </t>
  </si>
  <si>
    <t xml:space="preserve">Количество  установленных дорожных знаков  </t>
  </si>
  <si>
    <t>Количество аварийных ситуаций вследствие нарушений дорожными службами требований к эксплуатационному состоянию,  автомобильных дорог и улиц, допустимому по условиям обеспечения безопасности дорожного движения</t>
  </si>
  <si>
    <t xml:space="preserve">Задача подпрограммы: повышение эффективности планирования работ по строительству,  реконструкции,  ремонту и содержанию автодорог. </t>
  </si>
  <si>
    <t>Паспортизация автомобильных дорог (техническое освидетельствование состояния объектов улично-дорожной сети)</t>
  </si>
  <si>
    <t xml:space="preserve">Площадь автодорог  </t>
  </si>
  <si>
    <t>га</t>
  </si>
  <si>
    <t>Задача подпрограммы: создание условий для осуществления деятельности муниципального казенного учреждения "Центр организации дорожного движения городского округа Тольятти"</t>
  </si>
  <si>
    <t xml:space="preserve">Уровень исполнения бюджетной сметы расходов учреждения </t>
  </si>
  <si>
    <t>%</t>
  </si>
  <si>
    <t>Подпрограмма "Развитие   автомобильных дорог городского округа Тольятти, расположенных в зоне застройки индивидуальными  жилыми домами на 2014-2020 гг."</t>
  </si>
  <si>
    <t>Отсыпка автомобильных дорог городского округа Тольятти, расположенных в зоне застройки индивидуальными жилыми домами, асфальтогранулятом, в т.ч. экспертиза выполненных работ</t>
  </si>
  <si>
    <t>тыс.м2</t>
  </si>
  <si>
    <t xml:space="preserve">шт. </t>
  </si>
  <si>
    <t>Выполнение проектно-изыскательских работ для обеспечения дорожной деятельности в отношении автодорог городского округа Тольятти, расположенных в зоне застройки индивидуальными жилыми домами</t>
  </si>
  <si>
    <t xml:space="preserve">Количество разработанной проектно-сметной документации по строительству автодорог, расположенных в зоне застройки индивидуальными жилыми домами </t>
  </si>
  <si>
    <t>Количество разработанной проектно-сметной документации по капитальному ремонту автодорог , расположенных в зоне застройки индивидуальными жилыми домами</t>
  </si>
  <si>
    <t xml:space="preserve">Капитальный ремонт автодорог городского округа Тольятти, расположенных в зоне застройки индивидуальными жилыми домами </t>
  </si>
  <si>
    <t>Площадь отремонтированных путем капитального ремонта автодорог, расположенных в зоне застройки индивидуальными жилыми домами</t>
  </si>
  <si>
    <t>тыс. м2</t>
  </si>
  <si>
    <t>Площадь построенных автодорог , расположенных в зоне застройки индивидуальными жилыми домами</t>
  </si>
  <si>
    <t>Площадь отремонтированных путем ремонта автодорог,  расположенных в зоне застройки индивидуальными жилыми домами</t>
  </si>
  <si>
    <t xml:space="preserve">Подпрограмма "Развитие городского пассажирского транспорта в городском округе Тольятти на период 2014-2020гг."                      </t>
  </si>
  <si>
    <t>Задача подпрограммы: совершенствование технического и технологического обеспечения транспортного обслуживания.</t>
  </si>
  <si>
    <t>Количество установленных табличек</t>
  </si>
  <si>
    <t xml:space="preserve">Доля приобретенных материалови специальных частей согласно плана потребности в них </t>
  </si>
  <si>
    <t>Количество приобретенных ЦППС и КП для оборудования тяговых подстанций МП "ТТУ"</t>
  </si>
  <si>
    <t xml:space="preserve">Приобретение специальных транспортных средств (автовышек) для обслуживания контактной сети троллейбусов    </t>
  </si>
  <si>
    <t>Количество приобретенных автовышек</t>
  </si>
  <si>
    <t>Количество приобретенных средств визуального оповещения</t>
  </si>
  <si>
    <t>Задача подпрограммы: обеспечение перевозки пассажиров на маршрутах, финансируемых за счет средств бюджета городского округа Тольятти, сокращение интервалов движения транспортных средств по маршрутам.</t>
  </si>
  <si>
    <t>Обеспеченность населения транспортом общего пользования</t>
  </si>
  <si>
    <t>ед./1000 жителей</t>
  </si>
  <si>
    <t>осуществление регулярных перевозок пассажиров и багажа по регулируемым тарифам по муниципальным маршрутам городского округа Тольятти автомобильным и городским наземным электрическим транспортом</t>
  </si>
  <si>
    <t>Обеспеченность населения автомобильным и городским наземным электрическим транспортом</t>
  </si>
  <si>
    <t>Задача подпрограммы: оптимизация структуры парков транспортных средств и ускорение обновления их состава.</t>
  </si>
  <si>
    <t>Количество приобретенных троллейбусов</t>
  </si>
  <si>
    <t>Уровень исполнения обязательств по лизингу</t>
  </si>
  <si>
    <t xml:space="preserve"> </t>
  </si>
  <si>
    <t xml:space="preserve">Приобретение автобусов «МАЗ» (низкопольные) на компримированном природном газе
</t>
  </si>
  <si>
    <t>Количество приобретенных автобусов</t>
  </si>
  <si>
    <t>Мероприятие по приобретению автобусов вместимостью более 18 мест на условиях лизинга 2012 г. - 102 ед.</t>
  </si>
  <si>
    <t>Приобретение автобусов,  работающих на компримированном природном газе</t>
  </si>
  <si>
    <t xml:space="preserve">Цель подпрограммы: Увеличение протяженности, пропускной способности и приведение в нормативное состояние автомобильных дорог общего пользования местного значения городского округа Тольятти  </t>
  </si>
  <si>
    <t>Задача подпрограммы: проектирование, строительство, реконструкция, капитальный  ремонт  и  ремонт  автомобильных дорог общего пользования  местного значения  городского  округа Тольятти</t>
  </si>
  <si>
    <t>Количество разработанной проектно-сметной документации по строительству, реконструкции  автодорог городского округа Тольятти</t>
  </si>
  <si>
    <t xml:space="preserve">Количество документации, включающей геодезическую основу для выноса в натуру и определения границ участка земли для строительства улицы общегородского значения регулируемого движения </t>
  </si>
  <si>
    <t>Количество документации по проведению проверки достоверности определения сметной стоимости проектно-изыскательских работ по строительству магистральной улицы общегородского значения регулируемого движения</t>
  </si>
  <si>
    <t>Количество разрешительной документации по планировке территории для разработки проектно-сметной документации по строительству автодорог городского округа Тольятти</t>
  </si>
  <si>
    <t>Количество разработанной проектно-сметной документации по строительству автодорог городского округа Тольятти, в том числе корректировка проектов</t>
  </si>
  <si>
    <t>Площадь построенных дорог местного значения городского округа Тольятти</t>
  </si>
  <si>
    <t>км            тыс.м2</t>
  </si>
  <si>
    <t>0,1 / 4,3</t>
  </si>
  <si>
    <t>0,8 / 32,96</t>
  </si>
  <si>
    <t>Протяженность построенных дорог местного значения городского округа Тольятти</t>
  </si>
  <si>
    <t>км    тыс.м2</t>
  </si>
  <si>
    <t>1,0 / 40,40</t>
  </si>
  <si>
    <t>Количество документации по строительному контролю и авторскому надзору при строительстве магистральной улицы общегородского значения регулируемого движения</t>
  </si>
  <si>
    <t>Протяженность построенных  транспортных развязок в разных уровнях на автодорогах городского округа Тольятти</t>
  </si>
  <si>
    <t>км   тыс.м2</t>
  </si>
  <si>
    <t>Количество разрешительной документации по планировке территории для разработки проектно-сметной документации по реконструкции автодорог городского округа Тольятти</t>
  </si>
  <si>
    <t>Количество разработанной проектно-сметной документации по реконструкции автодорог городского округа Тольятти, в том числе корректировка проектов</t>
  </si>
  <si>
    <t>Площадь реконструированных дорог местного значения городского округа Тольятти</t>
  </si>
  <si>
    <t>км                 тыс.м2</t>
  </si>
  <si>
    <t>Протяженность реконструированных дорог местного значения городского округа Тольятти</t>
  </si>
  <si>
    <t>Количество разработанной проектно-сметной документации по капитальному ремонту дорог городского округа Тольятти</t>
  </si>
  <si>
    <t>Количество разработанной проектно-сметной документации по  ремонту дорог городского округа Тольятти</t>
  </si>
  <si>
    <t>Количество проверенной документации на достоверность определения сметной стоимости проектно-изыскательских работ по капитальному ремонту автомобильной дороги</t>
  </si>
  <si>
    <t>Протяженность автомобильных дорог, на которых выполнена диагностика и оценка транспортно-экплуатационного состояния дорог</t>
  </si>
  <si>
    <t>км</t>
  </si>
  <si>
    <t>Количество изготовленных технических паспортов автомобильных дорог</t>
  </si>
  <si>
    <t>Уровень исполнения судебного решения</t>
  </si>
  <si>
    <t>Площадь отремонтированных капитальным ремонтом дорог местного значения городского округа Тольятти</t>
  </si>
  <si>
    <t>Ремонт дорог общего пользования местного значения городского округа Тольятти, в т.ч. экспертиза выполненных работ</t>
  </si>
  <si>
    <t xml:space="preserve">Площадь отремонтированных путем ремонта дорог местного значения городского округа Тольятти  </t>
  </si>
  <si>
    <t xml:space="preserve">Количество устроенных линий наружного электроосвещения  </t>
  </si>
  <si>
    <t>Количество ликвидируемых мест разворота транспортных средств, разрывов в разделительной полосе, несанкционированных примыканий, заездных карманов, парковок, устроенных пешеходных дорожек, островков безопасности, искусственных дорожных неровностей и шумовых полос</t>
  </si>
  <si>
    <t>Количество установленных технических средств организации дорожного движения</t>
  </si>
  <si>
    <t>Количество установленных имитаторов измерителей скорости</t>
  </si>
  <si>
    <t xml:space="preserve">Количество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t>
  </si>
  <si>
    <t>Количество документации по технологическому присоединению к электрическим сетям светофорных объектов</t>
  </si>
  <si>
    <t>Площадь отремонтированных путем ремонта  дворовых территорий многоквартирных домов, проездов к дворовым территориям многоквартирных домов городского округа Тольятти</t>
  </si>
  <si>
    <t>Количество экспертных заключений по результатам проведения лабораторных испытаний ремонта  дворовых территорий многоквартирных домов, проездов к дворовым территориям многоквартирных домов городского округа Тольятти</t>
  </si>
  <si>
    <t>Цель подпрограммы: Содействие экономическому и социальному развитию г.о.Тольятти, повышению уровня жизни горожан за счет совершенствования и развития улично-дорожной сети в соответствии с их нуждами</t>
  </si>
  <si>
    <t xml:space="preserve">Содержание автодорог, в том числе: посадочных площадок ООТ, тротуаров, разделительных полос, элементов системы водоотвода, путепроводов, удерживающих барьерных ограждений </t>
  </si>
  <si>
    <t>Площадь содержания автомобильных дорог</t>
  </si>
  <si>
    <t>тыс.м2.</t>
  </si>
  <si>
    <t xml:space="preserve">Содержание  надземных  и подземных пешеходных переходов </t>
  </si>
  <si>
    <t>Площадь  дорожных сооружений, находящихся на содержании</t>
  </si>
  <si>
    <t>Задача подпрограммы: выполнение мероприятий по организации дорожного движения</t>
  </si>
  <si>
    <t>Нанесение (горизонтальной) дорожной разметки</t>
  </si>
  <si>
    <t>Количество типов дорожной разметки</t>
  </si>
  <si>
    <t xml:space="preserve">Диагностика надземных пешеходных переходов (мостов, путепроводов)    </t>
  </si>
  <si>
    <t xml:space="preserve">Количество диагностируемых надземных пешеходных переходов (мостов, путепроводов)    </t>
  </si>
  <si>
    <t>Выполнение проектно-изыскательских работ по капитальному ремонту путепроводов, подземных пешеходных переходов и мостов</t>
  </si>
  <si>
    <t>Количество разработанной проектно-сметной документации по капитальному ремонту путепроводов</t>
  </si>
  <si>
    <t>Ремонт надземных пешеходных переходов (мостов, путепроводов)</t>
  </si>
  <si>
    <t>Количество отремонтированных надземных пешеходных переходов (мостов, путепроводов)</t>
  </si>
  <si>
    <t>*условиями выделения средств из бюджета городского округа Тольятти является планируемое распределение средств из областного бюджета  на софинансирование строительства и реконструкции  автодорог.</t>
  </si>
  <si>
    <t>Площадь автодорог расположенных в зоне застройки индивидуальными жилыми домами, отсыпанных асфальтогранулятом</t>
  </si>
  <si>
    <t xml:space="preserve">Приложение № 3                                                                                                                                                   к  муниципальной программе "Развитие транспортной системы и дорожного хозяйства городского округа Тольятти на 2014-2020 гг."
</t>
  </si>
  <si>
    <t xml:space="preserve">Перечень объектов подпрограммы "Повышение безопасности дорожного движения на период 2014-2020 гг."  и финансовые ресурсы </t>
  </si>
  <si>
    <t>наименование мероприятий</t>
  </si>
  <si>
    <t>Финансовые ресурсы, тыс.руб.</t>
  </si>
  <si>
    <t xml:space="preserve">Проектирование  строительства (реконструкции) надземных и подземных пешеходных переходов </t>
  </si>
  <si>
    <t xml:space="preserve">Осуществление технологического присоединения энергопринимающих устройств объектов: 2016г. - ул. Б.Коваленко; ул.Параллельная; внутриквартальный проезд от дома 47 до дублера 40 лет Победы (14а квартал));  2017г. – Фабричный проезд; 2018г. - ул.Новозаводская (от Обводного шоссе до дома №5 по ул.Новозаводская) 
</t>
  </si>
  <si>
    <r>
      <t xml:space="preserve">Проектно-изыскательские работы по устройству линий наружного электроосвещения, в т.ч. инженерные изыскания, экспертиза проектов; экспертиза выполненных работ: </t>
    </r>
    <r>
      <rPr>
        <u/>
        <sz val="12"/>
        <color indexed="8"/>
        <rFont val="Times New Roman"/>
        <family val="1"/>
        <charset val="204"/>
      </rPr>
      <t/>
    </r>
  </si>
  <si>
    <r>
      <rPr>
        <b/>
        <u/>
        <sz val="12"/>
        <color theme="1"/>
        <rFont val="Times New Roman"/>
        <family val="1"/>
        <charset val="204"/>
      </rPr>
      <t>в 2018 г.</t>
    </r>
    <r>
      <rPr>
        <sz val="12"/>
        <color theme="1"/>
        <rFont val="Times New Roman"/>
        <family val="1"/>
        <charset val="204"/>
      </rPr>
      <t xml:space="preserve"> - ул.Борковская (от ул.Вокзальной до строения №13 по ул.Северной); - ул.Новозаводская (от Обводного шоссе до дома №5 по ул.Новозаводская); -  ул. Бурлацкая (от трассы М-5 "Урал" до разворотной площадки общественного транспорта в районе нижних шлюзов); - ул.Ларина (от Васильевской до ул.Ломоносова); - ул.Северная (от ул.Борковская до дома №105 по ул.Северная); -ул.Васильевская (от ул.Базовая до ул.Ларина);</t>
    </r>
  </si>
  <si>
    <r>
      <rPr>
        <b/>
        <u/>
        <sz val="12"/>
        <color theme="1"/>
        <rFont val="Times New Roman"/>
        <family val="1"/>
        <charset val="204"/>
      </rPr>
      <t xml:space="preserve"> 2018-2019 гг.</t>
    </r>
    <r>
      <rPr>
        <sz val="12"/>
        <color theme="1"/>
        <rFont val="Times New Roman"/>
        <family val="1"/>
        <charset val="204"/>
      </rPr>
      <t xml:space="preserve"> - ул. Революционная (на участке от ул. Спортивная до Приморского бульвара); - ул. Ленина (на участке от  ул. Мичурина до ул. Льва Толстого); - ул. Офицерская (на участке от  ул. Полякова до ул. Ботаническая); - Южное шоссе (на участке от опоры  № 501 до ул. Цеховая и от ул. Цеховая до опоры №490); - ул. Мичурина (на участке от Автозаводского шоссе до ул. Интернациональная);- ул.Диагональная (на участке от ул. Баныкина до ул. Кунеевская); - ул. Новопромышленная (на участке от ул. Комсомольская до ул. Шлютова); - ул. Радищева (на участке от ул. Победы до ул. Новозаводская).</t>
    </r>
  </si>
  <si>
    <r>
      <rPr>
        <b/>
        <u/>
        <sz val="12"/>
        <color theme="1"/>
        <rFont val="Times New Roman"/>
        <family val="1"/>
        <charset val="204"/>
      </rPr>
      <t xml:space="preserve">2019г. </t>
    </r>
    <r>
      <rPr>
        <sz val="12"/>
        <color theme="1"/>
        <rFont val="Times New Roman"/>
        <family val="1"/>
        <charset val="204"/>
      </rPr>
      <t>- пр-д Фабричный (от Южного шоссе до ул.Коммунальная).</t>
    </r>
  </si>
  <si>
    <r>
      <t xml:space="preserve">Устройство линий наружного электроосвещения:                                                                                                             </t>
    </r>
    <r>
      <rPr>
        <b/>
        <sz val="12"/>
        <rFont val="Times New Roman"/>
        <family val="1"/>
        <charset val="204"/>
      </rPr>
      <t xml:space="preserve"> 2016г.- 2017г.</t>
    </r>
    <r>
      <rPr>
        <sz val="12"/>
        <rFont val="Times New Roman"/>
        <family val="1"/>
        <charset val="204"/>
      </rPr>
      <t xml:space="preserve"> - Внутриквартальный проезд от дома № 47 до дублера по ул. 40 лет Победы; - ул. Коваленко от ул. Параллельная до ул. Высоковольтная; - ул. Параллельная от съезда с трассы М-5 «Урал» до ул. Коваленко.                                      </t>
    </r>
    <r>
      <rPr>
        <b/>
        <u/>
        <sz val="12"/>
        <rFont val="Times New Roman"/>
        <family val="1"/>
        <charset val="204"/>
      </rPr>
      <t xml:space="preserve"> 2018г.</t>
    </r>
    <r>
      <rPr>
        <u/>
        <sz val="12"/>
        <rFont val="Times New Roman"/>
        <family val="1"/>
        <charset val="204"/>
      </rPr>
      <t xml:space="preserve"> </t>
    </r>
    <r>
      <rPr>
        <sz val="12"/>
        <rFont val="Times New Roman"/>
        <family val="1"/>
        <charset val="204"/>
      </rPr>
      <t xml:space="preserve">– Фабричный проезд; от ООТ «Жигулевская долина» по Южному шоссе к КТП, расположенному на территории технопарка «Жигулевская долина»; ул.Новозаводская (от Обводного шоссе до дома №5 по ул.Новозаводская).      </t>
    </r>
    <r>
      <rPr>
        <b/>
        <u/>
        <sz val="12"/>
        <rFont val="Times New Roman"/>
        <family val="1"/>
        <charset val="204"/>
      </rPr>
      <t>2020г</t>
    </r>
    <r>
      <rPr>
        <u/>
        <sz val="12"/>
        <rFont val="Times New Roman"/>
        <family val="1"/>
        <charset val="204"/>
      </rPr>
      <t xml:space="preserve">. - </t>
    </r>
    <r>
      <rPr>
        <sz val="12"/>
        <rFont val="Times New Roman"/>
        <family val="1"/>
        <charset val="204"/>
      </rPr>
      <t xml:space="preserve">ул.Бурлацкая от трассы М-5 "Урал" до разворотной площадки общественного транспорта в р-не нижних шлюзов;                                                        </t>
    </r>
  </si>
  <si>
    <t>Приобретение ограничивающих пешеходных  ограждений и выполнение работ по их установке для нужд городского округа Тольятти:</t>
  </si>
  <si>
    <r>
      <rPr>
        <b/>
        <u/>
        <sz val="12"/>
        <color indexed="8"/>
        <rFont val="Times New Roman"/>
        <family val="1"/>
        <charset val="204"/>
      </rPr>
      <t>в  2015 году</t>
    </r>
    <r>
      <rPr>
        <sz val="12"/>
        <color indexed="8"/>
        <rFont val="Times New Roman"/>
        <family val="1"/>
        <charset val="204"/>
      </rPr>
      <t xml:space="preserve"> - Южное шоссе ООТ "20 квартал";  Южное шоссе ООТ "19 квартал";  ул. Фрунзе - ул. Жукова, ул. Дзержинского - ул. Юбилейная; ул. Мира - ул. К. Маркса; ул. Баныкина ООТ "ул. Белорусская"; ул. Борковская ООТ "Энергетическая"; ул. Борковская ООТ "Рынок";   ул. Коммунистическая в районе ОП У МВД РФ; ул. Комзина в районе примыкания Комсомольского шоссе; ул. Чайкиной, ООТ "Парк"; ул. Чайкиной - ул. Плотинная; ул. Коммунистическая - ул. Матросова; ул. 70 лет Октября - ул. Тополиная; Южное шоссе, ООТ "Автопарковая"; ул. Л. Толстого в районе дома №11, ул. Ларина - ул. Герцена; ул. Революционная - Ленинский пр-т, ул. Северная в районе "ГЦЗЧ ВАЗа"; ул. Коммунистическая в районе ДК "ТоАЗ", ул. Мира - ул. Ушакова; ул. Чайкиной - ул. Ярославская, ул. Юбилейная - Приморский б-р; Южное шоссе - ул. Л. Яшина, ул. Гидротехническая в районе ООТ "ул. Куйбышева", ул. Ленина - ул. Мичурина; ул. Мира ООТ "27 квартал", ул. Революционная - ул. Свердлова; ул. Свердлова ООТ "бульвар Курчатова".</t>
    </r>
  </si>
  <si>
    <r>
      <rPr>
        <b/>
        <u/>
        <sz val="12"/>
        <rFont val="Times New Roman"/>
        <family val="1"/>
        <charset val="204"/>
      </rPr>
      <t>В 2016-2017гг.</t>
    </r>
    <r>
      <rPr>
        <sz val="12"/>
        <rFont val="Times New Roman"/>
        <family val="1"/>
        <charset val="204"/>
      </rPr>
      <t xml:space="preserve">: ул. К. Маркса - ул. Гагарина, К. Маркса - Ленинградская, ул. Ленинградская - ул. Ушакова, б-р Баумана напротив д/с №81 "Медвежонок", ул. Чайкиной - ул. Ярославская, Южное шоссе, ООТ "20 квартал", б-р Космонавтов, 17 (СОШ №79), ул. Юбилейная - Ленинский пр-т,б-р Космонавтов, 8 (д/с №201 "Волшебница"), ул. Спортивная, ООТ "Набережная" (пр-т Степана Разина, 99), б-р Туполева, 12 (СОШ №47), ул. Жукова, 29 (д/с №161 "Лесовичок"), ул. Шлюзовая, 8 (школа-интернат №1), ул. Мира-ул. Советская, ул. Мира-ул. Голосова, ул. Комсомольская-ул. Советская, ул. Новозаводская Тупиковый пр-д, б-р Гая, 25 в непосредственной близости к СОШ №62 и СОШ №72, ул. Свердлова, ООТ "б-р Гая", ул. Ленина -б-р 50 лет Октября, ул. Фрунзе в р-не ООТ "Парк Победы", ул. Новозаводская-ул. Комсомольская, ул. Лесная-ул.Ушакова-ул. Комсомольская-ул.Родины, Автозаводское шоссе, ООТ "ул.Мичурина", пр-т Степана Разина, ООТ "Музыкальная школа",ул. Юбилейная, ООТ "2-е комплексное общежитие", ул.Победы-ул. Радищева, проезд от ул. Гидротехническая до ул. Энергетиков в р-не д/с №199, "Муравьишка", ул. Победы-ул. Комсомольская, ул. Баныкина в районе дома №12 (СОШ №26), ул. Фрунзе, 1, Дзержинского, 49, ул. Юбилейная-Приморский б-р, ул. Баныкина, 4 (СОШ №16, ООТ "ул. Баныкина"), ул. 40 лет Победы, ООТ "б-р Здоровья".                                         </t>
    </r>
  </si>
  <si>
    <r>
      <rPr>
        <b/>
        <u/>
        <sz val="11"/>
        <rFont val="Times New Roman"/>
        <family val="1"/>
        <charset val="204"/>
      </rPr>
      <t>В 2019 г.</t>
    </r>
    <r>
      <rPr>
        <sz val="11"/>
        <rFont val="Times New Roman"/>
        <family val="1"/>
        <charset val="204"/>
      </rPr>
      <t xml:space="preserve">: ул. Коммунистическая, 99, ул. Чайкиной,52 и 67, Автозаводское шоссе 3 и 5, б-р 50лет Октября,№42, №67,№69, ул. Победы-ул. Чапаева, ул. Победы-ул. Горького, ул.Мира,№95,№101, №102,№120, ул.Свердлова,№7А, №7Г, №16, ул. Голосова,44, 97, 105, пр-т Ст.Разина - ул. Свердлова, Московский пр-т, ООТ ул. Фрунзе, 40лет Победы ООТ 14 квартал, ул. Гидротехническая, ООТ Вокзальная, ул. Свердлова, ООТ Стоматологическая пол-ка, ул. Фрунзе, 43А, ул. Ленина-ул. М. Горького, ул. Новозаводская-ул. М. Горького, Ленинский пр-т, ООТ Управление социальной защиты, ул. Фрунзе-ул. Революционная, ул. Громовой, ООТ Колхозный рынок, Южное шоссе, ООТ "7 вставка ВАЗа", ул. Свердлова, ООТ "ул. Юбилейная", ул. Юбилейная, ООТ "Молодежный центр", б-р Орджоникидзе, 3, б-р Орджоникидзе, 14, б-р Буденного,№1 и №4, б-р Кулибина,17 и 13, ул.Жукова,15, б-р Курчатова,2, ул.М.Горького,88, ул.М.Горького,39, Молодежный б-р, 28, ул. Ленина,58 и Ленина,45, ул. Баныкина, 9, ул. Комсомольская, 141, ул. Советская, 53А, б-р 50лет Октября 61, ул. Нижегородская, (Майский пр-д,7), ул. Матросова "Горгаз", ул. Ворошилова ООТ "15 квартал", Пр-кт Степана Разина ООТ "7 квартал", ул.70 лет Октября ООТ "Цветной б-р", ул. Фрунзе,10Б, ул. Ворошилова, ООТ Дом Офицеров, ул. Коммунистическая д/с "Олимпия", ул. Комсомольская-ул. Карбышева, ул. Матросова, №33 и №37, ул. Комсомольская,165, ул.Жукова,21, перекрёсток Южного, Хрящевского и Автозаводского шоссе.
</t>
    </r>
  </si>
  <si>
    <r>
      <rPr>
        <b/>
        <u/>
        <sz val="11"/>
        <rFont val="Times New Roman"/>
        <family val="1"/>
        <charset val="204"/>
      </rPr>
      <t>В 2020 г.</t>
    </r>
    <r>
      <rPr>
        <b/>
        <sz val="11"/>
        <rFont val="Times New Roman"/>
        <family val="1"/>
        <charset val="204"/>
      </rPr>
      <t xml:space="preserve">: </t>
    </r>
    <r>
      <rPr>
        <sz val="11"/>
        <rFont val="Times New Roman"/>
        <family val="1"/>
        <charset val="204"/>
      </rPr>
      <t>ул.Маршала Жукова,21; ул.Шлюзовая,8; б-р Королева,3; ул.Матросова на пересечении с ул.Мурысева;образовательный центр "Школа" (ул.Юбилейная д,№77);Школа №73 (Ул.Юбилейная д.№81);Лицей №76 (пр-т Степана Разина д,№78А);ул.70 лет Октября в районе ООТ "70 лет Октября";ул.Полякова в районе ООТ "Полякова";ул.Юбилейная,25А, ООТ "Преображенский Собор";ул.Юбилейная,12,ООТ ДКиТ ОАО "АвтоВАЗ";Москоский проспект 13,ООТ "Пожарное депо";ул.Дзержинского,32,ООТ "16 квартал";Букльвар Кулибина,2; ул.70 лет Октября в районе домов №22а и №28, ООТ Рябиновый бульвар.</t>
    </r>
  </si>
  <si>
    <t>Устройство  искусственных дорожных неровностей, в т.ч. экспертиза выполненных работ:</t>
  </si>
  <si>
    <r>
      <t xml:space="preserve"> </t>
    </r>
    <r>
      <rPr>
        <b/>
        <u/>
        <sz val="12"/>
        <color indexed="8"/>
        <rFont val="Times New Roman"/>
        <family val="1"/>
        <charset val="204"/>
      </rPr>
      <t>в 2014г.</t>
    </r>
    <r>
      <rPr>
        <sz val="12"/>
        <color indexed="8"/>
        <rFont val="Times New Roman"/>
        <family val="1"/>
        <charset val="204"/>
      </rPr>
      <t xml:space="preserve">: - ул. Матросова в районе дома №10, - ул. Ворошилова 21 СОШ №74, - б-р Цветной в районе СОШ №82, - б-р Королева 22, - б-р Рябиновый, - ул.  М. Горького,12, - дворовый проезд от ул. Голосова до ул. Карбышева, - б-р Буденногов; В 2015г.: - в дворовом проезде от ул.Голосова д.№83 (МОУ СШ №20) до ул.Победы д.№76, - по ул.60 лет СССР (пос.Поволжский), СОШ №25, - по ул.Победы в районе д.№42 и ООТ "ДК Юбилейный", - ул.М.Горького, ООТ "Школа №4".  в 2016г.: - ул. Ингельберга 52, СШ №15; - ул. Карла Маркса 59, лицей №19; В 2017г: - ул.Ленина 108, СОШ №24;- ул.Олимпийская, д.24 по ул.Сиреневая (СШ №25);- ул.Комсомольская 141, д/с "Яблонька"; -б-р Туполева 12, СОШ №47; - б-р Кулибина в районе д.17(гимназия №35); - ул.Баныкина 12, СОШ №26; - ул.Советская, д.53 (д/с "Жар-птица"); - ул.Горького, в районе пересечения с ул.Октябрьской, 57; - Комсомольское шоссе, д.№1 (с/ш №16); - ул.Севастопольская, д.№1 (с/ш №2); - ул.М.Горького д.39 школа №5; - ул.Нижегородская в районе д.7 по Майскому проезду (СОШ №11); - ул.Плотиная в районе д.38,42а по ул.Громовой (СШ №39); - ул.Мира, 10, д/с 53 "Чайка"; - ул.Баныкина, 4, СОШ №16; - ул.Л.Толстого д.26а, с/ш №91;   -ул. Ларина 24 (Соборная мечеть), Молодежный бульвар д.№28 (С/Ш №13), Б-р Луначарского в районе д.№11, 15, 19, б-р Луначарского в районе д.№211, ул. Фрунзе, д.2 (СОШ №58), ул. Мурысева, 89а, С/Ш №18, ул. Шлюзовая, 8, Школа интернат №1, СОШ №21, д/с №90 «Золотое зернышко», д/с №27 «Лесовичок», ул. Первомайская в районе домов №21, 23 по б-ру 50 лет Октября, ул. Ставропольская, д. №19, СОШ №23, ул. Матросова, д. №33, 37, техникум, колледж.                                                                                                                                                        </t>
    </r>
  </si>
  <si>
    <r>
      <rPr>
        <b/>
        <u/>
        <sz val="12"/>
        <color indexed="8"/>
        <rFont val="Times New Roman"/>
        <family val="1"/>
        <charset val="204"/>
      </rPr>
      <t>В 2018 г.</t>
    </r>
    <r>
      <rPr>
        <sz val="12"/>
        <color indexed="8"/>
        <rFont val="Times New Roman"/>
        <family val="1"/>
        <charset val="204"/>
      </rPr>
      <t xml:space="preserve">: - по ул. Спортивной, в районе дома №99 по проспекту Ст. Разина (Дворец детского творчества); по бульвару Королева, в районе дома №3 и дома №6 (С/Ш №49). По б-ру Космонавтов в районе дома №8 (СОШ №77), На внутриквартальном проезде по ул. Ворошилова, в районе дома №53 и №55 (Д/с №189 "Спутник"), По б-ру Цветной, 18 (СОШ №84), По б-ру Баумана, д.20 (Д/с №79 "Гусельки" и №81 "Медвежонок"), По б-ру Курчатова в районе домов №15, 16, 18 (СОШ №43; Д/с № 24 "Мотылек"), По б-ру Орджоникидзе, 14 (СОШ №44), В районе дома №1 по б-ру Рябиновый, и в районе дома №5 по ул. Тополиная (Школа №88), В районе дома №24 по б-ру Цветному (Д/с №207 "Эдельвейс"), В районе дома №1 и №6б по ул. Фрунзе (СОШ №58), По б-ру Рябиновый, 13, По б-ру Курчатова, 2, По б-ру Орджоникидзе, 3 (СОШ №41), На внутриквартальном проезде в районе дома №78 по проспекту Ст. Разина (Лицей №76). В районе дома №29 по б-ру Гая (Д/с №183 "Ивушка"), По ул. Ленинградской в районе домов ул. Мира №79 и ул. Голосова №95, В районе дома №64 по ул. Кирова (Школа-интернат №3), По ул. Мира, д.116, По ул. Железнодорожной в районе домов №49а и №55 (Д/с №23 "Волжские капельки"), В районе дома №11 по ул. Зеленая (Д/с №205 "Тюльпан"), По ул. Олимпийская в районе дома №20 по ул. Полевая (Д/с №138 "Дубравушка"), В районе дома №24 по ул. Куйбышева (Школа №14), На внутриквартальном проезде в районе дома №8 по ул. Гидротехническая, в районе дома №5 по ул. Энергетиков (Д/с №199 "Муравьишка"), На внутриквартальном проезде в районе дома №3 по ул. Шлюзовая (Школа искусств №1), В районе дома №18 по ул. Есенина (Лицей №60).                                                                                                       В р-не д. № 5 по ул.Жилина (детская муз. школа № 3); По б-ру Баумана, в р-не д. № 10 (д/с № 79 "Гусельки", № 81 "Медвежонок").
</t>
    </r>
  </si>
  <si>
    <t>Проектирование устройства пешеходных дорожек, в том числе экспертиза проектов. В 2014г. - вдоль автодороги по ул.Никонова от ул.Железнодорожная до ул.Ингельберга; по ул.Кирова; по ул.Ингельберга на участке от пер.Ученический до проезда между ул.Ингельберга и ул.2Линейная в районе домов №4 по ул.Ингельберга и №1 по ул.Линейная; по проезду между ул.Индустриальной и ул.Базовой (от ул.Индустриальной до существующей пешеходной дорожки вдоль Тольяттинского колледжа сервисных технологий)</t>
  </si>
  <si>
    <t>В 2015г. - вдоль автодороги по ул.Севастопольской, в районе МОУ СОШ №2. В 2017г. - вдоль автодороги по ул. Патрульная.  В 2018г. – вдоль ул. Революционной от ул. Фрунзе до Приморского б-ра; - вдоль ул.Крупской от б-ра 50 лет октября до ул.Шлютова; проверка достоверности определения сметной стоимости "Автодорога по ул. Патрульная. Пешеходная дорожка".</t>
  </si>
  <si>
    <t>оплата принятых в 2015 г. обязательств</t>
  </si>
  <si>
    <t>Устройство пешеходных дорожек:</t>
  </si>
  <si>
    <r>
      <rPr>
        <b/>
        <u/>
        <sz val="12"/>
        <rFont val="Times New Roman"/>
        <family val="1"/>
        <charset val="204"/>
      </rPr>
      <t xml:space="preserve"> 2014 г.</t>
    </r>
    <r>
      <rPr>
        <sz val="12"/>
        <rFont val="Times New Roman"/>
        <family val="1"/>
        <charset val="204"/>
      </rPr>
      <t xml:space="preserve"> - на подходе к пешеходному переходу через автодорогу по ул.Коммунистической в районе пересечения с ул.Механизаторов; по Московскому пр-ту в районе ООТ "Ленинский проспект"; по ул. К.Марска в районе ООТ "Кинотеатр Буревестник"; по ул.Дзержинского в районе ООТ "Лесопитомник"; по ул.Ботанической от ул.Дзержинского до "Лада-Арена" (нечетная сторона); в районе ООТ "Дубравушка"; по ул.Лесная для переноса регулируемого пешеходного перехода в районе школы-интерната №5; ул.Самарская; вдоль проезда по ул.Баныкина от б-ра Ленина до ТЦ "Фаворит"; в районе кольцевой развязки автодорог по ул.Свердлова и ул.Автостроителей; на подходе к пешеходному переходу через автодорогу по Комсомольскому шоссе в районе МОУ №16; по бульвару Ленина (нечетная сторона) от администрации Центрального района в направлении ул.Баныкина; на подходе к пешеходному переходу по ул.Л.Толстого в районе ООТ "Л.Толстого" (Л.Толстого, д.22); в районе пересечения автомобильных дорог по Московскому проспекту и Приморскому бульвару; на разделительной полосе ул.Спортивная в районе ДДЮТ.</t>
    </r>
  </si>
  <si>
    <r>
      <rPr>
        <b/>
        <u/>
        <sz val="12"/>
        <rFont val="Times New Roman"/>
        <family val="1"/>
        <charset val="204"/>
      </rPr>
      <t xml:space="preserve">2015г.: </t>
    </r>
    <r>
      <rPr>
        <sz val="12"/>
        <rFont val="Times New Roman"/>
        <family val="1"/>
        <charset val="204"/>
      </rPr>
      <t>- по ул. Кудашева в районе ТЦ "Парк-Хаус"; на подходе к пешеходному переходу на ул. Северная в районе ООТ "ПТО ВАЗа"; в районе пересечения ул. Фрунзе и ул. Юбилейная; вдоль ул. Коммунистическая; на подходе к пешеходным переходам на пересечении ул. Ларина и ул. Герцена; в районе ООТ "Рынок" на ул. Борковская; в районе ООТ "ТЗТО" на ул. Индустриальная; в районе пересечения ул. Комзина и Комсомольского шоссе; на подходе к пешеходным переходам в районе пересечения ул. Коммунистической и ул. Матросова; на подходе к пешеходному переходу в районе ООТ «20 квартал» с четной и нечетной стороны Южного шоссе; вдоль ул.Ярославской с нечетной стороны от пересечения с ул. Чайкиной в сторону ул.Коммунистической; на подходе к пешеходному переходу в районе ООТ «ул.Куйбышева» с четной стороны ул. Гидротехническая; на подходе к пешеходному переходу в районе ООТ "Белорусская" по ул. Баныкина;</t>
    </r>
  </si>
  <si>
    <t>на подходе к пешеходному переходу в районе ООТ "27 квартал" по ул. Мира; в районе ООТ "ГЦЗЧ ВАЗа" на ул. Северная; на подходе к пешеходному переходу в районе ООТ "Кооперативная" на ул. Заставная; в районе ООТ «Энергетическая» по ул.Борковская; на подходе к пешеходному переходу в районе ООТ "Маяковского" на ул. Мичурина; в районе ООТ "7 квартал" по ул. Ст.Разина; для организации пешеходного перехода через ул. Свердлова в районе дома №8; для организации пешеходного перехода через проезжую часть Ленинского проспекта в районе домов №№31,40; на подходе к пеш.переходу в районе дома №10 по б-ру Баумана; на подходе к пеш.переходу в районе МОУ №33 (Б-р Буденного, 9); на подходе к пеш.переходу в районе дома №8 по б-ру Королева; на подходе к пеш.переходу через ул. Плотинную в районе МОУ №39 (Громовой, 38); по ул.Ларина в районе пересечения с ул.Крупской; по ул. Ворошилова в районе ООТ «Кафе Каскад».</t>
  </si>
  <si>
    <r>
      <rPr>
        <b/>
        <u/>
        <sz val="12"/>
        <rFont val="Times New Roman"/>
        <family val="1"/>
        <charset val="204"/>
      </rPr>
      <t>2016 г:</t>
    </r>
    <r>
      <rPr>
        <sz val="12"/>
        <rFont val="Times New Roman"/>
        <family val="1"/>
        <charset val="204"/>
      </rPr>
      <t xml:space="preserve"> - вдоль проезжей части Автозаводского шоссе г.Тольятти с нечетной стороны от здания №21 по Автозаводскому шоссе до выезда с АЗС, расположенной по адресу: Автозаводское шоссе, 1, до пересечения с Южным шоссе; на подходе к нерегулируемому пешеходному переходу в районе ООТ "АО Фосфор" вдоль ул.Новозаводской; для организации пешеходного перехода через ул.Ленинградская в районе дома №95 по ул.Голосова; на подходе к пешеходному переходу через б-р 50 лет Октября в районе МОУ №3; на подходе к пешеходному переходу через ул.Ленина в районе д/с №2; на подходе к пешеходному переходу по ул.Ингельберга в районе школы №15; к пешеходному переходу через Лесопарковое шоссе в районе ООТ "Соверен-клуб"; к пешеходному переходу через Лесопарковое шоссе в районе пансионата "Радуга"; к пешеходному переходу через Ленинский пр-кт в районе д/б "Орбита"; вдоль автодороги по ул.Никонова от ул.Железнодорожная до ул.Ингельберга;  </t>
    </r>
  </si>
  <si>
    <t xml:space="preserve"> - по проезду между ул.Индустриальной и ул.Базовой (от ул.Индустриальной до существующей пешеходной дорожки вдоль Тольяттинского колледжа сервисных технологий); по ул.Кирова; на подходе к пешеходному переходу на пересечении ул.Победы и ул.Радищева; через разделительную полосу ул.Революционной в районе Католической церкви; в районе кольцевой развязки ул.Свердлова и ул.Ворошилова от пешеходного перехода до существующего тротуара; по проезду Кавказский; по ул.Ст.Ризина в районе ООТ "ДДЮТ" (четная сторона); по б-ру Рябиновый в районе дома №1; по ул.70 лет Октября в районе ООТ "19 квартал"; на пересечении ул.Дзержинского м пр-та Ст.Разина; через разделительную полосу по проспекту Московский в районе ООТ "Приморский бульвар"; по Приморскому бульвару в районе ООТ "Дворец спорта"; на подходе к пешеходному переходу через ул.Фрунзе в районе дома 10б; по ул.Комсомольской в районе ООТ "Политехнический колледж"; по Южному шоссе ООТ "УВД".</t>
  </si>
  <si>
    <r>
      <rPr>
        <b/>
        <u/>
        <sz val="12"/>
        <color indexed="8"/>
        <rFont val="Times New Roman"/>
        <family val="1"/>
        <charset val="204"/>
      </rPr>
      <t xml:space="preserve">2017г.:  </t>
    </r>
    <r>
      <rPr>
        <sz val="12"/>
        <color indexed="8"/>
        <rFont val="Times New Roman"/>
        <family val="1"/>
        <charset val="204"/>
      </rPr>
      <t xml:space="preserve">- пешеходная дорожка по Приморскому бульвару в районе СК "Олимп";пешеходная дорожка по Московскому проспекту напротив 3 квартала от ООТ "Ленинский проспект" до ООТ "ул. Фрунзе"; пешеходная дорожка вдоль четной стороны Автозаводского шоссе от ул. Ларина до ул. Кирова; пешеходная дорожка вдоль четной стороны Автозаводского шоссе от ул. Кирова до ул. Мичурина; пешеходная дорожка от ООТ "Автозаводское шоссе" к проезжей части дороги в границах наземного нерегулируемого пешеходного перехода, расположенного на Автозаводском шоссе ООТ "Автозаводское шоссе"; Пешеходная дорожка в районе пересечения Ленинского пр-та и ул. Юбилейная; пешеходная дорожка в районе перекрестка ул. Баныкина - ул. Советская; пешеходная дорожка в районе ООТ "Ворошилова" по ул. Ворошилова; пешеходная дорожка вдоль проезда от ул. Громовой до ПЧ-13; пешеходная дорожка от дома №35 по ул. Шлюзовая к пешеходному переходу через ул. Железнодорожная; пешеходная дорожка вдоль ул. Инженерная на участке от пр-да 1-й Волжский до пр-да 2-й Волжский; пешеходная дорожка на подходе к пешеходному переходу в районе ООТ "Карбышева" по ул.Мира; пешеходная дорожка через разделительную полосу ул. Свердлова в районе пересечения с ул. Юбилейной;
</t>
    </r>
  </si>
  <si>
    <t xml:space="preserve">пешеходная дорожка через разделительную полосу ул. Свердлова в районе ООТ "Юбилейная"; пешеходная дорожка по ул. Юбилейной в районе ООТ "Преображенский собор"; пешеходная дорожка на подходе к пешеходному переходу по ул. Лесная в районе дома №44; пешеходная дорожка по ул. Уральская; пешеходная дорожка на подходе к пешеходному переходу по ул. Новозаводская на пересечении с ул. Комсомольская; пешеходная дорожка по ул.70 лет Октября в районе магазина "Бегемот"; пешеходная дорожка по Ленинскому пр-ту от дома №31 до дома №35 по Московскому проспекту; пешеходная дорожка вдоль нечетной стороны Автозаводского шоссе от ул. Кирова до продуктового магазина (здание №23Б по Автозаводскому шоссе); пешеходная дорожка на подходе к пешеходному переходу в районе дома №49 по ул. Дзержинского; пешеходная дорожка в районе пересечения Южного шоссе и ул. Л.Яшина (со стороны ТЦ "Лента"); пешеходная дорожка при обустройстве пешеходного перехода через ул. Свердлова в районе пересечения с Московским проспектом; пешеходная дорожка в районе дома №55 по ул. Ушакова; пешеходная дорожка при обустройстве пешеходного перехода через ул. Баныкина в районе СОШ №26;         </t>
  </si>
  <si>
    <t>пешеходная дорожка возле СОШ №24 по ул. Олимпийская; пешеходная дорожка возле СОШ №15 Ингельберга 52; пешеходная дорожка при обустройстве пешеходного перехода через ул. Горького в районе СОШ №5; пешеходная дорожка в районе пересечения ул. Новозаводской и Тупикового проезда; пешеходная дорожка вдоль ул. Ларина от пересечения с ул. Новозаводской до ООТ "3 проходная СК"; пешеходная дорожка в районе ООТ "Речной Вокзал" по ул. Коммунистической; пешеходная дорожка по ул. Баныкина в районе ООТ "ул. Баныкина"; пешеходные дорожки при обустройстве пешеходного перехода в районе ООТ "Заводская"; пешеходные дорожки при по ул. 40 лет Победы в районе ООТ "Бульвар Здоровья";</t>
  </si>
  <si>
    <t>пешеходная дорожка в районе ООТ «Военный госпиталь» по ул. Коммунальной; пешеходная дорожка дорожки в районе ООТ «ПИВЗАВОД» по ул. Коммунальной; пешеходная дорожка на разделительной полосе ул. Автостроителей в районе пересечения с ул. Дзержинского; пешеходная дорожка в районе ООТ «СК Олимп» по б-ру Приморский; пешеходная дорожка в районе пересечения ул. Гидротехнической и ул. Макарова; пешеходная дорожка в районе дома №18 по ул. Баумана; пешеходная дорожка вдоль автодороги по ул.Севастопольской, в районе МОУ СОШ №2 городского округа Тольятти; пешеходная дорожка на подходе к пешеходному переходу в районе дома №61 по ул. Мурысева (ТСЭК, школа №6); пешеходная дорожка на подходе к пешеходному переходу по ул. Механизаторов в районе дома №23 (д/с 167); пешеходная дорожка по улице Льва Толстого в районе дома № 5; пешеходная дорожка в районе ООТ СОШ №50 по Ленинскому пр-ту; пешеходные дорожки по ул. Мурысева в районе дома №93; пешеходные дорожки при обустройстве пешеходного перехода через ул.Автостроителей в районе пересечения с ул.70 лет Октября (ООТ "Гостиница Лада");</t>
  </si>
  <si>
    <t>пешеходная дорожка в районе пешеходного перехода по ул. Революционной в районе ООТ «Дом быта Орбита»; пешеходная дорожка по Ленинскому проспекту ООТ «б-р Туполева»; пешеходная дорожка по ул. Революционной в районе ООТ «Ателье Мод»; пешеходная дорожка по ул. Дзержинского в районе ООТ «Лицей искусств»; пешеходная дорожка по ул. Фрунзе в районе ООТ «11 квартал»; пешеходная дорожка в районе ООТ «Бульвар Гая» по ул. Свердлова; пешеходная дорожка в районе пересечения ул. Ставропольской с ул. Ушакова; пешеходная дорожка в районе пересечения ул. Ленинградской и ул. Ушакова; пешеходная дорожка по ул. Комсомольской в районе ООТ «Спецавтохозяйство»; пешеходная дорожка по ул.К.Маркса в районе ООТ «Лесная улица»; пешеходная дорожка по ул. Коммунистической в районе ООТ «Зои Космодемьянской»; пешеходная дорожка по ул. Громовой в районе ООТ «Автомобильный рынок»;</t>
  </si>
  <si>
    <t xml:space="preserve">пешеходная дорожка по ул. Коммунистической в районе ООТ «ул. Тюленина»; пешеходная дорожка по ул. Громовой в районе ООТ «Молочный завод»; пешеходная дорожка по ул. Ярославской в районе ООТ «Мясокомбинат»; пешеходная дорожка по ул. Гидротехнической в районе ООТ «Вокзальная»; пешеходная дорожка по Южному шоссе в районе ООТ «Южное шоссе»; пешеходная дорожка на пересечении ул. Мичурина с ул. Уральская в районе ООТ «Урожайный проезд»; пешеходная дорожка по ул. Мичурина в районе ООТ «ул. Интернациональная»; пешеходная дорожка по ул. Ленина в районе пересечения с Молодежным бульваром; пешеходная дорожка по ул. Карбышева в районе пересечения с ул. Баныкина; пешеходная дорожка от ООТ «д/с Дубравушка» до ГБУЗ СО ТЛРЦ «Ариадна»; пешеходная дорожка по ул.Жилина в районе пересечения с ул.Строителей; пешеходная дорожка по ул. Свердлова в районе пересечения с ул. Революционной; пешеходная дорожка
на разделительной полосе ул. Маршала Жукова в районе пересечения с ул. Фрунзе; пешеходная дорожка вдоль ул.Лесная от ул.Шлютова до Пионерского проезда; пешеходная дорожка вдоль ул. 40 лет Победы от ресторана «Восточный Экспресс» до ООТ «Медучилище»; пешеходная дорожка по ул. Ленина в районе дома №77;
</t>
  </si>
  <si>
    <r>
      <rPr>
        <b/>
        <u/>
        <sz val="12"/>
        <rFont val="Times New Roman"/>
        <family val="1"/>
        <charset val="204"/>
      </rPr>
      <t>2020:</t>
    </r>
    <r>
      <rPr>
        <sz val="12"/>
        <rFont val="Times New Roman"/>
        <family val="1"/>
        <charset val="204"/>
      </rPr>
      <t xml:space="preserve"> -по ул.Офицерской  от ул.Полякова до ул.Ботанической, -по ул.Комсомольской в р-не здания 88б (ООТ "ТЗТО), - по ул.Фрунзе, в р-не дома №43А, -по Лесопарковому шоссе, в р-не дома №35, - в р-не пересечения ул.Ленинградской и ул. Советской, -пешеходной дорожки и островка безопасности на пересечении ул. Комсомольской и ул. Новопромышленной, -вдоль от ул.Ставропольская до ул.Комсомольская вдоль музея "Наследие", - в р-не ООТ "Военное училище", -сокращение заездного кармана ООТ "19 квартал", - в р-не пересечения ул.Ленина и ул.Комсомольская, в р-не ул.Революционная  от ул. Фрунзе до Приморского б-ра, -по ул. Крупской от бул. 50 лет Октября до Шлютова, -в р-не ООЦ "Школа", школы №73 и школы №76, - от ООТ "ул.Сиреневая" до школы №83, -в р-не ООТ "ул.Полевая", -в р-не пересечения ул. Матросова с ул.Мурысева, -в р-не пересечения ул.Юбилейная и ул.Свердлова, -в р-не пересечения ул.Мичурина и ул.Герцена, -в р-не пересечения ул.Новозаводская и ул.Ларина, в р-не пересечения ул.Ворошилова и ул.Свердлова со стороны 12 квартала, устройство островка безопасности и пешеходной дорожки в р-не пересечения ул. Фрунзе и ул. Революционная </t>
    </r>
  </si>
  <si>
    <t>Устройство пешеходных дорожек (ликвидация места разворота транспортных средств): в 2018г. - в р-не пересечения ул. Комсомольской и ул. Карбышева;  в 2019г. - ул. Коммунальная, в р-не д. № 11</t>
  </si>
  <si>
    <t>Проведение исследования по вопросам эффективности профилактики детского дорожно-транспортного травматизма в образовательных учреждениях.</t>
  </si>
  <si>
    <r>
      <rPr>
        <b/>
        <u/>
        <sz val="12"/>
        <color indexed="8"/>
        <rFont val="Times New Roman"/>
        <family val="1"/>
        <charset val="204"/>
      </rPr>
      <t>в  2015г.</t>
    </r>
    <r>
      <rPr>
        <sz val="12"/>
        <color indexed="8"/>
        <rFont val="Times New Roman"/>
        <family val="1"/>
        <charset val="204"/>
      </rPr>
      <t xml:space="preserve">: (Молодежный б-р, 28 - СОШ №13; Майский пр-д, 7 - СОШ №11; Ингельберга, 52 - СОШ №15; Мурысева, 49 - СОШ №80; Мурысева, 61 - Лицей №6; Мурысева, 89а - СОШ №18; Ленина, 108 - СОШ №24; Октябрьская, 57 - СОШ №4; Горького, 88 - СОШ №4; Победы, 46 - Консерватория; Победы, 42 - Филармония; Советская, 53а - д/с "Жар-птица"; Громовой, 38 - Гимназия №39; Громовой, 42а - Гимназия №39; Комсомольская, 141 - д/с №45 "Яблонька"; Баныкина, 12 - СОШ №26; Севастопольская, 1 - СОШ №2; Сиреневая, 24 - СОШ №25; Мира, 10 - д/с №53 "Чайка").
в 2016г.: ул. Революционная – ул. Дзержинского, ул. Революционная – Приморский б-р, ул. Свердлова, светофорный объект «Стоматологическая поликлиника», ООТ «Гостиница», ул. Юбилейная – ул. Дзержинского, ул. Карла Маркса – ул. Гагарина, ул. Победы – ул. Гагарина, ул. Ленина – ул. Гагарина, ул. Мира – ул. Победы.                                                                                                                                                  в 2017г.: ул. Автостроителей – ул. Дзержинского, ул. Ворошилова – ул. Дзержинского, Московский пр-т – ул. Дзержинского, ул. Революционная – ул. Свердлова, ул. Свердлова – ООТ «Сорренто», пр-т Степана Разина – ООТ «3Б квартал», ул. Баныкина – ул. Советская.
                                                                                                                                                           </t>
    </r>
  </si>
  <si>
    <r>
      <rPr>
        <b/>
        <u/>
        <sz val="12"/>
        <color indexed="8"/>
        <rFont val="Times New Roman"/>
        <family val="1"/>
        <charset val="204"/>
      </rPr>
      <t>в 2016-2018 гг.</t>
    </r>
    <r>
      <rPr>
        <sz val="12"/>
        <color indexed="8"/>
        <rFont val="Times New Roman"/>
        <family val="1"/>
        <charset val="204"/>
      </rPr>
      <t xml:space="preserve">: ул. К. Маркса - ул. Мира,  ул. К. Маркса - ул. Ленинградская, ул. Лениградская - ул. Ушакова, ул. Баныкина, 4 (СОШ №16, ООТ "ул. Баныкина"), ул. Шлюзовая, 8 (школа-интернат №1), б-р Буденного, 9 (СОШ №33), б-р Баумана, 3 (СОШ №28), б-р Баумана напротив д/с №81 "Медвежонок", б-р Космонавтов, 17 (СОШ №79), ул. Спортивная, ООТ "Набережная" (пр-т Степана Разина, 99), ул. Юбилейная - Ленинский пр-т, б-р Туполева, 12 (СОШ №47), ул. Матросова, 33 (ТКСТиП), ул. Матросова, 37 (КТиХО), Приморский б-р - б-р Буденного, б-р Гая, 25 в, непосредственной близости к СОШ №62 и СОШ №72, ул. Жукова, 29 (д/с №161 "Лесовичок"), Московский пр-т, ООТ "Приморский", Ленинский пр-т, ООТ "Пединститут", ул. Ленина - б-р 50 лет Октября, б-р Космонавтов, 8 (д/с №201 "Волшебница"), ул. Спортивная, ООТ "Западный пляж", ул. Свердлова, ООТ "б-р Гая",ул. Громовой, ООТ "ул. Громовой",Южное шоссе - ул. 40 лет Победы, пр-т Степана Разина, ООТ "Музыкальная школа", ул. Юбилейная, ООТ "2-е комплексное общежитие", ул. 40 лет Победы, ООТ "б-р Здоровья",ул. Дзержинского, 49,ул. Юбилейная - ул. Свердлова,проезд от ул. Гидротехническая до ул.,Энергетиков в районе д/с №199 "Муравьишка", Фрунзе, 1, ул. Победы - ул. Радищева,ул. Громовой, ООТ "УСЕПП", ул. Дзержинского, ООТ "Строительная", Автозаводское шоссе - ул. Кирова, ул. Ларина - ул. Ломоносова, ул. Мичурина - ул. Герцена, ул. Кирова - ул. Герцена, Ленинский пр-т - ул. Жукова - ул. Ворошилова - ул. 40 лет Победы, Южное шоссе - ул. Л. Яшина, ул. Баныкина - бульвар Ленина. </t>
    </r>
  </si>
  <si>
    <r>
      <rPr>
        <b/>
        <u/>
        <sz val="12"/>
        <color indexed="8"/>
        <rFont val="Times New Roman"/>
        <family val="1"/>
        <charset val="204"/>
      </rPr>
      <t xml:space="preserve">в 2017 </t>
    </r>
    <r>
      <rPr>
        <u/>
        <sz val="12"/>
        <color indexed="8"/>
        <rFont val="Times New Roman"/>
        <family val="1"/>
        <charset val="204"/>
      </rPr>
      <t>г.:</t>
    </r>
    <r>
      <rPr>
        <sz val="12"/>
        <color indexed="8"/>
        <rFont val="Times New Roman"/>
        <family val="1"/>
        <charset val="204"/>
      </rPr>
      <t xml:space="preserve"> б-р Королева, 3 (МОУ СОШ №49), ул. Дзержинского, 53 (МОУ СОШ № 94), Приморский б-р, 48 (УСК "ОЛИМП"); ул. Механизаторов, 23 (д/с 171), ул. Свердлова, 66;</t>
    </r>
  </si>
  <si>
    <r>
      <rPr>
        <b/>
        <u/>
        <sz val="12"/>
        <color indexed="8"/>
        <rFont val="Times New Roman"/>
        <family val="1"/>
        <charset val="204"/>
      </rPr>
      <t xml:space="preserve"> в 2019г </t>
    </r>
    <r>
      <rPr>
        <sz val="12"/>
        <color indexed="8"/>
        <rFont val="Times New Roman"/>
        <family val="1"/>
        <charset val="204"/>
      </rPr>
      <t>:  ул. Коммунистическая, 99,ул. Чайкиной,52 и 67,Автозаводское шоссе 3 и 5, б-р 50лет Октября,№42, №67,№69, ул. Победы - ул. Чапаева, ул. Победы - ул. Гороького, ул. Победы - ул. Комсомольская, ул.Мира,№95,№101, №102,№120, ул.Свердлова,№7А, №7Г, №16, ул. Дзержинского,21 ООТ "б-р Космонавтов", ул. Голосова,44, 97, 105, пр-т Ст.Разина - ул. Свердлова, Московский пр-т, ООТ ул. Фрунзе, 40лет Победы ООТ 14 квартал, ул. Гидротехническая, ООТ Вокзальная, ул. Свердлова, ООТ Стоматологическая поликлиника, ул. Фрунзе, 43А, ул. Ленина - ул. М.Горького, Ленинский пр-т, ООТ Управление социальной защиты, ул. Громовой, ООТ Колхозный рынок, Южное шоссе, ООТ "7 вставка ВАЗа", ул. Свердлова, ООТ "ул. Юбилейная", ул. Юбилейная, ООТ "Молодежный центр",  б-р Орджоникидзе, 3,  б-р Орджоникидзе, 14,  б-р Буденного,№1 и №4,  б-р Кулибина,17 и 13, ул.Жукова,15, б-р Курчатова,2, ул.М.Горького,39, ул. Матросова "Горгаз", ул. Ворошилова ООТ "15 квартал", Проспект Степана Разина ООТ "7 квартал", ул.70 лет Октября ООТ "Цветной бульвар", ул.Ярославская ООТ "Мясокомбинат", ул. Фрунзе,10Б, ул. Ворошилова, ООТ Дом Офицеров, ул. Коммунистическая детский сад "Олимпия", ул. Комсомольская - ул. Карбышева, ул. Комсомольская, 165, ул.Жукова,21;</t>
    </r>
  </si>
  <si>
    <r>
      <rPr>
        <b/>
        <u/>
        <sz val="12"/>
        <rFont val="Times New Roman"/>
        <family val="1"/>
        <charset val="204"/>
      </rPr>
      <t xml:space="preserve">в  2020 г.: </t>
    </r>
    <r>
      <rPr>
        <sz val="12"/>
        <rFont val="Times New Roman"/>
        <family val="1"/>
        <charset val="204"/>
      </rPr>
      <t xml:space="preserve"> ул.Фрунзе,2; ул.Кирова,64; ул.Курчатова,15; ул.Матросова на пересечении с ул.Мурысева; ул.Никонова,18; ул. Революционная, ООТ "Аптека";Ленинский проспект в районе ООТ "Пединститут"; ул.Юбилейная 12,ООТ ДКиТ ОАО "АвтоВАЗ"</t>
    </r>
  </si>
  <si>
    <t xml:space="preserve">Модернизация светофорных объектов: в 2014г:  ул.Тополиная_ООТ "Школа-87", ул.Л. Яшина ООТ "Северовосточная", ул.70 лет Октября ООТ "70 лет Октября" </t>
  </si>
  <si>
    <r>
      <t xml:space="preserve">Проектирование устройства и переноса остановок общественного транспорта, в т.ч. экспертиза выполненных работ: </t>
    </r>
    <r>
      <rPr>
        <b/>
        <u/>
        <sz val="12"/>
        <color indexed="8"/>
        <rFont val="Times New Roman"/>
        <family val="1"/>
        <charset val="204"/>
      </rPr>
      <t>2014г.:</t>
    </r>
    <r>
      <rPr>
        <sz val="12"/>
        <color indexed="8"/>
        <rFont val="Times New Roman"/>
        <family val="1"/>
        <charset val="204"/>
      </rPr>
      <t xml:space="preserve"> - ООТ "Парк Победы" по ул.Юбилейная; ООТ "Кафе Салют" по ул.Юбилейная; ООТ "СПТУ № 36" по Южному шоссе
                                                                                       </t>
    </r>
  </si>
  <si>
    <r>
      <rPr>
        <b/>
        <u/>
        <sz val="12"/>
        <color indexed="8"/>
        <rFont val="Times New Roman"/>
        <family val="1"/>
        <charset val="204"/>
      </rPr>
      <t xml:space="preserve">2015г.: </t>
    </r>
    <r>
      <rPr>
        <sz val="12"/>
        <color indexed="8"/>
        <rFont val="Times New Roman"/>
        <family val="1"/>
        <charset val="204"/>
      </rPr>
      <t xml:space="preserve">- ООТ на Южном шоссе в 19 квартале; ООТ «ТГУ» на ул. Белорусская в районе дома №10; ООТ «Колхозный рынок» на ул. Комсомольская; ООТ на ул. Победы в районе дома №15; ООТ в районе 14а квартала по ул. 40 лет Победы; ООТ «Кафе «Встреча» на ул. 70 лет Октября; ООТ «Веселая семейка» на ул. М. Жукова; ООТ «Московский проспект» на ул. Дзержинского; ООТ «Южная база» на ул. Борковская; ООТ «п. Приморский» на Московском пр-те; ООТ «Дворец детского творчества» на ул. Ст. Разина; ООТ «Педагогический институт» на Ленинском пр-те; ООТ «3-й квартал» на Московском пр-те; ООТ «Гостиница» на ул. Свердлова; ООТ «Громовой» на ул. Громовой; ООТ «Кинотеатр «Ставрополь» на пр-те Ст. Разина; ООТ «Дом природы» на ул. Мира; ООТ «Комзина» на ул. Комзина; ООТ «Портпосёлок» на Комсомольском шоссе; ООТ «Кинотеатр «Буревестник» на ул. К.Маркса.
</t>
    </r>
  </si>
  <si>
    <r>
      <rPr>
        <b/>
        <u/>
        <sz val="12"/>
        <color indexed="8"/>
        <rFont val="Times New Roman"/>
        <family val="1"/>
        <charset val="204"/>
      </rPr>
      <t xml:space="preserve">2017г.: </t>
    </r>
    <r>
      <rPr>
        <sz val="12"/>
        <color indexed="8"/>
        <rFont val="Times New Roman"/>
        <family val="1"/>
        <charset val="204"/>
      </rPr>
      <t xml:space="preserve">-  ООТ «Западный пляж» на ул. Спортивная – 2шт.; ООТ «ул. Мичурина» на Автозаводском шоссе – 1шт.; ООТ «Хладокомбинат» на ул. Коммунальная – 2шт.; ООТ «Молокозавод» на ул. Коммунальная – 2шт.; ООТ «Площадь Никонова» на ул. Никонова – 2 шт.; ООТ "Бульвар Луначарского» на ул. Ворошилова – 2шт.; ООТ «ул. Чайкиной» на ул.  Лизы Чайкиной – 2шт.; ООТ «Детский сад Елочка» на ул. Маршала Жукова – 2шт.; ООТ «Автовокзал» на ул. Родины – 2шт.; ООТ «3б квартал» на ул. Степана Разина – 1шт.; ООТ "Парк Отель" на ул. Комзина - 2 шт.; ООТ "Опытный завод" на ул. Никонова - 2 шт.; ООТ "Школа интернат" на ул. Лесная - 2 шт.; ООТ "Фабрика заготовок на ул. Цеховая - 1 шт.; ООТ "40 лет Победы на ул. Автостроителей - 1 шт., ООТ "Бульвар Здоровья" на ул. 40 лет Победы - 1 шт.;  ООТ «Санаторий Волжские зори» на ул. Комзина – 2 шт.               </t>
    </r>
    <r>
      <rPr>
        <b/>
        <u/>
        <sz val="12"/>
        <color indexed="8"/>
        <rFont val="Times New Roman"/>
        <family val="1"/>
        <charset val="204"/>
      </rPr>
      <t xml:space="preserve">2020г.: </t>
    </r>
    <r>
      <rPr>
        <sz val="12"/>
        <color indexed="8"/>
        <rFont val="Times New Roman"/>
        <family val="1"/>
        <charset val="204"/>
      </rPr>
      <t>ООТ "АвтоВАЗагро" по ул.Ботаническая; ООТ "3-я проходная ВЦМ" по ул.Новозаводская; ООТ "Гидростроевская" по ул.Мира; ООТ "ул.Фрунзе" по Московскому пр-ту.</t>
    </r>
  </si>
  <si>
    <t xml:space="preserve">Устройство и перенос остановок общественного транспорта на территории городского округа Тольятти: 2014 год - ООТ "УТЭП" в р-не авторынка "ФАЭТОН" по ул.Громовой                                                                                                                                                                                              </t>
  </si>
  <si>
    <r>
      <rPr>
        <b/>
        <u/>
        <sz val="12"/>
        <color indexed="8"/>
        <rFont val="Times New Roman"/>
        <family val="1"/>
        <charset val="204"/>
      </rPr>
      <t>2017г.</t>
    </r>
    <r>
      <rPr>
        <sz val="12"/>
        <color indexed="8"/>
        <rFont val="Times New Roman"/>
        <family val="1"/>
        <charset val="204"/>
      </rPr>
      <t xml:space="preserve"> - ООТ «Гостиница» на улице Свердлова; ООТ «Веселая семейка» по улице Маршала Жукова; ООТ «Московский проспект» по улице Дзержинского; ООТ «Кинотеатр Ставрополь» по проспекту Степана Разина; ООТ «Кинотеатр Буревестник» по улице Карла Маркса; ООТ «СПТУ №36» по Южному шоссе; ООТ «Кафе Салют» по улице Юбилейной; ООТ «ул. Громовой» по улице Громовой; ООТ «Парк Победы» по улице Юбилейной;  ООТ «п. Приморский» по Московскому проспекту; ООТ «ул. Комзина» на улице Комзина; ООТ «Портпоселок» по Комсомольскому шоссе; ООТ «Педагогический институт» по Ленинскому проспекту.</t>
    </r>
  </si>
  <si>
    <r>
      <rPr>
        <b/>
        <u/>
        <sz val="12"/>
        <color indexed="8"/>
        <rFont val="Times New Roman"/>
        <family val="1"/>
        <charset val="204"/>
      </rPr>
      <t>2018г. -</t>
    </r>
    <r>
      <rPr>
        <sz val="12"/>
        <color indexed="8"/>
        <rFont val="Times New Roman"/>
        <family val="1"/>
        <charset val="204"/>
      </rPr>
      <t xml:space="preserve"> ООТ «ТГУ» по улице Белорусской; ООТ «Дворец детского творчества» по проспекту Степана Разина; ООТ «Цветной бульвар» по улице 70 лет Октября; ООТ «ул. Тополиная» по улице 70 лет Октября; ООТ «19 квартал» по улице 70 лет Октября; ООТ «Мир продуктов» по улице 70 лет Октября; ООТ «Южная база» по улице Борковская; ООТ «3 квартал» по Московскому проспекту; - ООТ «Бульвар Луначарского» на ул. Ворошилова; - ООТ «3б квартал» на пр-те Степана Разина; - ООТ «Детский сад Ёлочка» на ул. Маршала Жукова.                                                </t>
    </r>
    <r>
      <rPr>
        <b/>
        <u/>
        <sz val="12"/>
        <color indexed="8"/>
        <rFont val="Times New Roman"/>
        <family val="1"/>
        <charset val="204"/>
      </rPr>
      <t xml:space="preserve">2019 год </t>
    </r>
    <r>
      <rPr>
        <sz val="12"/>
        <color indexed="8"/>
        <rFont val="Times New Roman"/>
        <family val="1"/>
        <charset val="204"/>
      </rPr>
      <t xml:space="preserve">- ООТ «Ул. 40 лет Победы» по ул. Автостроителей; ООТ «Бульвар Здоровья» по ул. 40 лет Победы; ООТ «Ул. Мичурина» на Автозаводском шоссе; ООТ «Школа-интернат №5» на улице Лесной; ООТ "Площадь Никонова" на ул.Никонова
</t>
    </r>
    <r>
      <rPr>
        <b/>
        <u/>
        <sz val="12"/>
        <color indexed="8"/>
        <rFont val="Times New Roman"/>
        <family val="1"/>
        <charset val="204"/>
      </rPr>
      <t xml:space="preserve">2020: </t>
    </r>
    <r>
      <rPr>
        <sz val="12"/>
        <color indexed="8"/>
        <rFont val="Times New Roman"/>
        <family val="1"/>
        <charset val="204"/>
      </rPr>
      <t xml:space="preserve">ООТ "Опытный завод" на ул. Никонова; ООТ "Парк Отель" на ул. Комзина; ООТ "Автовокзал" на ул. Родины; ООТ на ул. Победы в районе дома №15; ООТ в районе 14а квартала по ул. 40 лет Победы; ООТ "Фабрика заготовок" на ул. Цеховая; ООТ "Хладокомбинат" на ул. Коммунальная; ООТ "Кафе Встреча" на ул. 70 лет Октября;                                                                                                             (на 2021г.: -ООТ "Молокозавод" на ул. Коммунальная; -ООТ "Санаторий Волжские зори" на ул. Комзина).
</t>
    </r>
  </si>
  <si>
    <t>Проектирование устройства парковочных площадок (карманов  и стоянок): 2014г.: в р-не ДРЦ "Ариадна" по ул.Жкова 3; в р-не д/с НШ "Росток" по Приморскому б-ру 25; в 2017г.: по ул.Автостроителей в р-не д.№ 5; в 2019г.: по пр-ту Степана Разина в районе дома №93</t>
  </si>
  <si>
    <t xml:space="preserve">Устройство парковочных площадок, карманов  и стоянок: в районе детского реабилитационного центра "Ариадна" по адресу: ул. М.Жукова, 3; в районе детского сада - начальной школы "Росток" по адресу: Приморский б-р, 25                                                                                                        </t>
  </si>
  <si>
    <r>
      <t xml:space="preserve">Приобретение  дорожных знаков и выполнение работ по их установке </t>
    </r>
    <r>
      <rPr>
        <b/>
        <u/>
        <sz val="12"/>
        <color indexed="8"/>
        <rFont val="Times New Roman"/>
        <family val="1"/>
        <charset val="204"/>
      </rPr>
      <t xml:space="preserve">в 2015г.: </t>
    </r>
    <r>
      <rPr>
        <sz val="12"/>
        <color indexed="8"/>
        <rFont val="Times New Roman"/>
        <family val="1"/>
        <charset val="204"/>
      </rPr>
      <t xml:space="preserve"> Южное шоссе ООТ "19 квартал", г. Южное шоссе ООТ "Автопарковая", ул. Южное шоссе ООТ "УВД", ул. Фрунзе - пр-т Степана Разина, ул. 70 лет Октября - ул. Тополиная в 2016-2017 гг.: ул. Чайкиной, ООТ "Парк", ул. Чайкиной - ул. Плотинная, ул. Матросова - ул. Коммунистическая, Южное шоссе, ООТ "20 квартал", Южное шоссе, ООТ "19 квартал", Южное шоссе, ООТ "Автопарковая", Южное шоссе, ООТ "УВД",ул. Фрунзе - пр-т Степана Разина,ул. 70 лет Октября - ул. Тополиная. 
</t>
    </r>
    <r>
      <rPr>
        <b/>
        <u/>
        <sz val="12"/>
        <color indexed="8"/>
        <rFont val="Times New Roman"/>
        <family val="1"/>
        <charset val="204"/>
      </rPr>
      <t>в 2016-2018гг.</t>
    </r>
    <r>
      <rPr>
        <sz val="12"/>
        <color indexed="8"/>
        <rFont val="Times New Roman"/>
        <family val="1"/>
        <charset val="204"/>
      </rPr>
      <t>: ул. Борковская, ООТ "Энергетическая", ул. Мира - ул. Победы, ул. Революционная - ул. Дзержинского, ул. Новозаводская - Тупиковый пр-д, ул. Лесная - ул. Ушакова - ул. Комсомольская - ул. Родины, ул. Революционная - Ленинский пр-т, ул. Ленина - ул. Мичурина, ул. К. Маркса - ул. Гагарина, ул. Л. Чайкиной - ул. Ярославская, ул. Юбилейная - Приморский б-р, ул. Юбилейная - ул.Дзержинского - ул. Борковская, Московский пр-т, ООТ "3 квартал", ул. 70 лет Октября - ул. Тополиная, Автозаводское шоссе, ООТ "ул. Мичурина", ул. Мира - ул. Советская, ул. Мира - ул. Голосова, ул. К. Маркса - ул. Горького, ул. Л. Толстого, 26 (СОШ №91), ул. Жукова - ул. Фрунзе, ул. Жукова, 1, ул. Юбилейная - ул. Фрунзе, ул. Революционная - ул. Фрунзе, ул. Ворошилова, 49, Автозаводское шоссе, 6 (ООТ "Парк Хаус"), Южное шоссе, 36 (МСЧ ВАЗа), ул. Комсомольская - ул. Новозаводская, ул. Юбилейная в районе ООТ "Парк Победы" и ООТ "Кафе Салют", Южное шоссе - ул. 40 лет Победы.</t>
    </r>
  </si>
  <si>
    <r>
      <t xml:space="preserve">                                                                                                                                                                                                                                                                               </t>
    </r>
    <r>
      <rPr>
        <b/>
        <u/>
        <sz val="11"/>
        <color indexed="8"/>
        <rFont val="Times New Roman"/>
        <family val="1"/>
        <charset val="204"/>
      </rPr>
      <t xml:space="preserve"> в 2019г.:</t>
    </r>
    <r>
      <rPr>
        <sz val="11"/>
        <color indexed="8"/>
        <rFont val="Times New Roman"/>
        <family val="1"/>
        <charset val="204"/>
      </rPr>
      <t>ул. Громовой, №43, №45, №37А,ул. Коммунистическая, 99, ул. Чайкиной,52 и 67, Автозаводское шоссе 3 и 5, ул.Кирова - ул.Герцена, ул. Ларина - ул. Ломоносова,б-р 50лет Октября,№42, №67,№69, ул. Ленина - ул. Шлютова, ул. Победы - ул. Чапаева, ул. Победы - ул. Горького, ул. Победы - ул. Комсомольская, ул. Новозаводская в районе №2, №7, №9, ул.Мира,№95,№101, №102,№120, ул. Юбилейная - Приморский б-р, ул. Юбилейная - Ленинский пр-т, ул. Юбилейная - ул. Фрунзе, ул. Революционная - Приморский б-р, ул. 40 лет Победы и ул. Ворошилова, ул.Свердлова,№7А, №7Г, №16, ул. Свердлова - ул. Революционная, ул. Дзержинского - ул. Автостроителей, ул. Дзержинского,21 ООТ "б-р Космонавтов", ул. Коммунальная в районе домов №37, №39, №4, ул. Коммунальная - ул. Полякова, ул. Голосова,44, 97, 105, пр-т Ст. Разина - ул. Свердлова, Московский пр-т, ООТ ул. Фрунзе, 40лет Победы ООТ 14 квартал, ул. Гидротехническая, ООТ Вокзальная, ул. Свердлова, ООТ Стоматологическая поликлиника, ул. Коммунистическая, ООТ Тюленина, ул. Фрунзе, 43А, ул. Ленина - ул. М.Горького, ул. Новозаводская - ул.М.Горького, Ленинский пр-т, ООТ Управление социальной защитой, ул. Громовой, ООТ Колхозный рынок, Южное шоссе, ООТ "7 вставка ВАЗа", ул. Свердлова, ООТ "ул. Юбилейная", ул. Юбилейная, ООТ "Молодежный центр", б-р Орджоникидзе, 3, б-р Орджоникидзе, 14, б-р Буденного,№1 и №4, б-р Кулибина,17 и 13, ул.Жукова,15, б-р Курчатова,2, Молодежный б-р, 28, б-р 50лет Октября 61, ул. Матросова "Горгаз", ул. Ворошилова ООТ "15 квартал", Проспект Степана Разина ООТ "7 квартал", ул.70 лет Октября ООТ "Цветной бульвар", ул.Ярославская ООТ "Мясокомбинат", Проспект Степана Разина ООТ "Телецентр", ул. Фрунзе,10Б, ул. Ворошилова, ООТ Дом Офицеров, ул. Коммунистическая детский сад "Олимпия", ул. Комсомольская - ул. Карбышева, ул. Комсомольская, 165, ул. Ворошилова ООТ "Бульвар Луначарского", ул.Жукова,21</t>
    </r>
  </si>
  <si>
    <t>Приложение № 5                                                                                                                                                   к  муниципальной программе "Развитие транспортной системы и дорожного хозяйства городского округа Тольятти на 2014-2020 г.г."</t>
  </si>
  <si>
    <t>Перечень объектов подпрограммы "Модернизация и развитие автомобильных дорог общего пользования местного значения городского округа Тольятти на 2014-2020 г.г."  и финансовые ресурсы</t>
  </si>
  <si>
    <t>№   п/п</t>
  </si>
  <si>
    <t>Наименование мероприятий по объектам</t>
  </si>
  <si>
    <t>L(S) объекта, км (т.м2)***</t>
  </si>
  <si>
    <t>Общая стоимость работ (ориенти-ровочная), тыс.руб.</t>
  </si>
  <si>
    <t>Стоимость работ по годам, тыс.руб.</t>
  </si>
  <si>
    <t>2014 год</t>
  </si>
  <si>
    <t>2015 год</t>
  </si>
  <si>
    <t>2016 год</t>
  </si>
  <si>
    <t>2017 год</t>
  </si>
  <si>
    <t>2018 год</t>
  </si>
  <si>
    <t>2019 год</t>
  </si>
  <si>
    <t>2020 год</t>
  </si>
  <si>
    <t>L(S) объекта, км (т.м2) ***</t>
  </si>
  <si>
    <t>всего, тыс.руб.</t>
  </si>
  <si>
    <t>областной бюджет, тыс.руб.</t>
  </si>
  <si>
    <t>местный бюджет, тыс.руб.</t>
  </si>
  <si>
    <t>федеральный бюджет, тыс. руб.</t>
  </si>
  <si>
    <t>федераль-ный бюджет, тыс. руб.</t>
  </si>
  <si>
    <t>федеральный бюджет,      тыс. руб.</t>
  </si>
  <si>
    <t xml:space="preserve"> местный бюджет, тыс.руб.</t>
  </si>
  <si>
    <t>1. Строительство автомобильных дорог общего пользования местного значения городского округа Тольятти:</t>
  </si>
  <si>
    <t>1.1.</t>
  </si>
  <si>
    <t>1.1.1.</t>
  </si>
  <si>
    <t>Оплата принятых в 2015 году обязательств</t>
  </si>
  <si>
    <t>1.1.2.</t>
  </si>
  <si>
    <t>1.2.</t>
  </si>
  <si>
    <t xml:space="preserve">Строительство магистральной улицы  районого значения транспортно-пешеходной  ул. Механизаторов от ул. Лизы Чайкиной до ул. Громовой в Комсомольском районе города Тольятти </t>
  </si>
  <si>
    <t>1.2.1.</t>
  </si>
  <si>
    <t>Строительство магистральной улицы  районого значения транспортно-пешеходной  ул. Механизаторов от ул. Лизы Чайкиной до ул. Громовой в Комсомольском районе города Тольятти</t>
  </si>
  <si>
    <t>1.2.2.</t>
  </si>
  <si>
    <t>Осуществление строительного контроля на объекте: Строительство магистральной улицы  районого значения транспортно-пешеходной  ул. Механизаторов от ул. Лизы Чайкиной до ул. Громовой в Комсомольском районе</t>
  </si>
  <si>
    <t>1.2.3.</t>
  </si>
  <si>
    <t>Корректировка проекта "Строительство автомобильной дороги по ул. Механизаторов от ул. Громовой до ул. Лизы Чайкиной"</t>
  </si>
  <si>
    <t>1.3.</t>
  </si>
  <si>
    <t>Строительство транспортной развязки на пересечении Обводной автодороги и Южного шоссе г. Тольятти в Ставропольском районе Самарской области</t>
  </si>
  <si>
    <t>1.3.1.</t>
  </si>
  <si>
    <t xml:space="preserve">Разработка проекта планировки и межевания (резервирование земельных участков в границах красных линий, издание постановления, регистрация в Росреестре)         </t>
  </si>
  <si>
    <t>1.3.2.</t>
  </si>
  <si>
    <t>Изъятие земельных участков у сторонних землепользователей (издание постановления, регистрация постановления в Росреестре, заключение соглашения, регистрация права собственности администрации)</t>
  </si>
  <si>
    <t>1.3.3.</t>
  </si>
  <si>
    <t>Реализация проекта по строительству</t>
  </si>
  <si>
    <t>1.3.4.</t>
  </si>
  <si>
    <t>1 этап - выезд с ул. Офицерской на Южное шоссе</t>
  </si>
  <si>
    <t>1.3.5.</t>
  </si>
  <si>
    <t>2 этап - строительство транспортной развязки</t>
  </si>
  <si>
    <t>1.4.</t>
  </si>
  <si>
    <t>1.4.1.</t>
  </si>
  <si>
    <t xml:space="preserve">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S=4,3 га)        </t>
  </si>
  <si>
    <t>1.4.2.</t>
  </si>
  <si>
    <t>1.4.3.</t>
  </si>
  <si>
    <t>Формирование земельного участка</t>
  </si>
  <si>
    <t>1.4.4.</t>
  </si>
  <si>
    <t>1.4.5.</t>
  </si>
  <si>
    <t>1.5.</t>
  </si>
  <si>
    <t xml:space="preserve">Строительство автодорог в микрорайоне Тимофеевка-2        </t>
  </si>
  <si>
    <t>1.5.1.</t>
  </si>
  <si>
    <t>1.5.2.</t>
  </si>
  <si>
    <t>1.5.3.</t>
  </si>
  <si>
    <t>1.5.4.</t>
  </si>
  <si>
    <t>1.5.5.</t>
  </si>
  <si>
    <t>1.6.</t>
  </si>
  <si>
    <t xml:space="preserve">Строительство автодорог в микрорайоне "Северный"         </t>
  </si>
  <si>
    <t>1.6.1.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</si>
  <si>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8 га)</t>
  </si>
  <si>
    <t>1.6.2.</t>
  </si>
  <si>
    <t>1.6.3.</t>
  </si>
  <si>
    <t>1.6.4.</t>
  </si>
  <si>
    <t>Разработка ПСД, в т.ч. прохождение госэкспертизы</t>
  </si>
  <si>
    <t>1.6.5.</t>
  </si>
  <si>
    <t>Реализация проекта</t>
  </si>
  <si>
    <t>1.7.</t>
  </si>
  <si>
    <t>Строительство дополнительной полосы для правого поворота на Автозаводское шоссе по Южному шоссе от ул. 40 лет Победы до пересечения с Автозаводским шоссе</t>
  </si>
  <si>
    <t>1.7.1.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</si>
  <si>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2,5 га)</t>
  </si>
  <si>
    <t>1.7.2.</t>
  </si>
  <si>
    <t>1.7.3.</t>
  </si>
  <si>
    <t>1.7.4.</t>
  </si>
  <si>
    <t>1.8.</t>
  </si>
  <si>
    <t>1.8.1.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</si>
  <si>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26 га)</t>
  </si>
  <si>
    <t>1.8.2.</t>
  </si>
  <si>
    <t>1.8.3.</t>
  </si>
  <si>
    <t>1.8.4.</t>
  </si>
  <si>
    <t>1.8.5.</t>
  </si>
  <si>
    <t>1.9.</t>
  </si>
  <si>
    <t xml:space="preserve">                                                                                       Строительство и реконструкция автомобильной дороги по  ул. Калмыцкой  от Автозаводского шоссе до ул. Васильевской, площадью 15,8 га
</t>
  </si>
  <si>
    <t>1.9.1.</t>
  </si>
  <si>
    <t xml:space="preserve">Разработка проекта планировки и межевания (резервирование земельных участков в границах красных линий (издание постановления, регистрация в Росреестре) </t>
  </si>
  <si>
    <t>1.9.2.</t>
  </si>
  <si>
    <t>1.9.3.</t>
  </si>
  <si>
    <t>1.9.4.</t>
  </si>
  <si>
    <t>1.9.5.</t>
  </si>
  <si>
    <t xml:space="preserve">Проектно-изыскательские работы по объекту: Строительство и реконструкция автомобильной дороги по ул. Калмыцкая (от Автозаводского шоссе до ул. Васильевской) </t>
  </si>
  <si>
    <t>Реализация проекта по строительству и реконструкции:</t>
  </si>
  <si>
    <t>1.9.6.</t>
  </si>
  <si>
    <t>1 этап - Строительство и реконструкция автомобильной дороги по ул. Калмыцкая (от Автозаводского шоссе до ул. Васильевской)</t>
  </si>
  <si>
    <t>1.9.7.</t>
  </si>
  <si>
    <t>2 этап - от Автозаводского шоссе до ул. Ленина</t>
  </si>
  <si>
    <t>1.9.8.</t>
  </si>
  <si>
    <t>3 этап - от ул. Ленина до ул. Новозаводской</t>
  </si>
  <si>
    <t>1.9.9.</t>
  </si>
  <si>
    <t>Строительный контроль на объекте: Реконструкция автомобильной дороги по ул. Калмыцкой (от ул. Новозаводская до ул. Васильевской)</t>
  </si>
  <si>
    <t>1.10.</t>
  </si>
  <si>
    <t xml:space="preserve">Строительство и реконструкция  ул. Васильевской от ул. Комсомольской до Обводного шоссе 
</t>
  </si>
  <si>
    <t>1.10.1.</t>
  </si>
  <si>
    <t>1.10.2.</t>
  </si>
  <si>
    <t>1.10.3.</t>
  </si>
  <si>
    <t>1.10.4.</t>
  </si>
  <si>
    <t>1.10.5.</t>
  </si>
  <si>
    <t>1 этап - строительство ул. Васильевской от ул. Базовой до Обводного шоссе</t>
  </si>
  <si>
    <t>1.10.6.</t>
  </si>
  <si>
    <t>2 этап - реконструкция ул. Васильевской от ул. Комсомольской до ул. Базовой</t>
  </si>
  <si>
    <t>1.11.</t>
  </si>
  <si>
    <t xml:space="preserve">Строительство улично-дорожной сети западнее Московского проспекта - первая очередь:
</t>
  </si>
  <si>
    <t>1.11.1.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</si>
  <si>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t>
  </si>
  <si>
    <t>1.11.2.</t>
  </si>
  <si>
    <t>1.11.3.</t>
  </si>
  <si>
    <t>1.11.4.</t>
  </si>
  <si>
    <t>Проектно-изыскательские работы по объекту: "Строительство улично-дорожной сети западнее Московского проспекта - первая очередь"</t>
  </si>
  <si>
    <t>Реализация проекта по строительству:</t>
  </si>
  <si>
    <t>1.11.5.</t>
  </si>
  <si>
    <t>1 этап - строительство улицы Фрунзе от Московского проспекта до улицы Н-43</t>
  </si>
  <si>
    <t>1.11.6.</t>
  </si>
  <si>
    <t>2 этап - строительство улицы Н-7 от ул. Офицерская до бульвара Приморский, 1 очередь - от улицы Фрунзе до бульвара Приморский</t>
  </si>
  <si>
    <t>1.11.7.</t>
  </si>
  <si>
    <t>1.11.8.</t>
  </si>
  <si>
    <t xml:space="preserve"> 5 этап - Реконструкция Московского проспекта (строительство местного проезда западной стороны Московского проспекта)  </t>
  </si>
  <si>
    <t>1.11.9.</t>
  </si>
  <si>
    <t>5 этап - строительство Н-8 от Н-7 до Н-7а</t>
  </si>
  <si>
    <t>1.12.</t>
  </si>
  <si>
    <t xml:space="preserve">Строительство местного проезда вдоль ул.Спортивной в 8 квартале Автозаводского района (реконструкция ул.Спортивной на участке от ул.Юбилейная до проспекта Степана разина (боковой проезд)        </t>
  </si>
  <si>
    <t>1.12.1.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</si>
  <si>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8 га)</t>
  </si>
  <si>
    <t>1.12.2.</t>
  </si>
  <si>
    <t>1.12.3.</t>
  </si>
  <si>
    <t>1.12.4.</t>
  </si>
  <si>
    <t>Проектирование строительства местного проезда автодороги по ул. Спортивная в 8 квартале.</t>
  </si>
  <si>
    <t>1.12.5.</t>
  </si>
  <si>
    <t>1.13.</t>
  </si>
  <si>
    <t xml:space="preserve">Строительство автомагистрали  Н- 2 (дублер Южного шосее) вдоль 20, 21 кварталов Автозаводского района  </t>
  </si>
  <si>
    <t>1.13.1.</t>
  </si>
  <si>
    <t>1.13.2.</t>
  </si>
  <si>
    <t>1.13.3.</t>
  </si>
  <si>
    <t>1.13.4.</t>
  </si>
  <si>
    <t>1.13.5.</t>
  </si>
  <si>
    <t>1.14.</t>
  </si>
  <si>
    <t xml:space="preserve">Строительство транспортной развязки в разных уровнях на пересечении Хрящевского шоссе и Обводного шоссе </t>
  </si>
  <si>
    <t>1.14.1.</t>
  </si>
  <si>
    <t>1.14.2.</t>
  </si>
  <si>
    <t>1.14.3.</t>
  </si>
  <si>
    <t>1.14.4.</t>
  </si>
  <si>
    <t>1.14.5.</t>
  </si>
  <si>
    <t>1.15.</t>
  </si>
  <si>
    <t>Строительство дороги по улице Владимира Высоцкого</t>
  </si>
  <si>
    <t>1.16.</t>
  </si>
  <si>
    <t xml:space="preserve">Строительство автодорог в микрорайоне "Жигулевское море"  </t>
  </si>
  <si>
    <t>1.16.1.</t>
  </si>
  <si>
    <t>1.16.2.</t>
  </si>
  <si>
    <t>1.16.3.</t>
  </si>
  <si>
    <t>1.16.4.</t>
  </si>
  <si>
    <t>1.16.5.</t>
  </si>
  <si>
    <t>1.17.</t>
  </si>
  <si>
    <t>Повторная государственная экспертиза проектов по объектам капитального строительства:</t>
  </si>
  <si>
    <t>1.17.1.</t>
  </si>
  <si>
    <t>1.17.2.</t>
  </si>
  <si>
    <t>1.17.3.</t>
  </si>
  <si>
    <t>1.18.</t>
  </si>
  <si>
    <t>1.18.1.</t>
  </si>
  <si>
    <t>1.19.</t>
  </si>
  <si>
    <t>Техническая инвентаризация автодороги по ул. 40 лет Победы протяженностью 2354 м.п., изготовление тех. паспорта, изготовление тех. плана для внесения изменений в кадастровый учет дороги по ул. 40 лет Победы протяженностью 4217 м.п.</t>
  </si>
  <si>
    <t>1.19.1.</t>
  </si>
  <si>
    <t>1.20.</t>
  </si>
  <si>
    <t xml:space="preserve">                                                                                                                                                                                                                                                                                                                                                                                        Строительство магистральной улицы общегородского значения регулируемого движения ул. Офицерской от ул. Полякова до Южного шоссе в Автозаводском районе города Тольятти и строительство  магистральной улицы общегородского значения регулируемого движения ул. Офицерской: </t>
  </si>
  <si>
    <t>1.20.1.</t>
  </si>
  <si>
    <t>Корректировка проекта "Реконструкция и строительство магистральной улицы общегородского значения регулируемого движения ул. Офицерской от  Южного шоссе до ул. Ворошилова"</t>
  </si>
  <si>
    <t>1.20.2.</t>
  </si>
  <si>
    <t>Строительство магистральной улицы общегородского значения регулируемого движения ул. Офицерской от ул. Полякова до Южного шоссе в Автозаводском районе города Тольятти в рамках национального проекта "Безопасные и качественные автомобильные дороги"</t>
  </si>
  <si>
    <t>1.20.3.</t>
  </si>
  <si>
    <t>Строительство магистральной улицы общегородского значения регулируемого движения ул. Офицерской от ул. Полякова до Южного шоссе в Автозаводском районе города Тольятти, входящей в состав Самарско-Тольяттинской агломерации</t>
  </si>
  <si>
    <t>1.20.4.</t>
  </si>
  <si>
    <t>Строительство магистральной улицы общегородского значения регулируемого движения ул. Офицерской, входящей в состав Самарско-Тольяттинской агломерации, в рамках реализации национального проекта "Безопасные и качественные автомобильные дороги"</t>
  </si>
  <si>
    <t>1.20.5.</t>
  </si>
  <si>
    <t>1.20.6.</t>
  </si>
  <si>
    <t>Осуществление  строительного контроля на объекте «Строительство магистральной улицы общегородского значения регулируемого движения ул. Офицерской от ул. Полякова до Южного шоссе в Автозаводском районе города Тольятти»</t>
  </si>
  <si>
    <t>Осуществление  авторского надзора на объекте «Строительство магистральной улицы общегородского значения регулируемого движения ул. Офицерской от ул. Полякова до Южного шоссе в Автозаводском районе города Тольятти»</t>
  </si>
  <si>
    <t>1.20.7.</t>
  </si>
  <si>
    <t>Осуществление  строительного контроля на объекте «Строительство магистральной улицы общегородского значения регулируемого движения ул. Офицерской»</t>
  </si>
  <si>
    <t>1.20.8.</t>
  </si>
  <si>
    <t>Осуществление  авторского надзора на объекте «Строительство магистральной улицы общегородского значения регулируемого движения ул. Офицерской»</t>
  </si>
  <si>
    <t>Нераспределённый остаток</t>
  </si>
  <si>
    <t>Итого по объектам строительства по разделу 1:</t>
  </si>
  <si>
    <t>2. Реконструкция автомобильных дорог общего пользования местного значения городского округа Тольятти:</t>
  </si>
  <si>
    <t>2.1.</t>
  </si>
  <si>
    <t>2.1.1.</t>
  </si>
  <si>
    <t>2.2.</t>
  </si>
  <si>
    <t>Реконструкция и строительство магистральной улицы общегородского значения регулируемого движения ул. Офицерской от Южного шоссе до ул. Ворошилова</t>
  </si>
  <si>
    <t>2.2.1.</t>
  </si>
  <si>
    <t>2.2.2.</t>
  </si>
  <si>
    <t xml:space="preserve">Реализация проекта: "Реконструкция и строительство магистральной улицы общегородского значения регулируемого движения ул. Офицерской от Южного шоссе до ул.Ворошилова"  </t>
  </si>
  <si>
    <t>2.3.</t>
  </si>
  <si>
    <t>Реконструкция автомобильных дорог по объектам: Лесопарковое шоссе, ул. Иженерная, ул. Комзина городского округа Тольятти Самарской области, в том числе инженерные изыскания и государственная экспертиза проекта</t>
  </si>
  <si>
    <t>2.3.1.</t>
  </si>
  <si>
    <t>2.3.2.</t>
  </si>
  <si>
    <t>2.3.3.</t>
  </si>
  <si>
    <t>2.3.4.</t>
  </si>
  <si>
    <t>Реализация проекта по реконструкции.</t>
  </si>
  <si>
    <t>2.4.</t>
  </si>
  <si>
    <t>Реконструкция автомобильной дороги по ул. Громовой от путепровода через федеральную железную дорогу до ул.Магистральной (М5 "Урал")</t>
  </si>
  <si>
    <t>2.4.1.</t>
  </si>
  <si>
    <t>2.4.2.</t>
  </si>
  <si>
    <t>2.4.3.</t>
  </si>
  <si>
    <t>2.4.4.</t>
  </si>
  <si>
    <t>2.4.5.</t>
  </si>
  <si>
    <t>2.5.</t>
  </si>
  <si>
    <t xml:space="preserve">Реконструкция кольцевой транспортной развязки на пересечении автомобильных дорог по ул. Громовой и ул. Матросова              </t>
  </si>
  <si>
    <t>2.5.1.</t>
  </si>
  <si>
    <t xml:space="preserve">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3,0 га)        </t>
  </si>
  <si>
    <t>2.5.2.</t>
  </si>
  <si>
    <t>2.5.3.</t>
  </si>
  <si>
    <t>2.5.4.</t>
  </si>
  <si>
    <t>2.5.5.</t>
  </si>
  <si>
    <t>2.6.</t>
  </si>
  <si>
    <t xml:space="preserve">Реконструкция автомобильной дороги по ул. Матросова (от ул. Громовой до ул. Коммунистической ) </t>
  </si>
  <si>
    <t>2.6.1.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</si>
  <si>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5,9 га)</t>
  </si>
  <si>
    <t>2.6.2.</t>
  </si>
  <si>
    <t>2.6.3.</t>
  </si>
  <si>
    <t>2.6.4.</t>
  </si>
  <si>
    <t>2.6.5.</t>
  </si>
  <si>
    <t>2.6.6.</t>
  </si>
  <si>
    <t>2.7.</t>
  </si>
  <si>
    <t xml:space="preserve">Реконструкция ул. Тополиная от Южного шоссе до ул. 70 лет Октября (боковой проезд) </t>
  </si>
  <si>
    <t>2.7.1.</t>
  </si>
  <si>
    <t>Подготовка документации по планировке территории ул.Тополиная от ул.70 лет Октября до ул.Южное шоссе</t>
  </si>
  <si>
    <t>2.7.2.</t>
  </si>
  <si>
    <t>2.7.3.</t>
  </si>
  <si>
    <t>2.7.4.</t>
  </si>
  <si>
    <t>Проектно-изыскательские работы по объекту "Реконструкция ул. Тополиная от Южного шоссе до ул. 70 лет Октября (боковой проезд)</t>
  </si>
  <si>
    <t>2.7.5.</t>
  </si>
  <si>
    <t>2.8.</t>
  </si>
  <si>
    <t xml:space="preserve">Реконструкция Комсомольского шоссе от ул. Есенина до ул. Комзина            </t>
  </si>
  <si>
    <t>2.8.1.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</si>
  <si>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16 га)</t>
  </si>
  <si>
    <t>2.8.2.</t>
  </si>
  <si>
    <t>2.8.3.</t>
  </si>
  <si>
    <t>2.8.4.</t>
  </si>
  <si>
    <t>2.8.5.</t>
  </si>
  <si>
    <t>2.9.</t>
  </si>
  <si>
    <t>2.9.1.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</si>
  <si>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6 га)</t>
  </si>
  <si>
    <t>2.9.2.</t>
  </si>
  <si>
    <t>2.9.3.</t>
  </si>
  <si>
    <t>2.9.4.</t>
  </si>
  <si>
    <t>2.9.5.</t>
  </si>
  <si>
    <t>2.10.</t>
  </si>
  <si>
    <t xml:space="preserve">Реконструкция ул. Северная от ул.Цеховой до Хрящевского шоссе </t>
  </si>
  <si>
    <t>2.10.1.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</si>
  <si>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48 га)</t>
  </si>
  <si>
    <t>2.10.2.</t>
  </si>
  <si>
    <t>2.10.3.</t>
  </si>
  <si>
    <t>2.10.4.</t>
  </si>
  <si>
    <t>2.10.5.</t>
  </si>
  <si>
    <t>2.11.</t>
  </si>
  <si>
    <t xml:space="preserve">Реконструкция ул.Цеховой от ул. Северная до ул. Вокзальная </t>
  </si>
  <si>
    <t>2.11.1.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</si>
  <si>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7,6 га)</t>
  </si>
  <si>
    <t>2.11.2.</t>
  </si>
  <si>
    <t>2.11.3.</t>
  </si>
  <si>
    <t>2.11.4.</t>
  </si>
  <si>
    <t>2.11.5.</t>
  </si>
  <si>
    <t>2.12.</t>
  </si>
  <si>
    <t xml:space="preserve">Реконструкция Хрящевского шоссе от Обводного шоссе до ул. Северная       </t>
  </si>
  <si>
    <t>2.12.1.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</si>
  <si>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11,3 га)</t>
  </si>
  <si>
    <t>2.12.2.</t>
  </si>
  <si>
    <t>2.12.3.</t>
  </si>
  <si>
    <t>2.12.4.</t>
  </si>
  <si>
    <t>2.12.5.</t>
  </si>
  <si>
    <t>2.13.</t>
  </si>
  <si>
    <t>Реконструкция Автозаводского шоссе</t>
  </si>
  <si>
    <t>2.13.1.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</si>
  <si>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19 га)</t>
  </si>
  <si>
    <t>2.13.2.</t>
  </si>
  <si>
    <t>2.13.3.</t>
  </si>
  <si>
    <t>2.13.4.</t>
  </si>
  <si>
    <t>2.13.5.</t>
  </si>
  <si>
    <t>2.14.</t>
  </si>
  <si>
    <t xml:space="preserve">Реконструкция ул. Лесная от бул.50-лет Октября до Комсомольской ул. </t>
  </si>
  <si>
    <t>2.14.1.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</si>
  <si>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8,6 га)</t>
  </si>
  <si>
    <t>2.14.2.</t>
  </si>
  <si>
    <t>2.14.3.</t>
  </si>
  <si>
    <t>2.14.4.</t>
  </si>
  <si>
    <t>2.14.5.</t>
  </si>
  <si>
    <t>2.15.</t>
  </si>
  <si>
    <t>2.15.1.</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</si>
  <si>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3,4 га)</t>
  </si>
  <si>
    <t>2.15.2.</t>
  </si>
  <si>
    <t>2.15.3.</t>
  </si>
  <si>
    <t>2.15.4.</t>
  </si>
  <si>
    <t>2.15.5.</t>
  </si>
  <si>
    <t>Итого по объектам реконструкции по разделу 2:</t>
  </si>
  <si>
    <t>3. Выполнение проектно-изыскательских работ по строительству, реконструкции, капитальному ремонту и ремонту автомобильных дорог общего пользования местного значения городского округа Тольятти:</t>
  </si>
  <si>
    <t>3.1.</t>
  </si>
  <si>
    <t>3.2.</t>
  </si>
  <si>
    <t>Проектирование капитального ремонта автодороги по ул. Л. Яшина от автодороги по Южному шоссе до автодороги по ул. 70 лет Октября, включая кольцевую транспортную развязку, в т.ч. государственная экспертиза  проектирования капитального ремонта автодороги</t>
  </si>
  <si>
    <t>3.3.</t>
  </si>
  <si>
    <t>Проектирование капитального ремонта автодороги по ул. Жилина от автодороги по ул. Мира до автодороги по ул. Баныкина, включая пересечения автодорог, в т.ч. инженерные изыскания, государственная экспертиза инженерных изысканий и проектирования капитального ремонта автодороги</t>
  </si>
  <si>
    <t>3.4.</t>
  </si>
  <si>
    <t>Проектирование капитального ремонта автодороги по ул. Шлюзовая от автодороги по ул. Железнодорожной до автодороги по  ул. Никонова, включая пересечения автодорог,  т.ч. государственная экспертиза проектирования капитального ремонта автодороги</t>
  </si>
  <si>
    <t>3.5.</t>
  </si>
  <si>
    <t>Проектирование капитального ремонта автомобильных дорог, в тот числе получение заключения ГАУ Самарской области "Государственная экспертиза в строительстве" и инженерные изыскания для проектирования капитального ремонта автомобильных дорог, всего, в т.ч. по объектам:</t>
  </si>
  <si>
    <t>3.5.1.</t>
  </si>
  <si>
    <t xml:space="preserve"> ул. К. Маркса (от ул. Лесная до ул. Ленинградская)</t>
  </si>
  <si>
    <t>3.5.2.</t>
  </si>
  <si>
    <t xml:space="preserve"> ул. Базовая (от ул. Комсомольская до ул. Ларина)</t>
  </si>
  <si>
    <t>3.5.3.</t>
  </si>
  <si>
    <t xml:space="preserve"> ул. Октябрьская (от ул. Комсомольская до б-ра  50 лет Октября)</t>
  </si>
  <si>
    <t>3.5.4.</t>
  </si>
  <si>
    <t xml:space="preserve"> ул. Радищева (от ул. Октябрьская до ул. Новозаводская)</t>
  </si>
  <si>
    <t>3.6.</t>
  </si>
  <si>
    <t>Проектирование ремонта автодорог</t>
  </si>
  <si>
    <t>3.7.</t>
  </si>
  <si>
    <t>Инженерные изыскания для проектирования ремонта автодорог</t>
  </si>
  <si>
    <t>3.8.</t>
  </si>
  <si>
    <t xml:space="preserve">Проектирование  ремонта автодорог, в т.ч. инженерные изыскания </t>
  </si>
  <si>
    <t>3.9.</t>
  </si>
  <si>
    <t>Проектно-изыскательские работы по капитальному ремонту автодорог, всего, в т.ч.:</t>
  </si>
  <si>
    <t>3.9.1.</t>
  </si>
  <si>
    <t>автодорога по ул. Кунеевская</t>
  </si>
  <si>
    <t>3.9.2.</t>
  </si>
  <si>
    <t>автодорога по ул. Никонова (от ул. Железнодорожная до ул. Ингельберга)</t>
  </si>
  <si>
    <t>3.9.3.</t>
  </si>
  <si>
    <t>автодорога по ул. Ингельберга (от ул. Никонова до пер. Ученический)</t>
  </si>
  <si>
    <t>3.10.</t>
  </si>
  <si>
    <t>Инженерные изыскания дл проектирования капитального ремонта автодорог</t>
  </si>
  <si>
    <t>3.11.</t>
  </si>
  <si>
    <t>3.12.</t>
  </si>
  <si>
    <t>Проектирование капитального ремонта автодороги по ул.  Ленина, в т.ч. Инженерные изыскания,государственная  экспертиза инженерных изысканий и проектно-сметной документации</t>
  </si>
  <si>
    <t>3.13.</t>
  </si>
  <si>
    <t>Проектирование капитального ремонта магистральной улицы общегородского значения регулируемого движения  Кунеевской, в т.ч. инженерные изыскания и экспертиза проекта</t>
  </si>
  <si>
    <t>3.14.</t>
  </si>
  <si>
    <t>3.15.</t>
  </si>
  <si>
    <t>Проектирование капитального ремонта, ремонта автомобильных дорог, в том числе инженерные изыскания</t>
  </si>
  <si>
    <t>3.16.</t>
  </si>
  <si>
    <t>Проектно-изыскательские работы по реконструкции автомобильных дорог городского округа Тольятти, в т.ч.:</t>
  </si>
  <si>
    <t>3.16.1.</t>
  </si>
  <si>
    <t>Реконструкция магистральной улицы городского значения регулируемого движения ул. Спортивной на участке от ул. Степана Разина до ул. Юбилейная (строительство местного бокового проезда) в 8 квартале Автозаводского района г. Тольятти, Самарской области</t>
  </si>
  <si>
    <t>3.16.2.</t>
  </si>
  <si>
    <t>Реконструкция магистральной улицы районного значения  транспортно-пешеходной ул. Тополиная от Южного шоссе до ул. 70 лет Октября (строительство бокового местного проезда)</t>
  </si>
  <si>
    <t>3.17.</t>
  </si>
  <si>
    <t>Оказание услуг по проведению проверки достоверности определения сметной стоимости по объекту: Строительство магистральной улицы общегородского значения регулируемого движения ул. Офицерской</t>
  </si>
  <si>
    <t>3.18.</t>
  </si>
  <si>
    <t>Оказание услуг по диагностике и оценке транспортно-эксплуатационного состояния автомобильных дорог общего пользования местного значения городского округа Тольятти</t>
  </si>
  <si>
    <t>3.19.</t>
  </si>
  <si>
    <t>Создание геодезической основы для выноса в натуру и определения границ участка земли для строительства магистральной улицы общегородского значения регулируемого движения ул. Офицерской</t>
  </si>
  <si>
    <t>3.20.</t>
  </si>
  <si>
    <t>3.21.</t>
  </si>
  <si>
    <t>3.22.</t>
  </si>
  <si>
    <t>Оказание услуг по проведению проверки достоверности определения сметной стоимости проектно-изыскательских работ по объекту: "Строительство магистральной улицы общегородского значения регулируемого движения в продолжение ул. Фермерской до Южного шоссе"</t>
  </si>
  <si>
    <t>3.23.</t>
  </si>
  <si>
    <t>3.24.</t>
  </si>
  <si>
    <t>3.25.</t>
  </si>
  <si>
    <t>Проектно- изыскательские работы на строительство подъездной автомобильной дороги (проезда) от внутриквартального проезда к земельному участку с кадастровым номером 63:09:0101159:10329 (Физкультурно-оздоровительный комплекс с универсальным игровым залом (36х18 м) по адресу: Самарская область, г. Тольятти, Автозаводский район, южнее здания №15 по бульвару Кулибина, для МБУДСДЮШОР № 8 «Союз»)</t>
  </si>
  <si>
    <t>3.26.</t>
  </si>
  <si>
    <t>3.27.</t>
  </si>
  <si>
    <t>Проектно- изыскательские работы на строительство улицы Казачья в жилой застройке  микрорайона Жигулевское море от ул. Ивана Красюка  до ул. Бориса Коваленко</t>
  </si>
  <si>
    <t>3.28..</t>
  </si>
  <si>
    <t>Проектно-изыскательские работы на капитальный ремонт магистральной улицы общегородского значения регулируемого движения ул. Калмыцкая от ж/д переезда до ул. Васильевская</t>
  </si>
  <si>
    <t>3.29.</t>
  </si>
  <si>
    <t>Проектно-изыскательские работы на капитальный ремонт магистральной улицы общегородского значения регулируемого движения ул. Васильевская от ул. Калмыцкая до Обводного шоссе</t>
  </si>
  <si>
    <t>3.30.</t>
  </si>
  <si>
    <t>Проектно-изыскательские работы на строительство подъездной дороги к поликлинике на 1000 посещений в смену в 19 квартале г.о. Тольятти</t>
  </si>
  <si>
    <t>3.31.</t>
  </si>
  <si>
    <t>Оказание услуг по техническому учету и паспортизации автомобильных дорог общего пользования местного значения городского округа Тольятти</t>
  </si>
  <si>
    <t>3.32.</t>
  </si>
  <si>
    <t>3.33.</t>
  </si>
  <si>
    <t>Проектно-изыскательские работы на устройство линии наружного освещения вдоль магистральной улицы общегородского значения регулируемого движения ул. Калмыцкая</t>
  </si>
  <si>
    <t>3.34.</t>
  </si>
  <si>
    <t xml:space="preserve">4. Выполнение работ по капитальному ремонту автомобильных дорог общего пользования  местного значения городского округа Тольятти: </t>
  </si>
  <si>
    <t>4.1.</t>
  </si>
  <si>
    <t>Капитальный ремонт Южного шоссе от ул. Заставная до ул. Цеховая с устройством парковочных автостоянок вдоль Южных проходных ОАО "АВТОВАЗ", всего, в т.ч.</t>
  </si>
  <si>
    <t>4.1.1.</t>
  </si>
  <si>
    <t>между КПП 140/2 и КПП 140/3; между КПП 140/3 и КПП 140/4</t>
  </si>
  <si>
    <t>4.1.2.</t>
  </si>
  <si>
    <t xml:space="preserve">между КПП 140/4 и КПП 140/5 </t>
  </si>
  <si>
    <t>4.2.</t>
  </si>
  <si>
    <t>Осуществление строительного контроля на объекте: Капитальный ремонт Южного шоссе от ул. Заставная до ул. Цеховая с устройством парковочных автостоянок вдоль Южных проходных ОАО "АВТОВАЗ"</t>
  </si>
  <si>
    <t>Капитальный ремонт автодороги по ул. Ленинградская (от ул. Родины до ул. Советская, от ул. К. Маркса до ул. Голосова</t>
  </si>
  <si>
    <t>4.2.1.</t>
  </si>
  <si>
    <t>Строительный контроль на объекте: Капитальный ремонт автодороги по ул. Ленинградская (от ул. Родины до ул. Советская, от ул. К. Маркса до ул. Голосова</t>
  </si>
  <si>
    <t>4.3.</t>
  </si>
  <si>
    <t>Капитальный ремонт автодороги по ул. Льва  Яшина от Южного шоссе до улицы 70 лет Октября</t>
  </si>
  <si>
    <t>4.4.</t>
  </si>
  <si>
    <t>Строительный контроль на объекте: Капитальный ремонт автодороги по ул. Льва  Яшина от Южного шоссе до улицы 70 лет Октября</t>
  </si>
  <si>
    <t>4.5.</t>
  </si>
  <si>
    <t>Капитальный ремонт автодороги по ул. Жилина от улицы Мира до улицы Баныкина</t>
  </si>
  <si>
    <t>4.6.</t>
  </si>
  <si>
    <t>Строительный контроль на объекте: Капитальный ремонт автодороги по ул. Жилина от улицы Мира до улицы Баныкина</t>
  </si>
  <si>
    <t>4.7.</t>
  </si>
  <si>
    <t>Капитальный ремонт автодороги по ул. Шлюзовая от улицы Железнодорожная до улицы Никонова</t>
  </si>
  <si>
    <t>4.8.</t>
  </si>
  <si>
    <t>Осуществление строительного контроля на объекте: Капитальный ремонт автодороги по ул. Шлюзовая от улицы Железнодорожная до улицы Никонова</t>
  </si>
  <si>
    <t>4.9.</t>
  </si>
  <si>
    <t>Капитальный ремонт автодороги по ул. Карла Маркса (от ул. Лесная до ул. Ленинградской)</t>
  </si>
  <si>
    <t>4.10.</t>
  </si>
  <si>
    <t>Осуществление строительного контроля на объекте: Капитальный ремонт автодороги по ул. Карла Маркса (от ул. Лесная до ул. Ленинградской)</t>
  </si>
  <si>
    <t>4.11.</t>
  </si>
  <si>
    <t>Капитальный ремонт автодороги по ул. Базовая (от ул. Комсомольская до ул. Ларина)</t>
  </si>
  <si>
    <t>4.12.</t>
  </si>
  <si>
    <t>Осуществление строительного контроля на объекте: Капитальный ремонт автодороги по ул. Базовая (от ул. Комсомольская до ул. Ларина)</t>
  </si>
  <si>
    <t>4.13.</t>
  </si>
  <si>
    <t>Капитальный ремонт автодороги по ул. Октябрьская (от ул. Комсомольская до б-ра 50 лет Октября)</t>
  </si>
  <si>
    <t>4.14.</t>
  </si>
  <si>
    <t>Осуществление строительного контроля на объекте: Капитальный ремонт автодороги по ул. Октябрьская (от ул. Комсомольская до б-ра 50 лет Октября)</t>
  </si>
  <si>
    <t>4.15.</t>
  </si>
  <si>
    <t>Капитальный ремонт автодороги по ул. Радищева (от ул. Октябрьская до ул. Новозаводская)</t>
  </si>
  <si>
    <t>4.16.</t>
  </si>
  <si>
    <t>Осуществление строительного контроля на объекте: Капитальный ремонт автодороги по ул. Радищева (от ул. Октябрьская до ул. Новозаводская)</t>
  </si>
  <si>
    <t>4.17.</t>
  </si>
  <si>
    <t>Капитальный ремонт автодороги по ул. 50 лет Октября (от ул. Новозаводская до Автозаводского шоссе)</t>
  </si>
  <si>
    <t>4.18.</t>
  </si>
  <si>
    <t>Осуществление строительного контроля на объекте: Капитальный ремонт автодороги по ул. 50 лет Октября (от ул. Новозаводская до Автозаводского шоссе)</t>
  </si>
  <si>
    <t>4.19.</t>
  </si>
  <si>
    <t>Капитальный ремонт автомобильной дороги по ул. Ленина</t>
  </si>
  <si>
    <t>4.20.</t>
  </si>
  <si>
    <t>Осуществление строительного контроля на объекте: Капитальный ремонт автомобильной дороги по ул. Ленина</t>
  </si>
  <si>
    <t>4.21.</t>
  </si>
  <si>
    <t>Капитальный ремонт автодороги по ул. Ингельберга (от ул. Никонова до пер. Ученический) городского округа Тольятти, в т.ч. в рамках национального проекта "Безопасные и качественные автомобильные дороги"</t>
  </si>
  <si>
    <t>4.22.</t>
  </si>
  <si>
    <t>Осуществление строительного контроля на объектах: Капитальный ремонт автомобильных дорог городского округа Тольятти</t>
  </si>
  <si>
    <t>4.23.</t>
  </si>
  <si>
    <t>Осуществление строительного контроля на объекте: Капитальный ремонт автодороги по ул. Ингельберга (от ул. Никонова до пер. Ученический) городского округа Тольятти</t>
  </si>
  <si>
    <t>Итого по объектам капитального ремонта по разделу 4:</t>
  </si>
  <si>
    <t>5. Выполнение работ по ремонту автомобильных  дорог общего пользования местного значения городского округа Тольятти:</t>
  </si>
  <si>
    <t>5.1.</t>
  </si>
  <si>
    <t>Бульвар  Приморский (от Московского проспекта до ул. Революционная)</t>
  </si>
  <si>
    <t>5.2.</t>
  </si>
  <si>
    <t>ул. Коммунальная (от ул. Борковской до Обводного шоссе)</t>
  </si>
  <si>
    <t>5.3.</t>
  </si>
  <si>
    <t>проспект Степана Разина (от ул. Дзержинского до  ул. Свердлова, включая кольцевую транспортную  развязку)</t>
  </si>
  <si>
    <t>5.4.</t>
  </si>
  <si>
    <t>проспект Степана Разина в районе пересечения с Ленинским проспектом на участках:  от световой опоры №190 до  световой опоры №186 и от световой опоры № 180 до световой опоры № 176 нечетная сторона</t>
  </si>
  <si>
    <t>5.5.</t>
  </si>
  <si>
    <t>ул. Свердлова (от Московского проспекта до ул. Юбилейная, включая кольцевую транспортную развязку)</t>
  </si>
  <si>
    <t>5.6.</t>
  </si>
  <si>
    <t>ул. Дзержинского (от проспекта Степана Разина до ул. Ворошилова, включая пересечения автодорог)</t>
  </si>
  <si>
    <t>5.7.</t>
  </si>
  <si>
    <t xml:space="preserve"> ул. Юбилейная от ул. Свердлова до  ул. Фрунзе, включая пересечение дорог</t>
  </si>
  <si>
    <t>5.8.</t>
  </si>
  <si>
    <t xml:space="preserve"> ул. Дзержинского от Московского пр-та до ул. Революционной</t>
  </si>
  <si>
    <t>5.9.</t>
  </si>
  <si>
    <t>ул. Заставная (от Южного шоссе до ул. Дзержинского)</t>
  </si>
  <si>
    <t>5.10.</t>
  </si>
  <si>
    <t>автодорога на поселок Приморский на участке от пересечения с Московским проспектом до пересечения ул. Советской поселка Приморский</t>
  </si>
  <si>
    <t>5.11.</t>
  </si>
  <si>
    <t xml:space="preserve"> ул. Спортивная на участке от разворота в районе пересечения с ул. Ст. Разина до здания 51/10 по ул. Жукова нечетная сторона</t>
  </si>
  <si>
    <t>5.12.</t>
  </si>
  <si>
    <t>ул. Комзина от  дома № 29 по ул. Комзина до дома № 21 по ул. Комзина</t>
  </si>
  <si>
    <t>5.13.</t>
  </si>
  <si>
    <t xml:space="preserve"> ул. Новозаводская от Тупикового проезда до Обводного шоссе</t>
  </si>
  <si>
    <t>5.14.</t>
  </si>
  <si>
    <t>ул. Ларина (от ул. Новозаводская до ул. Базовая)</t>
  </si>
  <si>
    <t>5.15.</t>
  </si>
  <si>
    <t>ул. Ломоносова (от ул. Кирова до бульвара 50 лет Октября)</t>
  </si>
  <si>
    <t>5.16.</t>
  </si>
  <si>
    <t>Енисейский проезд (от ул. Мичурина до ул. Кирова)</t>
  </si>
  <si>
    <t>5.17.</t>
  </si>
  <si>
    <t>ул. Советская (от ул. М. Горького до ул. Баныкина)</t>
  </si>
  <si>
    <t>5.18.</t>
  </si>
  <si>
    <t>ул. Родины (от ул. Комсомольской  до ул. Комзина)</t>
  </si>
  <si>
    <t>5.19.</t>
  </si>
  <si>
    <t>ул. Белорусская (от ул. Баныкина до ул. Ленинградская)</t>
  </si>
  <si>
    <t>5.20.</t>
  </si>
  <si>
    <t>площадь Свободы</t>
  </si>
  <si>
    <t>5.21.</t>
  </si>
  <si>
    <t>ул. Республиканская</t>
  </si>
  <si>
    <t>5.22.</t>
  </si>
  <si>
    <t>ул. Никонова (от нефтебазы до ул. Ингельберга)</t>
  </si>
  <si>
    <t>5.23.</t>
  </si>
  <si>
    <t>ул. Макарова (от ул. Железнодорожной до ул. Никонова)</t>
  </si>
  <si>
    <t>5.24.</t>
  </si>
  <si>
    <t>ул. Фадеева</t>
  </si>
  <si>
    <t>5.25.</t>
  </si>
  <si>
    <t>ул. 60 лет СССР (от ул. Полевая до ул. Сиреневая)</t>
  </si>
  <si>
    <t>5.26.</t>
  </si>
  <si>
    <t>ул. Полевая (от ул. 60 лет СССР до ул. Олимпийская)</t>
  </si>
  <si>
    <t>5.27.</t>
  </si>
  <si>
    <t>ул. Весенняя (от ул. Олимпийская до ул. Вавилова)</t>
  </si>
  <si>
    <t>5.28.</t>
  </si>
  <si>
    <t xml:space="preserve">ул. Сиреневая (от 60 лет СССР до ул. Вавилова) </t>
  </si>
  <si>
    <t>5.29.</t>
  </si>
  <si>
    <t>ул. Громовой  (от кольцевой транспортной развязки ул. Матросова до выезда из дублера)</t>
  </si>
  <si>
    <t>5.30.</t>
  </si>
  <si>
    <t>Автодорога по улице Бурлацкой (от переправы до трассы М-5)</t>
  </si>
  <si>
    <t>5.31.</t>
  </si>
  <si>
    <t>Свободные средства</t>
  </si>
  <si>
    <t>5.32.</t>
  </si>
  <si>
    <t>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t>
  </si>
  <si>
    <t>5.33.</t>
  </si>
  <si>
    <t>бульвар Приморский (от проспекта Ст. Разина до ул. Жукова)</t>
  </si>
  <si>
    <t>5.34.</t>
  </si>
  <si>
    <t>ул. Ворошилова (от ул. Дзержинского до ул. Офицерская)</t>
  </si>
  <si>
    <t>5.35.</t>
  </si>
  <si>
    <t>5.36.</t>
  </si>
  <si>
    <t>Кольцевая транспортная развязка по ул. Л. Яшина-70 лет Октября-ул. 40 лет Победы</t>
  </si>
  <si>
    <t>5.37.</t>
  </si>
  <si>
    <t>ул. Шлютова (от ул. Лесной до ул. Новозаводской)</t>
  </si>
  <si>
    <t>5.38.</t>
  </si>
  <si>
    <t>ул. Гагарина (от ул. Победы до ул. К. Маркса)</t>
  </si>
  <si>
    <t>5.39.</t>
  </si>
  <si>
    <t>ул. Комсомольская (от ул. Родины до ул. К. Маркса)</t>
  </si>
  <si>
    <t>5.40.</t>
  </si>
  <si>
    <t>5.41.</t>
  </si>
  <si>
    <t>5.42.</t>
  </si>
  <si>
    <t>Ремонт автомобильных дорог местного значения городского округа Тольятти</t>
  </si>
  <si>
    <t>5.43.</t>
  </si>
  <si>
    <t xml:space="preserve"> ул. Инженерная</t>
  </si>
  <si>
    <t>5.44.</t>
  </si>
  <si>
    <t>Кольцевая транспортная развязка ул. Тополиная - ул. Дзержинского - ул. 40 лет Победы</t>
  </si>
  <si>
    <t>5.45.</t>
  </si>
  <si>
    <t>Южное шоссе (от ул. Полякова до ул. Тополиной)</t>
  </si>
  <si>
    <t>5.46.</t>
  </si>
  <si>
    <t>Южное шоссе (от ул. Тополиной до Автозаводского шоссе)</t>
  </si>
  <si>
    <t>5.47.</t>
  </si>
  <si>
    <t>ул. Юбилейная от ул. Фрунзе до ул. Спортивная, вкл. пересечение с б-ом Приморский</t>
  </si>
  <si>
    <t>5.48.</t>
  </si>
  <si>
    <t>пр-т Степана Разина от проспекта Ленинский до ул. Спортивной, иск. КТР б-р Приморский - пр-т Степана Разина, пр-т Ленинский - пр-т Степана Разина</t>
  </si>
  <si>
    <t>5.49.</t>
  </si>
  <si>
    <t>5.50.</t>
  </si>
  <si>
    <t>ул. 40 лет Победы от Южного шоссе до ул. Дзержинского</t>
  </si>
  <si>
    <t>5.51.</t>
  </si>
  <si>
    <t>б-р 50 лет Октября (от ул. Новозаводская до Автозаводского шоссе)</t>
  </si>
  <si>
    <t>5.52.</t>
  </si>
  <si>
    <t>Хрящевское шоссе от Обводного шоссе до пересечения Южного и Автозаводского шоссе</t>
  </si>
  <si>
    <t>5.53.</t>
  </si>
  <si>
    <t>Хрящевское шоссе от Обводного шоссе до г.о. Тольятти</t>
  </si>
  <si>
    <t>5.54.</t>
  </si>
  <si>
    <t>ул. Диагональная от ул. Баныкина до ул. Кунеевская</t>
  </si>
  <si>
    <t>5.55.</t>
  </si>
  <si>
    <t>Комсомольское шоссе</t>
  </si>
  <si>
    <t>5.56.</t>
  </si>
  <si>
    <t>ул. Александра Кудашевка</t>
  </si>
  <si>
    <t>5.57.</t>
  </si>
  <si>
    <t>Южное шоссе от ул. Заставная до границы г.о. Тольятти</t>
  </si>
  <si>
    <t>5.58.</t>
  </si>
  <si>
    <t>ул. Раздольная</t>
  </si>
  <si>
    <t>5.59.</t>
  </si>
  <si>
    <t>ул. Мурысева</t>
  </si>
  <si>
    <t>5.60.</t>
  </si>
  <si>
    <t xml:space="preserve">проспект Московский </t>
  </si>
  <si>
    <t>5.61.</t>
  </si>
  <si>
    <t>ул. Ленинградская</t>
  </si>
  <si>
    <t>5.62.</t>
  </si>
  <si>
    <t>ул. Ставропольская</t>
  </si>
  <si>
    <t>5.63.</t>
  </si>
  <si>
    <t>ул. Голосова</t>
  </si>
  <si>
    <t>5.64.</t>
  </si>
  <si>
    <t xml:space="preserve">ул. Комсомольская </t>
  </si>
  <si>
    <t>5.65.</t>
  </si>
  <si>
    <t>ул. 70 лет Октября</t>
  </si>
  <si>
    <t>5.66.</t>
  </si>
  <si>
    <t>ул. Чапаева</t>
  </si>
  <si>
    <t>5.67.</t>
  </si>
  <si>
    <t>Ленинский проспект</t>
  </si>
  <si>
    <t>5.68.</t>
  </si>
  <si>
    <t>ул. 40 лет Победы</t>
  </si>
  <si>
    <t>5.69.</t>
  </si>
  <si>
    <t>ул. Патрульная</t>
  </si>
  <si>
    <t>5.70.</t>
  </si>
  <si>
    <t>Фабричный проезд от ул. Коммунальная до Южного шоссе с парковочными площадками возле коллцентра Сбербанка</t>
  </si>
  <si>
    <t>5.71.</t>
  </si>
  <si>
    <t>ул. Борковская от Южного шоссе до ул. Северная</t>
  </si>
  <si>
    <t>5.72.</t>
  </si>
  <si>
    <t>ул. Ботаническая от Южного шоссе до ул. Коммунальная</t>
  </si>
  <si>
    <t>5.73.</t>
  </si>
  <si>
    <t>Автодорога от ул. 40 лет Победы до бульвара Здоровья</t>
  </si>
  <si>
    <t>5.74.</t>
  </si>
  <si>
    <t>ул. Спортивная от ул. Юбилейной до Московского пр-та</t>
  </si>
  <si>
    <t>5.75.</t>
  </si>
  <si>
    <t>ул. Кунеевская от ул. Баныкина до ул. Громовой</t>
  </si>
  <si>
    <t>5.76.</t>
  </si>
  <si>
    <t>ул. Лесная от ул. К. Маркса до бул. 50 лет Октября включая кольцевую транспортную развязку по бул. 50 лет Октября-ул. Лесной</t>
  </si>
  <si>
    <t>5.77.</t>
  </si>
  <si>
    <t>ул. Баныкина от ул. Голосова до ул. Комсомольской</t>
  </si>
  <si>
    <t>5.78.</t>
  </si>
  <si>
    <t>ул. Гидростроевская от ул. Мира до ул. Республиканской</t>
  </si>
  <si>
    <t>5.79.</t>
  </si>
  <si>
    <t>ул. К. Маркса от ул. Лесной до ул. Ленинградской</t>
  </si>
  <si>
    <t>5.80.</t>
  </si>
  <si>
    <t>ул. Мичурина от Автозаводского шоссе до ул. Ленина</t>
  </si>
  <si>
    <t>5.81.</t>
  </si>
  <si>
    <t>ул. Толстого от ул. Александра Кудашева до ул. Ломоносова</t>
  </si>
  <si>
    <t>5.82.</t>
  </si>
  <si>
    <t>ул. Комсомольская от ул. Карла Маркса до ул. Победы</t>
  </si>
  <si>
    <t>5.83.</t>
  </si>
  <si>
    <t>ул.  Громовой от ул. Матросова до ул. Кунеевская</t>
  </si>
  <si>
    <t>5.84.</t>
  </si>
  <si>
    <t>ул. Матросова от ул. Громовой до ул. Комсомольская включая КТР ул. Баныкина-ул. Комсомольская-ул. Матросова</t>
  </si>
  <si>
    <t>5.85.</t>
  </si>
  <si>
    <t>ул. Строителей</t>
  </si>
  <si>
    <t>5.86.</t>
  </si>
  <si>
    <t>ул. Окраинная от ул. Вокзальная до здания Окраинная, д.14</t>
  </si>
  <si>
    <t>5.87.</t>
  </si>
  <si>
    <t>ул. Транспортная от Фабричного пр-да до ул. Полякова</t>
  </si>
  <si>
    <t>5.88.</t>
  </si>
  <si>
    <t>ул. Васильевская от ул. Ларина до КТР ул. Баныкина-ул. Матросова-ул. Комсомольская</t>
  </si>
  <si>
    <t>5.89.</t>
  </si>
  <si>
    <t>Автодорога от Комсомольского шоссе до Яхт-клуба "Дружба"</t>
  </si>
  <si>
    <t>5.90.</t>
  </si>
  <si>
    <t>ул. Радищева от ул. Новозаводская до ул. Октябрьская</t>
  </si>
  <si>
    <t>5.91.</t>
  </si>
  <si>
    <t>ул. Ленинградская от ул. Родины до ул. Советская</t>
  </si>
  <si>
    <t>5.92.</t>
  </si>
  <si>
    <t>ул. Садовая от ул. Чапаева до ул. Пушкина</t>
  </si>
  <si>
    <t>5.93.</t>
  </si>
  <si>
    <t>ул. Тимирязева от дома №45 до дома №119 по ул. Тимирязева</t>
  </si>
  <si>
    <t>5.94.</t>
  </si>
  <si>
    <t>ул. Ушакова от ул. Комсомольская до ул. Мира</t>
  </si>
  <si>
    <t>5.95.</t>
  </si>
  <si>
    <t>ул. Бурлацкая от М-5 до нижних Шлюзов</t>
  </si>
  <si>
    <t>5.96.</t>
  </si>
  <si>
    <t>проезд Федоровские луга от ул. Кооперативная до границы г.о. Тольятти</t>
  </si>
  <si>
    <t>5.97.</t>
  </si>
  <si>
    <t>ул. Раздольная от ТОФЗа до ЭПО "Поволжский"</t>
  </si>
  <si>
    <t>5.98.</t>
  </si>
  <si>
    <t>ул. Кооперативная от дома № 1 до дома № 203 по ул. Кооперативная</t>
  </si>
  <si>
    <t>5.99.</t>
  </si>
  <si>
    <t>ул. Академика Вавилова от ул. Кожевенная до ул. Весенняя</t>
  </si>
  <si>
    <t>5.100.</t>
  </si>
  <si>
    <t>ул. Космодемьянской от ул. Коммунистическая до ул. Лизы Чайкиной</t>
  </si>
  <si>
    <t>5.101.</t>
  </si>
  <si>
    <t>ул. Параллельная от ул. Бориса Коваленко до Обводного шоссе</t>
  </si>
  <si>
    <t>5.102.</t>
  </si>
  <si>
    <t>ул. Кольцова от переулка Ученический до дома №81 по ул. Кольцова</t>
  </si>
  <si>
    <t>5.103.</t>
  </si>
  <si>
    <t>ул. Краснознаменная от ул. Учительской до ул. Грибоедова</t>
  </si>
  <si>
    <t>5.104.</t>
  </si>
  <si>
    <t>пер. Ученический от ул. Ингельберга до дома №15 по ул. Учительской</t>
  </si>
  <si>
    <t>5.105.</t>
  </si>
  <si>
    <t>Ленинский проспект от ул. Юбилейная до ул. 40 лет Победы</t>
  </si>
  <si>
    <t>5.106.</t>
  </si>
  <si>
    <t>бульвар Здоровья от ул. Свердлова до проспекта Ленинский</t>
  </si>
  <si>
    <t>5.107.</t>
  </si>
  <si>
    <t xml:space="preserve">ул. Свердлова от проспекта Степана Разина до ул. 40 лет Победы </t>
  </si>
  <si>
    <t>5.108.</t>
  </si>
  <si>
    <t>ул. Дзержинского (от ул. Ворошилова до ул. 40 лет Победы)</t>
  </si>
  <si>
    <t>5.109.</t>
  </si>
  <si>
    <t>ул. Юбилейная от ул. Свердлова до ул. Дзержинского</t>
  </si>
  <si>
    <t>5.110.</t>
  </si>
  <si>
    <t>ул. Маршала Жукова от ул. Фрунзе до Ленинского проспекта</t>
  </si>
  <si>
    <t>5.111.</t>
  </si>
  <si>
    <t>ул. Ленина от ул. Гагарина до ул. Толстого</t>
  </si>
  <si>
    <t>5.112.</t>
  </si>
  <si>
    <t>ул. Максима Горького от ул. Новозаводская до ул. Лесная</t>
  </si>
  <si>
    <t>5.113.</t>
  </si>
  <si>
    <t>ул. Лесная от ул. Карла Маркса до ул. Комсомольская</t>
  </si>
  <si>
    <t>5.114.</t>
  </si>
  <si>
    <t>ул. Баныкина от ул. Родины до ул. Голосова</t>
  </si>
  <si>
    <t>5.115.</t>
  </si>
  <si>
    <t>Ремонт автомобильных дорог общего пользования местного значения в целях приведения в нормативное состояние территории прилегающей к ул. Революционная в г. Тольятти</t>
  </si>
  <si>
    <t>5.116.</t>
  </si>
  <si>
    <t>автодорога от Приморского бульвара до границы городского округа Тольятти</t>
  </si>
  <si>
    <t>в том числе в рамках национального проекта "Безопасные и качественные автомобильные дороги":</t>
  </si>
  <si>
    <t>5.117.</t>
  </si>
  <si>
    <t xml:space="preserve">ул. Тополиная от Южного шоссе до ул. 70 лет Октября </t>
  </si>
  <si>
    <t>5.118.</t>
  </si>
  <si>
    <t>ул. Ворошилова от кольцевой развязки с ул. Свердлова до Ленинского проспекта</t>
  </si>
  <si>
    <t>5.119.</t>
  </si>
  <si>
    <t>Автодорога от ул.Фермерская до границы городского округа Тольятти</t>
  </si>
  <si>
    <t>5.120.</t>
  </si>
  <si>
    <t>5.121.</t>
  </si>
  <si>
    <t>Проезд Служебный от ул. Коммунальная до ул. Вокзальная</t>
  </si>
  <si>
    <t>5.122.</t>
  </si>
  <si>
    <t>5.123.</t>
  </si>
  <si>
    <t>ул. Ленинградская от ул. К. Маркса до ул. Голосова</t>
  </si>
  <si>
    <t>5.124.</t>
  </si>
  <si>
    <t>5.125.</t>
  </si>
  <si>
    <t>5.126.</t>
  </si>
  <si>
    <t>Автозаводское шоссе от бульвара 50 лет Октября до Южного шоссе</t>
  </si>
  <si>
    <t>5.127.</t>
  </si>
  <si>
    <t>Проезд от ул. Садовая до ул. Жилина</t>
  </si>
  <si>
    <t>5.128.</t>
  </si>
  <si>
    <t>Проезд западнее Центральной площади, рядом со зданием Думы</t>
  </si>
  <si>
    <t>5.129.</t>
  </si>
  <si>
    <t>ул. Есенина от ул. Чайкиной до ул. Коммунистическая</t>
  </si>
  <si>
    <t>5.130.</t>
  </si>
  <si>
    <t>ул. Чайкиной от ул. Есенина до ул. Ярославская</t>
  </si>
  <si>
    <t>5.131.</t>
  </si>
  <si>
    <t>5.132.</t>
  </si>
  <si>
    <t>Устройство линии наружного электроосвещения по ул. Борковская (от ул. Вокзальная до строения №13 по ул. Северная)</t>
  </si>
  <si>
    <t>5.133.</t>
  </si>
  <si>
    <t>Устройство линии наружного электроосвещения по ул.Революционная (на участке от ул. Спортивная до Приморского бульвара)</t>
  </si>
  <si>
    <t>5.134.</t>
  </si>
  <si>
    <t>5.135.</t>
  </si>
  <si>
    <t>Устройство линий наружного электроосвещения по ул. Новопромышленная (на участке от ул. Комсомольская до ул. Шлютова)</t>
  </si>
  <si>
    <t>5.136.</t>
  </si>
  <si>
    <t>5.137.</t>
  </si>
  <si>
    <t>5.138.</t>
  </si>
  <si>
    <t>5.139.</t>
  </si>
  <si>
    <t>5.140.</t>
  </si>
  <si>
    <t>5.141.</t>
  </si>
  <si>
    <t>5.142.</t>
  </si>
  <si>
    <t>5.143.</t>
  </si>
  <si>
    <t>5.144.</t>
  </si>
  <si>
    <t>5.145.</t>
  </si>
  <si>
    <t>5.146.</t>
  </si>
  <si>
    <t>5.147.</t>
  </si>
  <si>
    <t>5.148.</t>
  </si>
  <si>
    <t>5.149.</t>
  </si>
  <si>
    <t>5.150.</t>
  </si>
  <si>
    <t>Устройство дорожных искусственных неровностей по ул. Кооперативная в районе домов №81, 27-А стр.2</t>
  </si>
  <si>
    <t>5.151.</t>
  </si>
  <si>
    <t>5.152.</t>
  </si>
  <si>
    <t>5.153.</t>
  </si>
  <si>
    <t>5.154.</t>
  </si>
  <si>
    <t>5.155.</t>
  </si>
  <si>
    <t>Устройство светофорных объектов по б-ру 50 лет Октября, д.28</t>
  </si>
  <si>
    <t>5.156.</t>
  </si>
  <si>
    <t>Устройство светофорных объектов по пр-ту Ленинский, д.17</t>
  </si>
  <si>
    <t>5.157.</t>
  </si>
  <si>
    <t>Устройство светофорных объектов по ул. Громовой, д.31</t>
  </si>
  <si>
    <t>5.158.</t>
  </si>
  <si>
    <t>Устройство светофорных объектов по ул. Заставная в районе д.30</t>
  </si>
  <si>
    <t>5.159.</t>
  </si>
  <si>
    <t>Устройство светофорных объектов по ул. Комсомольская, д.88</t>
  </si>
  <si>
    <t>5.160.</t>
  </si>
  <si>
    <t>5.161.</t>
  </si>
  <si>
    <t>Устройство светофорных объектов по ул. Спортивная, д.22</t>
  </si>
  <si>
    <t>5.162.</t>
  </si>
  <si>
    <t>5.163.</t>
  </si>
  <si>
    <t>Устройство светофорных объектов по ул. Комсомольская, д.94</t>
  </si>
  <si>
    <t>5.164.</t>
  </si>
  <si>
    <t>Устройство светофорных объектов по пр-ту Степана Разина, д. 25.</t>
  </si>
  <si>
    <t>5.165.</t>
  </si>
  <si>
    <t>Устройство светофорных объектов по ул. Кудашева, д.106</t>
  </si>
  <si>
    <t>5.166.</t>
  </si>
  <si>
    <t>Устройство светофорных объектов по ул. Дзержинского, д.29.</t>
  </si>
  <si>
    <t>5.167.</t>
  </si>
  <si>
    <t>Устройство светофорных объектов по ул. Дзержинского, д. 16-а.</t>
  </si>
  <si>
    <t>5.168.</t>
  </si>
  <si>
    <t>5.169.</t>
  </si>
  <si>
    <t>5.170.</t>
  </si>
  <si>
    <t>5.171.</t>
  </si>
  <si>
    <t>5.172.</t>
  </si>
  <si>
    <t>5.173.</t>
  </si>
  <si>
    <t>5.174.</t>
  </si>
  <si>
    <t>5.175.</t>
  </si>
  <si>
    <t>5.176.</t>
  </si>
  <si>
    <t>5.177.</t>
  </si>
  <si>
    <t>5.178.</t>
  </si>
  <si>
    <t>5.179.</t>
  </si>
  <si>
    <t>5.180.</t>
  </si>
  <si>
    <t>Устройство дорожных знаков по ул. 70 лет Октября, д.3</t>
  </si>
  <si>
    <t>5.181.</t>
  </si>
  <si>
    <t>Устройство дорожных знаков по ул. Механизаторов, д.11</t>
  </si>
  <si>
    <t>5.182.</t>
  </si>
  <si>
    <t>5.183.</t>
  </si>
  <si>
    <t>Устройство дорожных знаков по ул. Юбилейная, д.12</t>
  </si>
  <si>
    <t>5.184.</t>
  </si>
  <si>
    <t>Устройство дорожных знаков по ул. Юбилейная, д.85</t>
  </si>
  <si>
    <t>5.185.</t>
  </si>
  <si>
    <t>Устройство дорожных знаков по ул. Свердлова, д.84</t>
  </si>
  <si>
    <t>5.186.</t>
  </si>
  <si>
    <t>Устройство дорожных знаков по ул. Революционная, д. 72В</t>
  </si>
  <si>
    <t>5.187.</t>
  </si>
  <si>
    <t>5.188.</t>
  </si>
  <si>
    <t>Устройство дорожных знаков по ул. Громовой, д.54</t>
  </si>
  <si>
    <t>5.189.</t>
  </si>
  <si>
    <t>5.190.</t>
  </si>
  <si>
    <t>Устройство дорожных знаков по ул. Ворошилова, д.18</t>
  </si>
  <si>
    <t>5.191.</t>
  </si>
  <si>
    <t>Устройство дорожных знаков по пр. Московский, д.20</t>
  </si>
  <si>
    <t>5.192.</t>
  </si>
  <si>
    <t>5.193.</t>
  </si>
  <si>
    <t>5.194.</t>
  </si>
  <si>
    <t>Устройство дорожных знаков по ул. Дзержинского, пересечение с ул. Ботанической</t>
  </si>
  <si>
    <t>5.195.</t>
  </si>
  <si>
    <t>Устройство пешеходных ограждений по ул. Дзержинского, № 17-А</t>
  </si>
  <si>
    <t>5.196.</t>
  </si>
  <si>
    <t>Устройство пешеходных ограждений по ул. Голосова, д.16</t>
  </si>
  <si>
    <t>5.197.</t>
  </si>
  <si>
    <t>5.198.</t>
  </si>
  <si>
    <t>5.199.</t>
  </si>
  <si>
    <t>Устройство пешеходных ограждений по ул. Мира, № 56</t>
  </si>
  <si>
    <t>5.200.</t>
  </si>
  <si>
    <t>5.201.</t>
  </si>
  <si>
    <t>Устройство пешеходных ограждений по ул. 40 лет Победы ООТ "Медгородок"</t>
  </si>
  <si>
    <t>5.202.</t>
  </si>
  <si>
    <t>5.203.</t>
  </si>
  <si>
    <t>Устройство пешеходных ограждений по ул. Жукова, д.31</t>
  </si>
  <si>
    <t>5.204.</t>
  </si>
  <si>
    <t>Устройство пешеходных ограждений по пр-ту Степана Разина, д.99</t>
  </si>
  <si>
    <t>5.205.</t>
  </si>
  <si>
    <t>5.206.</t>
  </si>
  <si>
    <t>5.207.</t>
  </si>
  <si>
    <t>Модернизация светофорных объектов по ул. Юбилейная, д.6</t>
  </si>
  <si>
    <t>5.208.</t>
  </si>
  <si>
    <t>5.209.</t>
  </si>
  <si>
    <t>5.210.</t>
  </si>
  <si>
    <t>5.212.</t>
  </si>
  <si>
    <t>5.213.</t>
  </si>
  <si>
    <t>Автодорога по ул. Автостроителей от Южного шоссе до ул. Свердлова</t>
  </si>
  <si>
    <t>5.214.</t>
  </si>
  <si>
    <t>Автодорога по улице 70 лет Октября между улицей Автостроителей и улицей Ворошилова</t>
  </si>
  <si>
    <t>5.215.</t>
  </si>
  <si>
    <t>Автодорога по улице Дзержинского между улицей Революционной и бульваром Кулибина</t>
  </si>
  <si>
    <t>5.216.</t>
  </si>
  <si>
    <t xml:space="preserve">Автодорога по улице Фрунзе между улицей Маршала Жукова и улицей Юбилейной </t>
  </si>
  <si>
    <t>5.217.</t>
  </si>
  <si>
    <t>Автодорога по улице Самарской от улицы Суворова до бульвара 50 лет Октября</t>
  </si>
  <si>
    <t>5.218.</t>
  </si>
  <si>
    <t>Автодорога по улице Украинской от бульвара 50 лет Октября до улицы Чапаева</t>
  </si>
  <si>
    <t>5.219.</t>
  </si>
  <si>
    <t>Автодорога по улице Чуковского от улицы Жилина до улицы Карла Маркса</t>
  </si>
  <si>
    <t>5.220.</t>
  </si>
  <si>
    <t>Автодорога по улице Победы между улицей Мира и бульваром 50 лет Октября</t>
  </si>
  <si>
    <t>5.221.</t>
  </si>
  <si>
    <t>Автодорога по бульвару Ленина между улицей Ленинградской и улицей Баныкина</t>
  </si>
  <si>
    <t>5.222.</t>
  </si>
  <si>
    <t>Автодорога по улице Гидротехническая от улицы Куйбышева до улицы Шлюзовой</t>
  </si>
  <si>
    <t>5.223.</t>
  </si>
  <si>
    <t>Автодорога по улице Полевая от улицы Олимпийской до улицы Вавилова</t>
  </si>
  <si>
    <t>5.224.</t>
  </si>
  <si>
    <t>Автомобильная дорога по ул. Саратовская от ул. Победы до пр. Новогородский</t>
  </si>
  <si>
    <t>5.225.</t>
  </si>
  <si>
    <t>Автодорога по ул. Механизаторов от ул. Коммунистической до ул. Лизы Чайкиной</t>
  </si>
  <si>
    <t>Автодорога по ул. Ингельберга от пер. Ученический до д.189 по ул. Ингельберга</t>
  </si>
  <si>
    <t>Автодорога по ул. Ново-Садовая от ул. 60 лет СССР до ул. Вавилова</t>
  </si>
  <si>
    <t>Ремонт магистральной улицы общегородского значения регулируемого движения ул. Калмыцкая до ул. Новозаводская до ж/д переезда</t>
  </si>
  <si>
    <t xml:space="preserve"> Осуществление технологического присоединения к электрическим сетям светофорных объектов</t>
  </si>
  <si>
    <t>Устройство островков безопасности в районе пересечения ул. Комсомольская и ул. Новозаводская</t>
  </si>
  <si>
    <t>Устройство островков безопасности по б-ру 50 лет Октября в районе д.10</t>
  </si>
  <si>
    <t>Ликвидация примыканий по ул. Дзержинского в районе домов № 53, 53а, 76</t>
  </si>
  <si>
    <t>Ликвидация примыкания по Приморскому бульвару в районе дома №29А</t>
  </si>
  <si>
    <t>Устройство островков безопасности по пр-ту Степана Разина на пересечении с ул.Фрунзе</t>
  </si>
  <si>
    <t>Устройство островков безопасности по ул.Юбилейная на пересечении с проспектом Ленинским</t>
  </si>
  <si>
    <t>Устройство светофорного объекта на ул. Гидротехническая в районе дома №5</t>
  </si>
  <si>
    <t>Установка П-образных опор и дорожных знаков на пересечении ул.Борковская-ул.Коммунальная</t>
  </si>
  <si>
    <t>Устройство светофорного объекта на ул. 40лет Победы – пересечение с ул. Жукова, ул. Ворошилова, Ленинским проспектом (кольцевая развязка)</t>
  </si>
  <si>
    <t>Установка по оси проезжей части делиниаторов на Автозаводском шоссе от Южного шоссе до ул.Мичурина</t>
  </si>
  <si>
    <t>Устройство ИДН по дублеру вдоль пр-та Ленинский от ул.40 лет Победы до Московского пр-та</t>
  </si>
  <si>
    <t>Установка над проезжей частью дублирующих дорожных знаков на ул.Маршала Жукова д.№39, ООТ "Профилакторий Прилесье"</t>
  </si>
  <si>
    <t>Устройство ИДН, на внутриквартальном проезде вдоль ул.40 лет Победы (от Южного шоссе до Тополиная)</t>
  </si>
  <si>
    <t>Устройство ИДН по дублеру Южного шоссе от ул.Автостроителей до ул.Тополиная</t>
  </si>
  <si>
    <t>Устройство островков безопасности по пр-ту Степана Разина на пересечении с Ленинским проспектом</t>
  </si>
  <si>
    <t>Устройство островка безопасности на пересечении ул. Карла Маркса и ул. Максима Горького</t>
  </si>
  <si>
    <t>Установка над проезжей частью дублирующих знаков на ул.Заставная д.№1, ООТ "Учебный центр"</t>
  </si>
  <si>
    <t>Установка над проезжей частью дублирующих знаков по Южному шоссе, ООТ "Жигулевская долина"</t>
  </si>
  <si>
    <t>Установка над проезжей частью дублирующих знаков  на Молодежном бульваре д.№1</t>
  </si>
  <si>
    <t>Установка над проезжей частью дублирующих знаков на Молодежном бульваре д.№39</t>
  </si>
  <si>
    <t>Установка над проезжей частью дублирующих дорожных знаков на ул.Жилина в районе дома № 24 (пересечение с ул.Мира)</t>
  </si>
  <si>
    <t>Установка дорожных знаков и делиниаторов на ул. Новозаводская в районе д.6</t>
  </si>
  <si>
    <t>Перенос транспортного светофора, установка дорожных знаков на ул.Матросова в районе домов № 53, 130</t>
  </si>
  <si>
    <t>Установка дорожных знаков на ул.К.Маркса - пересечение с ул.Чапаева</t>
  </si>
  <si>
    <t>Установка светофорного объекта на ул.Коммунальная - пересечение с Фабричным проездом</t>
  </si>
  <si>
    <t>Установка дополнительных секций светофорного объекта на ул.Ленинградская - пересечение с ул.Жилина</t>
  </si>
  <si>
    <t>Установка дорожных знаков на ул. Дзержинского,31</t>
  </si>
  <si>
    <t>Установка П-образных опор и дорожных знаков на Южном шоссе, в районе д.№5</t>
  </si>
  <si>
    <t>Установка дорожных знаков на ул.Комсомольская - пересечение с ул.Лесная и ул.Ушакова</t>
  </si>
  <si>
    <t>Реконструкция светофорного объекта по ул.Громовой, д.№49, ООТ "УТЭП"</t>
  </si>
  <si>
    <t>Выполнение работ по нанесению горизонтальной дорожной разметки термопластиком на ул. Матросова, в р-не домов №10 и №11 "Б"</t>
  </si>
  <si>
    <t>Ремонт пешеходных дорожек по Приморскому бульвару от ул.Революционная до ул.Юбилейная</t>
  </si>
  <si>
    <t>Ремонт пешеходных дорожек по ул.Фрунзе от ул.Революционная до ул.Юбилейная</t>
  </si>
  <si>
    <t>5.265.</t>
  </si>
  <si>
    <t>Итого по объектам ремонта дорог по разделу 5:</t>
  </si>
  <si>
    <t>6. Ремонт дворовых территорий многоквартирных домов, проездов к дворовым территориям многоквартирных домов, внутриквартальных территорий, мест общего пользования  городского округа Тольятти и других объектов:</t>
  </si>
  <si>
    <t>6.1.</t>
  </si>
  <si>
    <t>Автозаводский район</t>
  </si>
  <si>
    <t>6.2.</t>
  </si>
  <si>
    <t>Центральный район</t>
  </si>
  <si>
    <t>6.3.</t>
  </si>
  <si>
    <t>Комсомольский район</t>
  </si>
  <si>
    <t>Ремонт дворовых территорий многоквартирных домов и проездов к дворовым территориям многоквартирных домов городского округа Тольятти</t>
  </si>
  <si>
    <t>Ремонт дворовых территорий многоквартирных домов и проездов к дворовым территориям многоквартирных домов</t>
  </si>
  <si>
    <t>6.4.</t>
  </si>
  <si>
    <t>6.5.</t>
  </si>
  <si>
    <t>6.6.</t>
  </si>
  <si>
    <t xml:space="preserve">Оказание услуг по подготовке экспертных заключений по результатам проведения лабораторных испытаний асфальтобетонных покрытий на объектах  ремонта дворовых территорий многоквартирных домов и проездов к дворовым территориям многоквартирных домов </t>
  </si>
  <si>
    <t>6.7.</t>
  </si>
  <si>
    <t>Примечание: *** - L - протяженность автодороги по объектам строительства (реконструкции) в км; S - площадь автодороги по объектам капитального ремонта (ремонта) в тыс.м2</t>
  </si>
  <si>
    <t>город</t>
  </si>
  <si>
    <t>область</t>
  </si>
  <si>
    <t xml:space="preserve">федеральный </t>
  </si>
  <si>
    <t>Приложение  1                                                                                                                                                                                                                                                                                                                                                                                к муниципальной программе "Развитие транспортной системы и дорожного хозяйства городского округа Тольятти на 2014-2020 гг."</t>
  </si>
  <si>
    <t>Проведение акций "Внимание дети!", "Внимание пешеход!" "Вежливый водитель", "Зебра"; привлечение информационных и рекламных агентств к проведению профилактических акций, направленных на укрепление дисциплины участников дорожного движения.</t>
  </si>
  <si>
    <t>Департамент дорожного хозяйства, транспорта  администрации городского округа Тольятти</t>
  </si>
  <si>
    <t>Приобретение мебели, компьютерной техники, оргтехники, носителей информации.</t>
  </si>
  <si>
    <t>Задача 4 муниципальной программы: Увеличение протяженности, пропускной способности и приведение в нормативное состояние автомобильных дорог общего пользования местного значения городского округа Тольятти</t>
  </si>
  <si>
    <t>Цель подпрограммы: Увеличение протяженности, пропускной способности и приведение в нормативное состояние автомобильных дорог общего пользования местного значения городского округа Тольятти</t>
  </si>
  <si>
    <t xml:space="preserve">Диагностика надземных пешеходных переходов (мостов, путепроводов): в 2019г. -пешеходный переход Автозаводское шоссе (пешеходный путепровод через Автозаводское шоссе в р-не ООТ «Детская многопрофильная больница», - мост Трасса М-5 Москва-Челябинск (пешеходный путепровод через трассу М-5  в районе ООТ «Жигулевское море»)
</t>
  </si>
  <si>
    <t>Количество проведенных мероприятий по профилактике ДТП и обучению детей безопасности поведения на дорогах</t>
  </si>
  <si>
    <t>Проведение акций "Внимание дети!", "Внимание пешеход!", "Вежливый водитель" , "Зебра"; привлечение информационных и рекламных агентств к проведению профилактических акций, направленных на укрепление дисциплины участников дорожного движения</t>
  </si>
  <si>
    <t>Количество проведенных мероприятий, направленных на укрепление дисциплины участников дорожного движения</t>
  </si>
  <si>
    <t>Создание видео телевизионной информационно– пропагандистской продукции по безопасности дорожного движения</t>
  </si>
  <si>
    <t xml:space="preserve">Реконструкция пересечений  автомобильных дорог </t>
  </si>
  <si>
    <t>Количество документации по составлению топографического плана с составлением пересчетной ведомости деревьев для определения компенсационной стоимости сноса зеленых насаждений при разработке проектной документации по строительству магистральной улицы районного значения</t>
  </si>
  <si>
    <t xml:space="preserve">Реконструкция кольцевой транспортной развязки на пересечении автомобильных дорог по ул. 40 лет Победы, ул. Автостроителей и ул. Свердлова                    </t>
  </si>
  <si>
    <t>Проектирование капитального ремонта автодороги по ул. Ленинградская от автодороги по ул. Родины до автодороги по ул. Советская и от автодороги по ул. К. Маркса до автодороги по ул. Голосова, включая пересечения автодорог, в т.ч. государственная экспертиза проектирования капитального ремонта автодороги</t>
  </si>
  <si>
    <t xml:space="preserve">осуществление регулярных перевозок пассажиров и багажа по регулируемым тарифам автомобильным и городским наземным электрическим транспортом </t>
  </si>
  <si>
    <t xml:space="preserve">                             к  постановлению администрации городского округа Тольятти                              "_____" _______________2020г. № _______________</t>
  </si>
  <si>
    <t>было</t>
  </si>
  <si>
    <t>откл</t>
  </si>
  <si>
    <r>
      <t xml:space="preserve">Устройство светофорных объектов для  приведения объектов г.о.Тольятти в соответствие с нормативными требованиями, в т.ч. </t>
    </r>
    <r>
      <rPr>
        <b/>
        <u/>
        <sz val="12"/>
        <color indexed="8"/>
        <rFont val="Times New Roman"/>
        <family val="1"/>
        <charset val="204"/>
      </rPr>
      <t/>
    </r>
  </si>
  <si>
    <t xml:space="preserve">Устройство светофорных объектов для  приведения объектов городского округа Тольятти в соответствие с ГОСТ Р 52289-2019                                                                                                                                                       
                                                                                                                                                           </t>
  </si>
  <si>
    <t>2020 (оплата ранее принятых обязательств)</t>
  </si>
  <si>
    <t>2019, 2020 (оплата ранее принятых обязательств)</t>
  </si>
  <si>
    <t>2018 (оплата ранее принятых обязательств)</t>
  </si>
  <si>
    <t>ИТОГО ПО ПОДПРОГРАММЕ "МРАД"                                                          без учета оплаты ранее принятых обязательств</t>
  </si>
  <si>
    <t>оплата ранее принятых обязательств</t>
  </si>
  <si>
    <t>ИТОГО ПО ПОДПРОГРАММЕ "МРАД"                                                     с учетом оплаты ранее принятых обязательств</t>
  </si>
  <si>
    <t>2016        (оплата ранее принятых обязательств)</t>
  </si>
  <si>
    <t>ИТОГО ПО ПОДПРОГРАММЕ "ПБДД"                                                   с учетом оплаты ранее принятых обязательств</t>
  </si>
  <si>
    <t>ИТОГО ПО ПОДПРОГРАММЕ "ПБДД"                                                 без учета оплаты ранее принятых обязательств</t>
  </si>
  <si>
    <t>ВСЕГО  ПО МУНИЦИПАЛЬНОЙ ПРОГРАММЕ без учета оплаты ранее принятых обязательств</t>
  </si>
  <si>
    <t>ВСЕГО  ПО МУНИЦИПАЛЬНОЙ ПРОГРАММЕ с учетом оплаты ранее принятых обязательств</t>
  </si>
  <si>
    <t>2020        (оплата ранее принятых обязательств)</t>
  </si>
  <si>
    <t>Устройство искусственных дорожных неровностей, в т.ч. экспертиза выполненных работ</t>
  </si>
  <si>
    <t>Содержание МКУ "ЦОДД ГОТ"</t>
  </si>
  <si>
    <t>Проектирование капремонта (ремонта) надземных и подземных пешеходных переходов</t>
  </si>
  <si>
    <t>Создание видео- и телевизионной информационно-пропагандистской продукции по безопасности дорожного движения</t>
  </si>
  <si>
    <t>ИТОГО ПО ПОДПРОГРАММЕ "СУДС" без учета оплаты ранее принятых обязательств</t>
  </si>
  <si>
    <t>ИТОГО ПО ПОДПРОГРАММЕ "СУДС"                                                     с учетом оплаты ранее принятых обязательств</t>
  </si>
  <si>
    <t>Предоставление субсидии исполнителям, оказывающим услуги по перевозке пассажиров и багажа транспортом общего пользования и финансируемым за счёт средств бюджета городского округа Тольятти,</t>
  </si>
  <si>
    <t xml:space="preserve">Предоставление субсидии исполнителям, оказывающим услуги по перевозке пассажиров транспортом общего пользования и финансируемым за счёт средств бюджета городского округа Тольятти, </t>
  </si>
  <si>
    <t>Строительство магистральной улицы общегородского значения регулируемого движения ул. Офицерской, входящей в состав Самарско-Тольяттинской агломерации</t>
  </si>
  <si>
    <t>1.20.9</t>
  </si>
  <si>
    <t>Технологическое присоединение энергопринимающих устройств к сетям на объекте: "Строительство магистральной ушицы общегородского значения регулируемого движения ул. Офицерской"</t>
  </si>
  <si>
    <t>1.20.10</t>
  </si>
  <si>
    <t>Технологическое присоединение энергопринимающих устройств к сетям на объекте: "Строительство магистральной ушицы общегородского значения регулируемого движения ул. Офицерской от ул. Полякова до Южного шоссе в Автозаводском районе""</t>
  </si>
  <si>
    <t>1.20.11</t>
  </si>
  <si>
    <t>Выполнение проектно-изыскательских работ по объекту: «Строительство магистральной улицы общегородского значения регулируемого движения в продолжение ул. Фермерской до Южного шоссе»</t>
  </si>
  <si>
    <t>3.35.</t>
  </si>
  <si>
    <t>Нераспределенный остаток</t>
  </si>
  <si>
    <t>автодорога по ул. Тюленина от ул. Коммунистической до ул. Мурысева</t>
  </si>
  <si>
    <t>5.211.</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</si>
  <si>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</si>
  <si>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</si>
  <si>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</si>
  <si>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</si>
  <si>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</si>
  <si>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</si>
  <si>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</si>
  <si>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</si>
  <si>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</si>
  <si>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</si>
  <si>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</si>
  <si>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</si>
  <si>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</si>
  <si>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</si>
  <si>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</si>
  <si>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</si>
  <si>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</si>
  <si>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</si>
  <si>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</si>
  <si>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</si>
  <si>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</si>
  <si>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</si>
  <si>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</si>
  <si>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Устройство ИДН на внутриквартальном проезде ул.Железнодорожная от пр. Дорофеева до ул.Шлюзовая</t>
  </si>
  <si>
    <t>5.249.</t>
  </si>
  <si>
    <t>5.250.</t>
  </si>
  <si>
    <t>5.251.</t>
  </si>
  <si>
    <t>5.252.</t>
  </si>
  <si>
    <t>5.253.</t>
  </si>
  <si>
    <t>5.254.</t>
  </si>
  <si>
    <t>5.255.</t>
  </si>
  <si>
    <t>5.256.</t>
  </si>
  <si>
    <t>5.257.</t>
  </si>
  <si>
    <t>5.258.</t>
  </si>
  <si>
    <t>5.259.</t>
  </si>
  <si>
    <t>5.260.</t>
  </si>
  <si>
    <t>5.261.</t>
  </si>
  <si>
    <t>5.262.</t>
  </si>
  <si>
    <t>5.263.</t>
  </si>
  <si>
    <t>5.264.</t>
  </si>
  <si>
    <t>5.266.</t>
  </si>
  <si>
    <t>5.267.</t>
  </si>
  <si>
    <t>5.268.</t>
  </si>
  <si>
    <t>Устройство искусственных дорожных неровностей по дублеру ул. Спортивная от Лесопаркового шоссе до Физкультурного проезда</t>
  </si>
  <si>
    <t>5.269.</t>
  </si>
  <si>
    <t>5.270.</t>
  </si>
  <si>
    <t>Автодорога по улице Тюленина от улицы Коммунистической до улицы Мурысева</t>
  </si>
  <si>
    <t>было 2020 г.</t>
  </si>
  <si>
    <t>ИТОГО по подпрограмме  "ПБДД" без учета оплаты ранее принятых обязательств</t>
  </si>
  <si>
    <t>ИТОГО ПО ПОДПРОГРАММЕ "ПБДД"                                                                     с учетом оплаты ранее принятых обязательств</t>
  </si>
  <si>
    <r>
      <rPr>
        <b/>
        <u/>
        <sz val="12"/>
        <rFont val="Times New Roman"/>
        <family val="1"/>
        <charset val="204"/>
      </rPr>
      <t>В 2019 г.</t>
    </r>
    <r>
      <rPr>
        <sz val="12"/>
        <rFont val="Times New Roman"/>
        <family val="1"/>
        <charset val="204"/>
      </rPr>
      <t xml:space="preserve">: - проезд от Ст. Разина до ул. Ворошилова (9 кв.) д/с № 22 "Лучик"; Ленинский пр-т, 42, 35, МБУ Школа №40, и МБОУ Элегия; ул. Юбилейная, 81, МБУ Школа № 73; Цветной б-р, 13, МБУ Школа № 82; ул. Дзержинского, 1, 40 лет Победы, 74, МБУ Д/С № 200 "Волшебный башмачок", Д/С № 193 "Земляничка", СОШ № 70, Д/С № 187 "Солнышко"; ул. Чуковского, 3, МБУ д/с № 20 "Снежок"; ул. Баныкина, 38, МБУ ДМО "Шанс"; ул. Чапаева, 35а, МБУ д/с №27 "Лесовичок"; ул. Телеграфная, 4, МБОУ ДО "Гранит".                                                                                                                                                 </t>
    </r>
    <r>
      <rPr>
        <b/>
        <sz val="12"/>
        <rFont val="Times New Roman"/>
        <family val="1"/>
        <charset val="204"/>
      </rPr>
      <t xml:space="preserve"> </t>
    </r>
    <r>
      <rPr>
        <b/>
        <u/>
        <sz val="12"/>
        <rFont val="Times New Roman"/>
        <family val="1"/>
        <charset val="204"/>
      </rPr>
      <t xml:space="preserve">В 2020г.: </t>
    </r>
    <r>
      <rPr>
        <sz val="12"/>
        <rFont val="Times New Roman"/>
        <family val="1"/>
        <charset val="204"/>
      </rPr>
      <t>- ул.Плотинная в р-не гимназии № 39(ул.Громовой,38); по б-ру Кулибина, в районе д.4, д.8, МБУ Школа №45, Гимназия №38,внутриквартальный проезд вдоль дома №26 и 30а по ул.Баныкина,внутриквартальный проезд в районе дома №47 по ул.Ярославская (д/с №69"Веточка"),по б-ру Баумана в районе дома №10 (д/с№79 "Гусельки"д/с №81 "Медвежёнок"),в районе дома №7 по ул.Строителей (Тольяттинский медицинский колледж),на внутриквартальной территории в районе дома №76 по ул.Автостроителей (д/с №182 "Золотой ключик"),ул.Патрульная в районе д.31,д17,д.9,д.5 по ул.Жукова,на внутриквартальном проезде в районе дома №74 по ул.Революционной (Православная классическая гимназия),б-р Будённого,9,12,б-р будённого,1,4, по бульвавру Гая в районе д.17 по ул.Дзержинского (ТРК"Капитал"),на внутриквартальном проезде в районе дома №19,25 по ул.Гидротехнической (д/с №16 "Машенька").</t>
    </r>
  </si>
  <si>
    <t>Строительство автомобильных дорог общего пользования местного значения городского округа Тольятти</t>
  </si>
  <si>
    <t>Оплата ранее принятых обязательств:</t>
  </si>
  <si>
    <t>Ремонт автомобильных дорог общего пользования местного значения городского округа Тольятти, в т.ч. экспертиза выполненных работ:</t>
  </si>
  <si>
    <t>Оплата  ранее принятых обязательств</t>
  </si>
  <si>
    <t>Итого по  объектам проектирования строительства, реконструкции, капитального ремонта и ремонта по разделу 3 без учета ранее принятых обязательств</t>
  </si>
  <si>
    <t>Итого по объектам ремонта дворовых территорий по разделу 6 без учета ранее принятых обязательств:</t>
  </si>
  <si>
    <t>ИТОГО ПО ПОДПРОГРАММЕ МРАД без учета ранее принятых обязательств</t>
  </si>
  <si>
    <t xml:space="preserve">Строительство магистральной улицы общегородского значения регулируемого движения 40 лет Победы от Южного шоссе до ул. Дзержинского                                                        </t>
  </si>
  <si>
    <t xml:space="preserve">Осуществление строительного  контроля на объекте: Строительство магистральной улицы общегородского значения регулируемого движения 40 лет Победы от Южного шоссе до ул. Дзержинского                                                        </t>
  </si>
  <si>
    <t>Разработка проектно-сметной документации, в т.ч. прохождение государтсвенной экспертизы</t>
  </si>
  <si>
    <t>Строительство ул. Новопромышленной от ул. Шлютова до ул.Ларина,   площадью- 4,3 га</t>
  </si>
  <si>
    <t>Корректировка проектно-сметной документации, в т.ч. прохождение государтсвенной экспертизы</t>
  </si>
  <si>
    <t>3 этап - строительство улицы Н-43 от улицы Свердлова до бульвара Приморский, 1 очередь - от ул. Фрунзе до бульвара Приморский</t>
  </si>
  <si>
    <t>4 этап - строительство улицы  H-7а от улицы Свердлова до улицы Фрунзе 1 очередь -  от Н-8 до ул. Фрунзе</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</si>
  <si>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8,2 га)</t>
  </si>
  <si>
    <t>Проведение государственной экспертизы проектной документации по объекту: "Реконструкция Южного шоссе от ул. Заставная до ул. Цеховая с устройством парковочных автостоянок вдоль южных проходных ОАО "АВТОВАЗ" - повторное рассмотрение в части изменения наименования объекта</t>
  </si>
  <si>
    <t>Проведение государственной экспертизы проектной документации по объекту: "Реконструкция и строительство магистральной улицы общегородского значения регулируемого движения ул. Офицерская от Южного шоссе до ул. Ворошилова в г.Тольятти" - повторное рассмотрение в части изменения наименования объекта</t>
  </si>
  <si>
    <t>Проведение государственной экспертизы проектной документации по объекту: "Строительство автомобильной дороги по ул. Механизаторов от ул. Громовой до ул. Лизы Чайкиной" - повторное рассмотрение в части изменения наименования объекта</t>
  </si>
  <si>
    <t>Осуществление технологического присоединения к электрическим сетям</t>
  </si>
  <si>
    <t>Реконструкция кольцевой транспортной развязки на пересечении Южного шоссе и ул. Борковская. Устройство дополнительных правоповоротных полос движения</t>
  </si>
  <si>
    <t>Осуществление строительного контроля на объекте: Реконструкция кольцевой транспортной развязки на пересечении Южного шоссе и ул. Борковская. Устройство дополнительных правоповоротных полос движения</t>
  </si>
  <si>
    <t>Корректировка проекта реконструкции по объекту: Реконструкция автомобильных дорог по объекту по Лесопарковому шоссе, ул. Иженерной, ул. Комзина городского округа Тольятти Самарской области, в том числе инженерные изыскания и государственная экспертиза проекта</t>
  </si>
  <si>
    <t>Реализация проекта по реконструкции</t>
  </si>
  <si>
    <t>Разработка проекта планировки и межевания (резервирование земельных участков в границах красных линий (издание постановления, регистрация в Росреестре)  (ориент. S= 4,8 га)</t>
  </si>
  <si>
    <t>Разработка проектно-сметной документации  в т.ч. прохождение государственной экспертизы</t>
  </si>
  <si>
    <t>Проектно-изыскательские работы по объекту: Реконструкция автомобильной дороги по ул. Матросова (от ул. Громовой до ул. Коммунистической)</t>
  </si>
  <si>
    <t xml:space="preserve"> Реконструкция автомобильной дороги по ул. Матросова (от ул. Громовой до ул. Коммунистической)</t>
  </si>
  <si>
    <t>Строительный контроль на объекте: Реконструкция автомобильной дороги по ул. Матросова (от ул. Громовой до ул. Коммунистической)</t>
  </si>
  <si>
    <t>Реконструкция Южного шоссе с заменой кольцевых развязок на прямые участки</t>
  </si>
  <si>
    <t>Корректировка проектно-сметной документации  в т.ч. прохождение государственной экспертизы</t>
  </si>
  <si>
    <t>Проектирование капитального ремонта, ремонта автодорог городского округа Тольятти, в т.ч. инженерные изыскания и государственная экспертиза проектно-сметной документации</t>
  </si>
  <si>
    <t>Создание геодезической основы для выноса в натуру и определения границ участка земли для строительства магистральной улицы общегородского значения регулируемого движения ул. Офицерской от ул. Полякова до Южного шоссе</t>
  </si>
  <si>
    <t>Оказание услуг по составлению топографического плана с составлением перечётной ведомости деревьев для определения компенсационной стоимости сноса зеленых насаждений при разработке проектной документации по строительству магистральной улицы районного значения транспортно- пешеходной ул. Механизаторов от ул. Лизы Чайкиной до ул. Громовой в Комсомольском районе города Тольятти</t>
  </si>
  <si>
    <t>Оказание услуг по проведению проверки достоверности определения сметной стоимости проектно-изыскательских работ по объекту: "Капитальный ремонт ул. Калмыцкой на участке от ж/д переезда до ул. Васильевской"; "Ремонт ул. Калмыцкой от ул. Новозаводская до ж/д переезда"; "Капитальный ремонт ул. Васильевская от ул. Калмыцкая до Обводного шоссе"; "Устройство освещения вдоль ул.Калмыцкая"</t>
  </si>
  <si>
    <t>Проектно- изыскательские работы на строительство улицы Ивана Красюка в жилой застройке  микрорайона Жигулевское море от ул. Казачьей до пересечения ул. Молодецкая и проезда Оренбургский</t>
  </si>
  <si>
    <t>Проспект Московский (от ул. Дзержинского до ул. Свердлова (включая КТР))</t>
  </si>
  <si>
    <t>Автомобильная дорога через Лесной массив (Лесопарковое шоссе, участок ул. Комзина от ул. Инженерной до пересечения с Комсомольским шоссе)</t>
  </si>
  <si>
    <t>ул. Матросова (от ул. Громовой до ул. Коммунистической (включая КТР)</t>
  </si>
  <si>
    <t>ул. Юбилейная от ул. Свердлова до ул. Дзержинского, включая пересечение ул. Свердлова и ул. Юбилейная</t>
  </si>
  <si>
    <t>ул. Полякова от ул. Коммунальная до ул. Вокзальная</t>
  </si>
  <si>
    <t>ул. Баныкина от ул. Голосова до ул. Родины</t>
  </si>
  <si>
    <t>ул. Индустриальная от ул. Комсомольская до здания №1 по ул. Индустриальная</t>
  </si>
  <si>
    <t>ул. Ярославская от ул. Коммунистическая до ул. Громовой, включая кольцевую транспортную развязку с ул. Громовой</t>
  </si>
  <si>
    <t>Устройство линии наружного электроосвещения по ул. Ленина (на участке от ул. Мичурина до ул. Льва Толстого)</t>
  </si>
  <si>
    <t>Ликвидация заездного кармана в районе ООТ "Дом природы" по ул. Мира</t>
  </si>
  <si>
    <t>Ликвидация парковки и устройство островка безопасности в районе кольйевой транспортной развязки ул. Матросова - ул. Громовой</t>
  </si>
  <si>
    <t>Ликвидация несанкционированных примыканий к автомобильной дороге по ул. Коммунистическая в районе дома №100</t>
  </si>
  <si>
    <t>Ликвидация места разворота транспортных средств по ул. Юбилейная в районе дома № 6А</t>
  </si>
  <si>
    <t>Устройство островка безопасности в районе пересечения ул. Юбилейная и ул. Фрунзе</t>
  </si>
  <si>
    <t>Устройство островка безопасности в районе пересечения ул. Революционной и Приморского бульвара</t>
  </si>
  <si>
    <t>Устройство островка безопасности  в районе пересечения ул. Дзержинского и пр-та Степана Разина</t>
  </si>
  <si>
    <t>Ликвидация заездного кармана на пр-те Степана Разина в районе пересечения с ул. Дзержинского</t>
  </si>
  <si>
    <t>Ликвидация несанкцинированных примыканий в районе ТЦ "Карусель" и устройство пешеходной дорожки по ул. Дзержинского в районе дома №22</t>
  </si>
  <si>
    <t>Устройство искусственных дорожных неровностей по ул. М. Жукова, внутриквартальный проезд от ул. Спортивной до ул. Фрунзе</t>
  </si>
  <si>
    <t>Устройство искусственных дорожных неровностей по ул. 40 лет Победы, внутриквартальный проезд от ул. Свердлова до ул. Дзержинского</t>
  </si>
  <si>
    <t>Устройство искусственных дорожных неровностей по дублёру вдоль ул. Баныкина от ул. Голосова до ул. Родины</t>
  </si>
  <si>
    <t>Устройство искусственных дорожных неровностей по бульвару Королёва в районе дома №20</t>
  </si>
  <si>
    <t>Устройство тискусственных дорожных неровностей ао бульвару Туполева в районе дома №16</t>
  </si>
  <si>
    <t>Устройство цскусственных дорожных неровностей по ул. Железнодорожная в районе дома №28</t>
  </si>
  <si>
    <t>Устройство искусственных дорожных неровностей по дублёру вдоль ул. Свердлова от Московского проспекта до ул. 40 лет Победы</t>
  </si>
  <si>
    <t>Устройство искусственных дорожных неровностей по дублёру вдоль пр. Ст. Разина от Приморского бульвара до ул. Дзержинского</t>
  </si>
  <si>
    <t>Устройство шумовых полос на Поволжском шоссе</t>
  </si>
  <si>
    <t>Устройство светофорных объектов по ул. Советская, пересечение с ул. Ставропольской</t>
  </si>
  <si>
    <t>Устройство светофорных объектов по пр-ту Степана разина, д.26</t>
  </si>
  <si>
    <t>Устройство светофорных объектов по б-р 50 лет Октября ООТ "Автолюбитель"</t>
  </si>
  <si>
    <t>Устройство светофорных объектов по б-р 50 лет Октября ООТ "Крупская"</t>
  </si>
  <si>
    <t>Устройство светофорных объектов по пр. Московский ООТ "3 квартал"</t>
  </si>
  <si>
    <t>Устройство светофорных объектов по ул. Автостроителей ООТ "б-р Татищева"</t>
  </si>
  <si>
    <t>Устройство дорожных знаков по ул. Революционная, пересечение с Приморским бульваром</t>
  </si>
  <si>
    <t>Устройство дорожных знаков по Московскому проспекту, д.26-а</t>
  </si>
  <si>
    <t>Устройство дорожных знаков по ул. Юбилейная, пересечение с ул. Фрунзе</t>
  </si>
  <si>
    <t>Устройство дорожных знаков по ул. Борковская, пересечение с ул. Вокзальная</t>
  </si>
  <si>
    <t>Устройство дорожных знаков по ул. Степана Разина, пересечение с Приморским бульваром</t>
  </si>
  <si>
    <t>Устройство дорожных знаков по пр. Московский, д.13</t>
  </si>
  <si>
    <t>Устройство дорожных знаков по ул. Мира пересечение с ул. Карбышева</t>
  </si>
  <si>
    <t>Устройство дорожных знаков по ул. Матросова, д.70</t>
  </si>
  <si>
    <t>Устройство дорожных знаков по пр-ту Степана Разина, д.93</t>
  </si>
  <si>
    <t>Устройство дорожных знаков по ул. Ботаническая, д.7</t>
  </si>
  <si>
    <t>Устройство дорожных знаков по Поволжскому шоссе, нерегулируемые пешеходные переходы</t>
  </si>
  <si>
    <t>Устройство дорожных знаков по ул. 70 лет Октября, д.47</t>
  </si>
  <si>
    <t>Устройство дорожных знаков на кольцевой транспортной развязке ул. Полякова - ул. Офицерская - ул. Ворошилова</t>
  </si>
  <si>
    <t>Устройство пешеходных ограждений по ул. Спортивная пересечение с Приморским бульваром</t>
  </si>
  <si>
    <t>Устройство пешеходных ограждений по ул. Ленинградская пересечение с ул. Советской</t>
  </si>
  <si>
    <t>Устройство пешеходных ограждений по пр-ту Степана Разина в районе ООО "4 квартал"</t>
  </si>
  <si>
    <t>Устройство пешеходных ограждений по Автозаводскому шоссе ООТ "ул. Мичурина"</t>
  </si>
  <si>
    <t>Модернизация светофорных объектов по ул. Карла Маркса, пересечение с ул. Комсомольской</t>
  </si>
  <si>
    <t>Модернизация светофорных объектов по ул. Ленина, пересечение с Молодёжным бульваром</t>
  </si>
  <si>
    <t>Модернизация светофорных объектов по ул. Дзержинского в районе пересечения с ул. Ботаническая</t>
  </si>
  <si>
    <t>Устройство имитаторов измерителей скорости на Поволжском шоссе (на световой опоре № 298 по чётной стороне улицы)</t>
  </si>
  <si>
    <t>Устройство имитаторов измерителей скорости на Лесопарковом шоссе (на световой опоре №16 по чётной стороне улицы)</t>
  </si>
  <si>
    <t>Устройство имитаторов измерителей скорости на Комсомольском шоссе (на световой опоре №122 по нечётной стороне улицы)</t>
  </si>
  <si>
    <t>Устройство имитаторов измерителей скорости на автодороге от ул. Фермерская до границы городского округа Тольятти (на световой опоре, расположенной на пересечении ул. новая и ул. Строителей, в районе здания по ул. Новая,1)</t>
  </si>
  <si>
    <t>Устройство линий наружного электроосвещения мест концентрации ДТП по адресу: Самарская область, г.Тольятти, ул. Ларина от ул. Васильевская до ул. Ломоносова</t>
  </si>
  <si>
    <t>Устройство линий наружного электроосвещения мест концентрации ДТП по адресу: Самарская область, г. Тольятти, Центральный район, ул. Васильевская (на участке от ул. Базовая до ул. Ларина)</t>
  </si>
  <si>
    <t>Устройство линий наружного электроосвещения мест концентрации ДТП по адресу: Самарская область, г. Тольятти, Центральный район, ул. Мичурина (на участке от Автозаводского шоссе до ул. Интернациональная)</t>
  </si>
  <si>
    <t>Ремонт дворовых территорий многоквартирных домов, проездов к дворовым территориям многоквартирных домов по Автозаводскому району</t>
  </si>
  <si>
    <t>Ремонт дворовых территорий многоквартирных домов, проездов к дворовым территориям многоквартирных домов по Центральному району</t>
  </si>
  <si>
    <t>Ремонт дворовых территорий многоквартирных домов, проездов к дворовым территориям многоквартирных домов по Комсомольскому району</t>
  </si>
  <si>
    <t>ИТОГО ПО ПОДПРОГРАММЕ МРАД c учетом ранее принятых обязательств</t>
  </si>
  <si>
    <t>Количество автобусов, приобретенных в рамках национального проекта «Безопасные и качественные автомобильные дороги»</t>
  </si>
  <si>
    <t>1,3 /42,00</t>
  </si>
  <si>
    <t>0,69/5,223</t>
  </si>
  <si>
    <t xml:space="preserve">предоставление субсидии на возмещение недополученных доходов и  финансовое обеспечение (возмещение)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(COVID-19), </t>
  </si>
  <si>
    <t>Приобретение автобусов, работающих на газомоторном топливе,                                                               путём заключения муниципального контракта на оказание услуг финансовой аренды (лизинга),</t>
  </si>
  <si>
    <t>путем предоставления субсидий в целях возмещения затрат на оплату лизинговых платежей за автобусы большого класса, работающие на газомоторном топливе, приобретенные в рамках национального проекта «Безопасные и качественные автомобильные дороги»</t>
  </si>
  <si>
    <t>предоставление субсидии на возмещение недополученных доходов и  финансовое обеспечение (возмещение)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(COVID-19),</t>
  </si>
  <si>
    <t>Приобретение автобусов, работающих на газомоторном топливе, путём заключения муниципального контракта на оказание услуг финансовой аренды (лизинга),</t>
  </si>
  <si>
    <t>ЦОДД</t>
  </si>
  <si>
    <t>Строительство транспортной развязки в разных уровнях на пересечении Южного шоссе, Автозаводского шоссе, Хрящевского шоссе и ул. Калмыцкая</t>
  </si>
  <si>
    <t>Приложение № 1                                                                                                                                 к  постановлению администрации городского округа Тольятти                              "_____" _______________2020г. № _______________</t>
  </si>
  <si>
    <t xml:space="preserve">Приложение № 2 </t>
  </si>
  <si>
    <t>Приложение № 3                                                                                      к  постановлению администрации                                                   городского округа Тольятти                                                     "___" __________2020г. № _______</t>
  </si>
  <si>
    <t xml:space="preserve">                                                                          Приложение №4                                                                                               к  постановлению администрации городского округа Тольятти                              "_____" _______________2020 г. № _______________</t>
  </si>
  <si>
    <t>проверка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</si>
</sst>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р_._-;\-* #,##0.00_р_._-;_-* &quot;-&quot;??_р_._-;_-@_-"/>
    <numFmt numFmtId="165" formatCode="#,##0.0"/>
    <numFmt numFmtId="166" formatCode="#,##0.0_р_."/>
    <numFmt numFmtId="167" formatCode="0.0"/>
    <numFmt numFmtId="168" formatCode="#,##0_р_."/>
    <numFmt numFmtId="169" formatCode="#,##0.00_р_."/>
    <numFmt numFmtId="170" formatCode="#,##0.000_р_."/>
    <numFmt numFmtId="171" formatCode="_-* #,##0.0_р_._-;\-* #,##0.0_р_._-;_-* &quot;-&quot;??_р_._-;_-@_-"/>
  </numFmts>
  <fonts count="125"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sz val="11"/>
      <color indexed="8"/>
      <name val="Calibri"/>
      <family val="2"/>
      <charset val="204"/>
    </font>
    <font>
      <sz val="10"/>
      <name val="Arial Cyr"/>
      <charset val="204"/>
    </font>
    <font>
      <b/>
      <sz val="12"/>
      <name val="Arial Cyr"/>
      <charset val="204"/>
    </font>
    <font>
      <sz val="12"/>
      <name val="Arial Cyr"/>
      <charset val="204"/>
    </font>
    <font>
      <sz val="11"/>
      <name val="Arial Cyr"/>
      <charset val="204"/>
    </font>
    <font>
      <b/>
      <sz val="9"/>
      <name val="Arial Cyr"/>
      <charset val="204"/>
    </font>
    <font>
      <i/>
      <sz val="10"/>
      <name val="Times New Roman"/>
      <family val="1"/>
      <charset val="204"/>
    </font>
    <font>
      <i/>
      <sz val="12"/>
      <name val="Times New Roman"/>
      <family val="1"/>
      <charset val="204"/>
    </font>
    <font>
      <sz val="10"/>
      <color indexed="8"/>
      <name val="Arial Cyr"/>
      <charset val="204"/>
    </font>
    <font>
      <sz val="10"/>
      <color theme="1"/>
      <name val="Arial Cyr"/>
      <charset val="204"/>
    </font>
    <font>
      <sz val="10"/>
      <color theme="0"/>
      <name val="Arial Cyr"/>
      <charset val="204"/>
    </font>
    <font>
      <b/>
      <sz val="10"/>
      <color theme="0"/>
      <name val="Arial Cyr"/>
      <charset val="204"/>
    </font>
    <font>
      <b/>
      <sz val="14"/>
      <color theme="0"/>
      <name val="Arial Cyr"/>
      <charset val="204"/>
    </font>
    <font>
      <i/>
      <sz val="14"/>
      <name val="Times New Roman"/>
      <family val="1"/>
      <charset val="204"/>
    </font>
    <font>
      <sz val="12"/>
      <color theme="0"/>
      <name val="Arial Cyr"/>
      <charset val="204"/>
    </font>
    <font>
      <sz val="14"/>
      <name val="Arial Cyr"/>
      <charset val="204"/>
    </font>
    <font>
      <b/>
      <sz val="14"/>
      <color theme="1"/>
      <name val="Arial Cyr"/>
      <charset val="204"/>
    </font>
    <font>
      <b/>
      <sz val="14"/>
      <name val="Arial Cyr"/>
      <charset val="204"/>
    </font>
    <font>
      <sz val="14"/>
      <name val="Times New Roman"/>
      <family val="1"/>
      <charset val="204"/>
    </font>
    <font>
      <b/>
      <sz val="14"/>
      <name val="Times New Roman"/>
      <family val="1"/>
      <charset val="204"/>
    </font>
    <font>
      <sz val="14"/>
      <color theme="1"/>
      <name val="Times New Roman"/>
      <family val="1"/>
      <charset val="204"/>
    </font>
    <font>
      <b/>
      <i/>
      <sz val="14"/>
      <name val="Times New Roman"/>
      <family val="1"/>
      <charset val="204"/>
    </font>
    <font>
      <b/>
      <sz val="14"/>
      <name val="Arial Narrow"/>
      <family val="2"/>
      <charset val="204"/>
    </font>
    <font>
      <b/>
      <sz val="14"/>
      <color theme="1"/>
      <name val="Times New Roman"/>
      <family val="1"/>
      <charset val="204"/>
    </font>
    <font>
      <sz val="12"/>
      <color indexed="8"/>
      <name val="Times New Roman"/>
      <family val="1"/>
      <charset val="204"/>
    </font>
    <font>
      <b/>
      <sz val="18"/>
      <name val="Times New Roman"/>
      <family val="1"/>
      <charset val="204"/>
    </font>
    <font>
      <b/>
      <sz val="18"/>
      <name val="Arial Cyr"/>
      <charset val="204"/>
    </font>
    <font>
      <sz val="18"/>
      <name val="Times New Roman"/>
      <family val="1"/>
      <charset val="204"/>
    </font>
    <font>
      <sz val="10"/>
      <name val="Times New Roman"/>
      <family val="1"/>
      <charset val="204"/>
    </font>
    <font>
      <sz val="10"/>
      <color theme="1"/>
      <name val="Times New Roman"/>
      <family val="1"/>
      <charset val="204"/>
    </font>
    <font>
      <b/>
      <sz val="10"/>
      <color theme="1"/>
      <name val="Times New Roman"/>
      <family val="1"/>
      <charset val="204"/>
    </font>
    <font>
      <b/>
      <sz val="10"/>
      <color theme="1"/>
      <name val="Arial Cyr"/>
      <charset val="204"/>
    </font>
    <font>
      <b/>
      <u/>
      <sz val="14"/>
      <name val="Times New Roman"/>
      <family val="1"/>
      <charset val="204"/>
    </font>
    <font>
      <b/>
      <sz val="10"/>
      <name val="Times New Roman"/>
      <family val="1"/>
      <charset val="204"/>
    </font>
    <font>
      <sz val="9"/>
      <color theme="1"/>
      <name val="Times New Roman"/>
      <family val="1"/>
      <charset val="204"/>
    </font>
    <font>
      <sz val="11"/>
      <name val="Times New Roman"/>
      <family val="1"/>
      <charset val="204"/>
    </font>
    <font>
      <sz val="11"/>
      <color theme="1"/>
      <name val="Times New Roman"/>
      <family val="1"/>
      <charset val="204"/>
    </font>
    <font>
      <sz val="12"/>
      <color theme="1"/>
      <name val="Arial Cyr"/>
      <charset val="204"/>
    </font>
    <font>
      <b/>
      <sz val="10"/>
      <name val="Arial Cyr"/>
      <charset val="204"/>
    </font>
    <font>
      <sz val="12"/>
      <color theme="1"/>
      <name val="Times New Roman"/>
      <family val="1"/>
      <charset val="204"/>
    </font>
    <font>
      <b/>
      <sz val="12"/>
      <color theme="1"/>
      <name val="Times New Roman"/>
      <family val="1"/>
      <charset val="204"/>
    </font>
    <font>
      <i/>
      <sz val="10"/>
      <color theme="1"/>
      <name val="Times New Roman"/>
      <family val="1"/>
      <charset val="204"/>
    </font>
    <font>
      <i/>
      <sz val="12"/>
      <color theme="1"/>
      <name val="Times New Roman"/>
      <family val="1"/>
      <charset val="204"/>
    </font>
    <font>
      <sz val="11"/>
      <name val="Arial Narrow"/>
      <family val="2"/>
      <charset val="204"/>
    </font>
    <font>
      <u/>
      <sz val="12"/>
      <color indexed="8"/>
      <name val="Times New Roman"/>
      <family val="1"/>
      <charset val="204"/>
    </font>
    <font>
      <b/>
      <u/>
      <sz val="12"/>
      <color theme="1"/>
      <name val="Times New Roman"/>
      <family val="1"/>
      <charset val="204"/>
    </font>
    <font>
      <b/>
      <u/>
      <sz val="12"/>
      <name val="Times New Roman"/>
      <family val="1"/>
      <charset val="204"/>
    </font>
    <font>
      <u/>
      <sz val="12"/>
      <name val="Times New Roman"/>
      <family val="1"/>
      <charset val="204"/>
    </font>
    <font>
      <b/>
      <sz val="11"/>
      <name val="Arial Narrow"/>
      <family val="2"/>
      <charset val="204"/>
    </font>
    <font>
      <sz val="11"/>
      <color theme="1"/>
      <name val="Arial Cyr"/>
      <charset val="204"/>
    </font>
    <font>
      <b/>
      <u/>
      <sz val="12"/>
      <color indexed="8"/>
      <name val="Times New Roman"/>
      <family val="1"/>
      <charset val="204"/>
    </font>
    <font>
      <b/>
      <u/>
      <sz val="11"/>
      <name val="Times New Roman"/>
      <family val="1"/>
      <charset val="204"/>
    </font>
    <font>
      <b/>
      <sz val="11"/>
      <name val="Times New Roman"/>
      <family val="1"/>
      <charset val="204"/>
    </font>
    <font>
      <sz val="10"/>
      <name val="Arial Narrow"/>
      <family val="2"/>
      <charset val="204"/>
    </font>
    <font>
      <b/>
      <sz val="10"/>
      <name val="Arial Narrow"/>
      <family val="2"/>
      <charset val="204"/>
    </font>
    <font>
      <b/>
      <u/>
      <sz val="11"/>
      <color indexed="8"/>
      <name val="Times New Roman"/>
      <family val="1"/>
      <charset val="204"/>
    </font>
    <font>
      <sz val="11"/>
      <color indexed="8"/>
      <name val="Times New Roman"/>
      <family val="1"/>
      <charset val="204"/>
    </font>
    <font>
      <b/>
      <sz val="9"/>
      <color theme="1"/>
      <name val="Arial Cyr"/>
      <charset val="204"/>
    </font>
    <font>
      <sz val="10"/>
      <name val="Arial"/>
      <family val="2"/>
      <charset val="204"/>
    </font>
    <font>
      <b/>
      <sz val="16"/>
      <name val="Times New Roman"/>
      <family val="1"/>
      <charset val="204"/>
    </font>
    <font>
      <b/>
      <sz val="16"/>
      <name val="Arial"/>
      <family val="2"/>
      <charset val="204"/>
    </font>
    <font>
      <b/>
      <i/>
      <sz val="10"/>
      <name val="Arial Cyr"/>
      <charset val="204"/>
    </font>
    <font>
      <i/>
      <sz val="10"/>
      <name val="Arial Cyr"/>
      <charset val="204"/>
    </font>
    <font>
      <b/>
      <sz val="9"/>
      <color theme="0"/>
      <name val="Arial Cyr"/>
      <charset val="204"/>
    </font>
    <font>
      <sz val="10"/>
      <color rgb="FFFF0000"/>
      <name val="Arial Cyr"/>
      <charset val="204"/>
    </font>
    <font>
      <sz val="16"/>
      <name val="Arial Narrow"/>
      <family val="2"/>
      <charset val="204"/>
    </font>
    <font>
      <b/>
      <sz val="16"/>
      <name val="Arial Narrow"/>
      <family val="2"/>
      <charset val="204"/>
    </font>
    <font>
      <sz val="16"/>
      <name val="Arial Cyr"/>
      <charset val="204"/>
    </font>
    <font>
      <sz val="16"/>
      <name val="Times New Roman"/>
      <family val="1"/>
      <charset val="204"/>
    </font>
    <font>
      <i/>
      <sz val="16"/>
      <name val="Times New Roman"/>
      <family val="1"/>
      <charset val="204"/>
    </font>
    <font>
      <sz val="16"/>
      <color indexed="8"/>
      <name val="Arial Cyr"/>
      <charset val="204"/>
    </font>
    <font>
      <b/>
      <sz val="16"/>
      <name val="Arial Cyr"/>
      <charset val="204"/>
    </font>
    <font>
      <b/>
      <sz val="16"/>
      <color theme="0"/>
      <name val="Arial Cyr"/>
      <charset val="204"/>
    </font>
    <font>
      <sz val="16"/>
      <color theme="0"/>
      <name val="Arial Cyr"/>
      <charset val="204"/>
    </font>
    <font>
      <sz val="16"/>
      <color theme="1"/>
      <name val="Arial Cyr"/>
      <charset val="204"/>
    </font>
    <font>
      <sz val="12"/>
      <color rgb="FF7030A0"/>
      <name val="Times New Roman"/>
      <family val="1"/>
      <charset val="204"/>
    </font>
    <font>
      <sz val="16"/>
      <color rgb="FF7030A0"/>
      <name val="Arial Narrow"/>
      <family val="2"/>
      <charset val="204"/>
    </font>
    <font>
      <sz val="16"/>
      <color rgb="FF7030A0"/>
      <name val="Arial Cyr"/>
      <charset val="204"/>
    </font>
    <font>
      <sz val="10"/>
      <color rgb="FF7030A0"/>
      <name val="Arial Cyr"/>
      <charset val="204"/>
    </font>
    <font>
      <b/>
      <sz val="9"/>
      <color rgb="FF7030A0"/>
      <name val="Arial Cyr"/>
      <charset val="204"/>
    </font>
    <font>
      <sz val="22"/>
      <name val="Arial Cyr"/>
      <charset val="204"/>
    </font>
    <font>
      <sz val="16"/>
      <color rgb="FF00B050"/>
      <name val="Arial Narrow"/>
      <family val="2"/>
      <charset val="204"/>
    </font>
    <font>
      <sz val="16"/>
      <color rgb="FF00B050"/>
      <name val="Arial Cyr"/>
      <charset val="204"/>
    </font>
    <font>
      <sz val="10"/>
      <color rgb="FF00B050"/>
      <name val="Arial Cyr"/>
      <charset val="204"/>
    </font>
    <font>
      <b/>
      <sz val="10"/>
      <color rgb="FF00B050"/>
      <name val="Arial Cyr"/>
      <charset val="204"/>
    </font>
    <font>
      <i/>
      <sz val="16"/>
      <color rgb="FF00B050"/>
      <name val="Times New Roman"/>
      <family val="1"/>
      <charset val="204"/>
    </font>
    <font>
      <i/>
      <sz val="10"/>
      <color rgb="FF00B050"/>
      <name val="Times New Roman"/>
      <family val="1"/>
      <charset val="204"/>
    </font>
    <font>
      <b/>
      <i/>
      <sz val="12"/>
      <name val="Times New Roman"/>
      <family val="1"/>
      <charset val="204"/>
    </font>
    <font>
      <b/>
      <i/>
      <sz val="12"/>
      <name val="Arial Cyr"/>
      <charset val="204"/>
    </font>
    <font>
      <i/>
      <sz val="12"/>
      <name val="Arial Cyr"/>
      <charset val="204"/>
    </font>
    <font>
      <b/>
      <sz val="12"/>
      <color rgb="FF00B050"/>
      <name val="Arial Cyr"/>
      <charset val="204"/>
    </font>
    <font>
      <sz val="12"/>
      <color rgb="FFFF0000"/>
      <name val="Arial Cyr"/>
      <charset val="204"/>
    </font>
    <font>
      <sz val="12"/>
      <color rgb="FF00B050"/>
      <name val="Arial Cyr"/>
      <charset val="204"/>
    </font>
    <font>
      <b/>
      <sz val="12"/>
      <color theme="0"/>
      <name val="Arial Cyr"/>
      <charset val="204"/>
    </font>
    <font>
      <sz val="12"/>
      <color theme="0"/>
      <name val="Times New Roman"/>
      <family val="1"/>
      <charset val="204"/>
    </font>
    <font>
      <b/>
      <sz val="20"/>
      <name val="Times New Roman"/>
      <family val="1"/>
      <charset val="204"/>
    </font>
    <font>
      <b/>
      <sz val="20"/>
      <name val="Arial"/>
      <family val="2"/>
      <charset val="204"/>
    </font>
    <font>
      <sz val="11"/>
      <color rgb="FF7030A0"/>
      <name val="Arial Cyr"/>
      <charset val="204"/>
    </font>
    <font>
      <b/>
      <sz val="15"/>
      <name val="Arial"/>
      <family val="2"/>
      <charset val="204"/>
    </font>
    <font>
      <sz val="15"/>
      <name val="Arial"/>
      <family val="2"/>
      <charset val="204"/>
    </font>
    <font>
      <sz val="16"/>
      <name val="Arial"/>
      <family val="2"/>
      <charset val="204"/>
    </font>
    <font>
      <b/>
      <i/>
      <sz val="16"/>
      <name val="Times New Roman"/>
      <family val="1"/>
      <charset val="204"/>
    </font>
    <font>
      <b/>
      <i/>
      <sz val="10"/>
      <name val="Times New Roman"/>
      <family val="1"/>
      <charset val="204"/>
    </font>
    <font>
      <b/>
      <sz val="12"/>
      <color rgb="FFFF0000"/>
      <name val="Times New Roman"/>
      <family val="1"/>
      <charset val="204"/>
    </font>
    <font>
      <b/>
      <sz val="12"/>
      <color rgb="FFFF0000"/>
      <name val="Arial Cyr"/>
      <charset val="204"/>
    </font>
    <font>
      <b/>
      <sz val="10"/>
      <color rgb="FFFF0000"/>
      <name val="Arial Cyr"/>
      <charset val="204"/>
    </font>
    <font>
      <sz val="16"/>
      <color rgb="FFFF0000"/>
      <name val="Arial Narrow"/>
      <family val="2"/>
      <charset val="204"/>
    </font>
    <font>
      <i/>
      <sz val="16"/>
      <color rgb="FFFF0000"/>
      <name val="Times New Roman"/>
      <family val="1"/>
      <charset val="204"/>
    </font>
    <font>
      <i/>
      <sz val="10"/>
      <color rgb="FFFF0000"/>
      <name val="Times New Roman"/>
      <family val="1"/>
      <charset val="204"/>
    </font>
    <font>
      <sz val="10"/>
      <color rgb="FF00B050"/>
      <name val="Times New Roman"/>
      <family val="1"/>
      <charset val="204"/>
    </font>
    <font>
      <sz val="12"/>
      <color rgb="FFFF0000"/>
      <name val="Times New Roman"/>
      <family val="1"/>
      <charset val="204"/>
    </font>
    <font>
      <sz val="10"/>
      <color rgb="FFFF0000"/>
      <name val="Arial"/>
      <family val="2"/>
      <charset val="204"/>
    </font>
    <font>
      <b/>
      <sz val="16"/>
      <color rgb="FFFF0000"/>
      <name val="Arial"/>
      <family val="2"/>
      <charset val="204"/>
    </font>
    <font>
      <b/>
      <i/>
      <sz val="12"/>
      <color rgb="FFFF0000"/>
      <name val="Times New Roman"/>
      <family val="1"/>
      <charset val="204"/>
    </font>
    <font>
      <b/>
      <sz val="20"/>
      <name val="Arial Cyr"/>
      <charset val="204"/>
    </font>
    <font>
      <b/>
      <sz val="9"/>
      <name val="Times New Roman"/>
      <family val="1"/>
      <charset val="204"/>
    </font>
    <font>
      <i/>
      <sz val="9"/>
      <name val="Times New Roman"/>
      <family val="1"/>
      <charset val="204"/>
    </font>
    <font>
      <sz val="9"/>
      <name val="Arial Cyr"/>
      <charset val="204"/>
    </font>
    <font>
      <b/>
      <sz val="11"/>
      <name val="Arial Cyr"/>
      <charset val="204"/>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FFCC66"/>
        <bgColor indexed="64"/>
      </patternFill>
    </fill>
    <fill>
      <patternFill patternType="solid">
        <fgColor theme="6"/>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1">
    <xf numFmtId="0" fontId="0" fillId="0" borderId="0"/>
    <xf numFmtId="0" fontId="7" fillId="0" borderId="0"/>
    <xf numFmtId="0" fontId="7" fillId="0" borderId="0"/>
    <xf numFmtId="0" fontId="6" fillId="0" borderId="0"/>
    <xf numFmtId="0" fontId="4" fillId="0" borderId="0"/>
    <xf numFmtId="164" fontId="3"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cellStyleXfs>
  <cellXfs count="766">
    <xf numFmtId="0" fontId="0" fillId="0" borderId="0" xfId="0"/>
    <xf numFmtId="0" fontId="0" fillId="2" borderId="0" xfId="0" applyFont="1" applyFill="1"/>
    <xf numFmtId="0" fontId="15" fillId="2" borderId="0" xfId="0" applyFont="1" applyFill="1"/>
    <xf numFmtId="0" fontId="0" fillId="2" borderId="0" xfId="0" applyFill="1"/>
    <xf numFmtId="0" fontId="9" fillId="2" borderId="0" xfId="0" applyFont="1" applyFill="1"/>
    <xf numFmtId="0" fontId="12" fillId="2" borderId="0" xfId="0" applyFont="1" applyFill="1" applyAlignment="1">
      <alignment horizontal="center"/>
    </xf>
    <xf numFmtId="0" fontId="13" fillId="2" borderId="0" xfId="0" applyFont="1" applyFill="1" applyAlignment="1">
      <alignment horizontal="center"/>
    </xf>
    <xf numFmtId="0" fontId="11" fillId="2" borderId="0" xfId="0" applyFont="1" applyFill="1"/>
    <xf numFmtId="0" fontId="14" fillId="2" borderId="0" xfId="0" applyFont="1" applyFill="1"/>
    <xf numFmtId="0" fontId="5" fillId="2" borderId="0" xfId="0" applyFont="1" applyFill="1" applyAlignment="1">
      <alignment horizontal="center"/>
    </xf>
    <xf numFmtId="0" fontId="19" fillId="2" borderId="0" xfId="0" applyFont="1" applyFill="1" applyAlignment="1">
      <alignment horizontal="center"/>
    </xf>
    <xf numFmtId="0" fontId="8" fillId="2" borderId="0" xfId="0" applyFont="1" applyFill="1" applyBorder="1"/>
    <xf numFmtId="0" fontId="8" fillId="2" borderId="0" xfId="0" applyFont="1" applyFill="1"/>
    <xf numFmtId="0" fontId="18" fillId="2" borderId="0" xfId="0" applyFont="1" applyFill="1"/>
    <xf numFmtId="0" fontId="16" fillId="2" borderId="0" xfId="0" applyFont="1" applyFill="1"/>
    <xf numFmtId="0" fontId="21" fillId="0" borderId="0" xfId="0" applyFont="1" applyFill="1"/>
    <xf numFmtId="0" fontId="23" fillId="0" borderId="0" xfId="0" applyFont="1" applyFill="1"/>
    <xf numFmtId="0" fontId="24" fillId="0" borderId="0" xfId="0" applyFont="1" applyFill="1" applyAlignment="1">
      <alignment horizontal="center" vertical="center"/>
    </xf>
    <xf numFmtId="0" fontId="21" fillId="0" borderId="0" xfId="0" applyFont="1" applyFill="1" applyAlignment="1"/>
    <xf numFmtId="0" fontId="23" fillId="0" borderId="0" xfId="0" applyFont="1" applyFill="1" applyAlignment="1"/>
    <xf numFmtId="0" fontId="24" fillId="0" borderId="0" xfId="0" applyFont="1" applyFill="1" applyAlignment="1">
      <alignment horizontal="right" wrapText="1"/>
    </xf>
    <xf numFmtId="0" fontId="25" fillId="0" borderId="1" xfId="0" applyFont="1" applyFill="1" applyBorder="1" applyAlignment="1">
      <alignment horizontal="center" vertical="center" textRotation="90"/>
    </xf>
    <xf numFmtId="0" fontId="24"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4" fillId="0" borderId="1" xfId="0" applyNumberFormat="1" applyFont="1" applyFill="1" applyBorder="1" applyAlignment="1">
      <alignment horizontal="center" vertical="center" wrapText="1"/>
    </xf>
    <xf numFmtId="166" fontId="24" fillId="0" borderId="1" xfId="0" applyNumberFormat="1" applyFont="1" applyFill="1" applyBorder="1" applyAlignment="1">
      <alignment horizontal="center" vertical="center" wrapText="1"/>
    </xf>
    <xf numFmtId="168"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66" fontId="24" fillId="0" borderId="1" xfId="5" applyNumberFormat="1" applyFont="1" applyFill="1" applyBorder="1" applyAlignment="1">
      <alignment horizontal="center" vertical="center" wrapText="1"/>
    </xf>
    <xf numFmtId="0" fontId="24" fillId="0" borderId="1" xfId="5" applyNumberFormat="1" applyFont="1" applyFill="1" applyBorder="1" applyAlignment="1">
      <alignment horizontal="center" vertical="center" wrapText="1"/>
    </xf>
    <xf numFmtId="168" fontId="24" fillId="0" borderId="1" xfId="5" applyNumberFormat="1" applyFont="1" applyFill="1" applyBorder="1" applyAlignment="1">
      <alignment horizontal="center" vertical="center" wrapText="1"/>
    </xf>
    <xf numFmtId="0" fontId="23" fillId="2" borderId="0" xfId="0" applyFont="1" applyFill="1"/>
    <xf numFmtId="0" fontId="21" fillId="2" borderId="0" xfId="0" applyFont="1" applyFill="1"/>
    <xf numFmtId="0" fontId="0" fillId="2" borderId="0" xfId="0" applyFont="1" applyFill="1" applyAlignment="1">
      <alignment horizontal="center"/>
    </xf>
    <xf numFmtId="0" fontId="15" fillId="2" borderId="0" xfId="0" applyFont="1" applyFill="1" applyAlignment="1">
      <alignment horizontal="left"/>
    </xf>
    <xf numFmtId="0" fontId="15" fillId="2" borderId="0" xfId="0" applyFont="1" applyFill="1" applyAlignment="1"/>
    <xf numFmtId="0" fontId="34" fillId="2" borderId="0" xfId="0" applyFont="1" applyFill="1" applyAlignment="1">
      <alignment horizontal="center" vertical="center"/>
    </xf>
    <xf numFmtId="0" fontId="35" fillId="2" borderId="0" xfId="0" applyFont="1" applyFill="1" applyAlignment="1">
      <alignment vertical="center"/>
    </xf>
    <xf numFmtId="0" fontId="35" fillId="2" borderId="0" xfId="0" applyFont="1" applyFill="1" applyAlignment="1">
      <alignment horizontal="left" vertical="center"/>
    </xf>
    <xf numFmtId="0" fontId="36" fillId="2" borderId="0" xfId="0" applyFont="1" applyFill="1" applyAlignment="1">
      <alignment horizontal="center" vertical="center"/>
    </xf>
    <xf numFmtId="0" fontId="15" fillId="2" borderId="0" xfId="0" applyFont="1" applyFill="1" applyAlignment="1">
      <alignment horizontal="center" vertical="top" wrapText="1"/>
    </xf>
    <xf numFmtId="0" fontId="37" fillId="2" borderId="0" xfId="0" applyFont="1" applyFill="1"/>
    <xf numFmtId="0" fontId="34" fillId="2" borderId="0" xfId="0" applyFont="1" applyFill="1" applyAlignment="1">
      <alignment horizontal="right" vertical="top" wrapText="1"/>
    </xf>
    <xf numFmtId="0" fontId="38"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0" fillId="2" borderId="0" xfId="0" applyFont="1" applyFill="1" applyAlignment="1">
      <alignment horizontal="center" vertical="top" wrapText="1"/>
    </xf>
    <xf numFmtId="0" fontId="26" fillId="2" borderId="0" xfId="0" applyFont="1" applyFill="1" applyBorder="1" applyAlignment="1">
      <alignment horizontal="center" vertical="center" wrapText="1"/>
    </xf>
    <xf numFmtId="0" fontId="29" fillId="2"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34" fillId="2" borderId="1" xfId="0" applyFont="1" applyFill="1" applyBorder="1" applyAlignment="1">
      <alignment horizontal="center" vertical="center"/>
    </xf>
    <xf numFmtId="0" fontId="35" fillId="2" borderId="1" xfId="0" applyFont="1" applyFill="1" applyBorder="1" applyAlignment="1">
      <alignment horizontal="center" vertical="center"/>
    </xf>
    <xf numFmtId="0" fontId="15" fillId="2" borderId="0" xfId="0" applyFont="1" applyFill="1" applyBorder="1"/>
    <xf numFmtId="0" fontId="35" fillId="2" borderId="0" xfId="0" applyFont="1" applyFill="1" applyBorder="1" applyAlignment="1">
      <alignment horizontal="left" vertical="center" wrapText="1"/>
    </xf>
    <xf numFmtId="0" fontId="15" fillId="2" borderId="0" xfId="0" applyFont="1" applyFill="1" applyBorder="1" applyAlignment="1">
      <alignment vertical="center"/>
    </xf>
    <xf numFmtId="0" fontId="35" fillId="2" borderId="1" xfId="0" applyFont="1" applyFill="1" applyBorder="1" applyAlignment="1">
      <alignment horizontal="left" vertical="center" wrapText="1"/>
    </xf>
    <xf numFmtId="0" fontId="35" fillId="2" borderId="1" xfId="0" applyFont="1" applyFill="1" applyBorder="1" applyAlignment="1">
      <alignment horizontal="center" vertical="center" wrapText="1"/>
    </xf>
    <xf numFmtId="169" fontId="34" fillId="2" borderId="1" xfId="0" applyNumberFormat="1" applyFont="1" applyFill="1" applyBorder="1" applyAlignment="1">
      <alignment horizontal="center" vertical="center" wrapText="1"/>
    </xf>
    <xf numFmtId="0" fontId="35" fillId="2" borderId="1" xfId="0" applyFont="1" applyFill="1" applyBorder="1" applyAlignment="1">
      <alignment horizontal="left" vertical="top" wrapText="1"/>
    </xf>
    <xf numFmtId="168" fontId="34" fillId="2"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wrapText="1"/>
    </xf>
    <xf numFmtId="170" fontId="34" fillId="2" borderId="1" xfId="0" applyNumberFormat="1" applyFont="1" applyFill="1" applyBorder="1" applyAlignment="1">
      <alignment horizontal="center" vertical="center" wrapText="1"/>
    </xf>
    <xf numFmtId="170" fontId="34" fillId="0" borderId="1" xfId="0" applyNumberFormat="1" applyFont="1" applyFill="1" applyBorder="1" applyAlignment="1">
      <alignment horizontal="center" vertical="center" wrapText="1"/>
    </xf>
    <xf numFmtId="1" fontId="34" fillId="2" borderId="1" xfId="0" applyNumberFormat="1" applyFont="1" applyFill="1" applyBorder="1" applyAlignment="1">
      <alignment horizontal="center" vertical="center" wrapText="1"/>
    </xf>
    <xf numFmtId="0" fontId="34"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168" fontId="34" fillId="0" borderId="1" xfId="0" applyNumberFormat="1" applyFont="1" applyFill="1" applyBorder="1" applyAlignment="1">
      <alignment horizontal="center" vertical="center" wrapText="1"/>
    </xf>
    <xf numFmtId="166" fontId="34" fillId="2" borderId="1" xfId="0" applyNumberFormat="1" applyFont="1" applyFill="1" applyBorder="1" applyAlignment="1">
      <alignment horizontal="center" vertical="center" wrapText="1"/>
    </xf>
    <xf numFmtId="0" fontId="35" fillId="2" borderId="1" xfId="0" applyFont="1" applyFill="1" applyBorder="1" applyAlignment="1">
      <alignment horizontal="left" vertical="center"/>
    </xf>
    <xf numFmtId="0" fontId="35" fillId="2" borderId="1" xfId="0" applyFont="1" applyFill="1" applyBorder="1" applyAlignment="1">
      <alignment vertical="center" wrapText="1"/>
    </xf>
    <xf numFmtId="0" fontId="40" fillId="2" borderId="1" xfId="0" applyFont="1" applyFill="1" applyBorder="1" applyAlignment="1">
      <alignment horizontal="left" vertical="center" wrapText="1"/>
    </xf>
    <xf numFmtId="0" fontId="35" fillId="2" borderId="1" xfId="0" applyFont="1" applyFill="1" applyBorder="1" applyAlignment="1">
      <alignment vertical="top" wrapText="1"/>
    </xf>
    <xf numFmtId="2" fontId="34"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35" fillId="2" borderId="4" xfId="0" applyFont="1" applyFill="1" applyBorder="1" applyAlignment="1">
      <alignment vertical="center" wrapText="1"/>
    </xf>
    <xf numFmtId="0" fontId="35" fillId="2" borderId="13" xfId="0" applyFont="1" applyFill="1" applyBorder="1" applyAlignment="1">
      <alignment vertical="center" wrapText="1"/>
    </xf>
    <xf numFmtId="0" fontId="36" fillId="2" borderId="1"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15" fillId="2" borderId="0" xfId="0" applyFont="1" applyFill="1" applyAlignment="1">
      <alignment vertical="center"/>
    </xf>
    <xf numFmtId="0" fontId="4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34" fillId="2" borderId="0" xfId="0" applyFont="1" applyFill="1" applyAlignment="1">
      <alignment vertical="center"/>
    </xf>
    <xf numFmtId="0" fontId="34" fillId="2" borderId="1" xfId="0" applyFont="1" applyFill="1" applyBorder="1" applyAlignment="1">
      <alignment horizontal="left" vertical="center" wrapText="1"/>
    </xf>
    <xf numFmtId="0" fontId="35" fillId="2" borderId="1" xfId="0" applyFont="1" applyFill="1" applyBorder="1" applyAlignment="1">
      <alignment horizontal="justify" vertical="center"/>
    </xf>
    <xf numFmtId="0" fontId="34" fillId="2" borderId="1" xfId="0" applyFont="1" applyFill="1" applyBorder="1" applyAlignment="1">
      <alignment vertical="center" wrapText="1"/>
    </xf>
    <xf numFmtId="0" fontId="35" fillId="2" borderId="4" xfId="0" applyFont="1" applyFill="1" applyBorder="1" applyAlignment="1">
      <alignment vertical="top" wrapText="1"/>
    </xf>
    <xf numFmtId="4" fontId="34" fillId="2" borderId="1" xfId="0" applyNumberFormat="1" applyFont="1" applyFill="1" applyBorder="1" applyAlignment="1">
      <alignment horizontal="center" vertical="center" wrapText="1"/>
    </xf>
    <xf numFmtId="0" fontId="15" fillId="2" borderId="13" xfId="0" applyFont="1" applyFill="1" applyBorder="1"/>
    <xf numFmtId="0" fontId="15" fillId="2" borderId="1" xfId="0" applyFont="1" applyFill="1" applyBorder="1"/>
    <xf numFmtId="167" fontId="34" fillId="2" borderId="1" xfId="0" applyNumberFormat="1" applyFont="1" applyFill="1" applyBorder="1" applyAlignment="1">
      <alignment horizontal="center" vertical="center" wrapText="1"/>
    </xf>
    <xf numFmtId="0" fontId="35" fillId="2" borderId="5" xfId="0" applyFont="1" applyFill="1" applyBorder="1" applyAlignment="1">
      <alignment horizontal="center" vertical="center"/>
    </xf>
    <xf numFmtId="0" fontId="0" fillId="2" borderId="0" xfId="0" applyFont="1" applyFill="1" applyAlignment="1"/>
    <xf numFmtId="0" fontId="15" fillId="2" borderId="0" xfId="0" applyFont="1" applyFill="1" applyAlignment="1">
      <alignment horizontal="center"/>
    </xf>
    <xf numFmtId="0" fontId="44" fillId="2" borderId="0" xfId="0" applyFont="1" applyFill="1"/>
    <xf numFmtId="169" fontId="34" fillId="2" borderId="4" xfId="0" applyNumberFormat="1" applyFont="1" applyFill="1" applyBorder="1" applyAlignment="1">
      <alignment horizontal="center" vertical="center" wrapText="1"/>
    </xf>
    <xf numFmtId="0" fontId="35" fillId="2" borderId="5" xfId="0" applyFont="1" applyFill="1" applyBorder="1" applyAlignment="1">
      <alignment vertical="center" wrapText="1"/>
    </xf>
    <xf numFmtId="0" fontId="43" fillId="2" borderId="3" xfId="0" applyFont="1" applyFill="1" applyBorder="1" applyAlignment="1">
      <alignment vertical="center" wrapText="1"/>
    </xf>
    <xf numFmtId="0" fontId="43" fillId="2" borderId="12" xfId="0" applyFont="1" applyFill="1" applyBorder="1" applyAlignment="1">
      <alignment vertical="center" wrapText="1"/>
    </xf>
    <xf numFmtId="0" fontId="35" fillId="2" borderId="1" xfId="0" applyFont="1" applyFill="1" applyBorder="1" applyAlignment="1">
      <alignment vertical="center" wrapText="1"/>
    </xf>
    <xf numFmtId="0" fontId="35" fillId="2" borderId="1" xfId="0" applyFont="1" applyFill="1" applyBorder="1" applyAlignment="1">
      <alignment horizontal="left" vertical="center" wrapText="1"/>
    </xf>
    <xf numFmtId="0" fontId="15" fillId="0" borderId="0" xfId="0" applyFont="1" applyFill="1"/>
    <xf numFmtId="0" fontId="43" fillId="0" borderId="0" xfId="0" applyFont="1" applyFill="1"/>
    <xf numFmtId="0" fontId="45" fillId="0" borderId="0" xfId="0" applyFont="1" applyFill="1" applyAlignment="1">
      <alignment horizontal="center" vertical="center"/>
    </xf>
    <xf numFmtId="0" fontId="45" fillId="0" borderId="0" xfId="0" applyFont="1" applyFill="1" applyAlignment="1">
      <alignment vertical="center"/>
    </xf>
    <xf numFmtId="0" fontId="35" fillId="0" borderId="0" xfId="0" applyFont="1" applyFill="1" applyAlignment="1">
      <alignment horizontal="center" vertical="center"/>
    </xf>
    <xf numFmtId="0" fontId="35"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15" fillId="0" borderId="0" xfId="0" applyFont="1" applyFill="1" applyBorder="1"/>
    <xf numFmtId="0" fontId="47" fillId="0" borderId="1" xfId="0" applyFont="1" applyFill="1" applyBorder="1" applyAlignment="1">
      <alignment horizontal="center" vertical="center"/>
    </xf>
    <xf numFmtId="0" fontId="48" fillId="0" borderId="1" xfId="0" applyFont="1" applyFill="1" applyBorder="1" applyAlignment="1">
      <alignment horizontal="center" vertical="center"/>
    </xf>
    <xf numFmtId="0" fontId="47" fillId="0" borderId="0" xfId="0" applyFont="1" applyFill="1" applyAlignment="1">
      <alignment horizontal="center"/>
    </xf>
    <xf numFmtId="0" fontId="45" fillId="0" borderId="1" xfId="0" applyFont="1" applyFill="1" applyBorder="1" applyAlignment="1">
      <alignment horizontal="left" vertical="center" wrapText="1"/>
    </xf>
    <xf numFmtId="166" fontId="49" fillId="0" borderId="1" xfId="0" applyNumberFormat="1" applyFont="1" applyFill="1" applyBorder="1" applyAlignment="1">
      <alignment horizontal="center" vertical="center"/>
    </xf>
    <xf numFmtId="0" fontId="42" fillId="0" borderId="5" xfId="0" applyFont="1" applyFill="1" applyBorder="1" applyAlignment="1">
      <alignment horizontal="center" vertical="center"/>
    </xf>
    <xf numFmtId="166" fontId="54" fillId="0" borderId="1" xfId="0" applyNumberFormat="1" applyFont="1" applyFill="1" applyBorder="1" applyAlignment="1">
      <alignment horizontal="center" vertical="center"/>
    </xf>
    <xf numFmtId="0" fontId="55" fillId="0" borderId="0" xfId="0" applyFont="1" applyFill="1"/>
    <xf numFmtId="0" fontId="45" fillId="0" borderId="4"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5" fillId="0" borderId="1" xfId="0" applyFont="1" applyFill="1" applyBorder="1" applyAlignment="1">
      <alignment vertical="center"/>
    </xf>
    <xf numFmtId="0" fontId="45" fillId="0" borderId="1" xfId="0" applyFont="1" applyFill="1" applyBorder="1" applyAlignment="1">
      <alignment horizontal="justify" vertical="center"/>
    </xf>
    <xf numFmtId="0" fontId="15" fillId="0" borderId="0" xfId="0" applyFont="1" applyFill="1" applyAlignment="1">
      <alignment vertical="top"/>
    </xf>
    <xf numFmtId="0" fontId="30" fillId="0" borderId="5" xfId="0" applyFont="1" applyFill="1" applyBorder="1" applyAlignment="1">
      <alignment horizontal="left" vertical="center" wrapText="1"/>
    </xf>
    <xf numFmtId="0" fontId="45" fillId="0" borderId="1" xfId="0" applyFont="1" applyFill="1" applyBorder="1" applyAlignment="1">
      <alignment horizontal="justify" vertical="center" wrapText="1"/>
    </xf>
    <xf numFmtId="167" fontId="60" fillId="0" borderId="1" xfId="0" applyNumberFormat="1" applyFont="1" applyFill="1" applyBorder="1" applyAlignment="1">
      <alignment horizontal="center" vertical="center"/>
    </xf>
    <xf numFmtId="168" fontId="15" fillId="0" borderId="0" xfId="0" applyNumberFormat="1" applyFont="1" applyFill="1"/>
    <xf numFmtId="0" fontId="63" fillId="0" borderId="0" xfId="0" applyFont="1" applyFill="1"/>
    <xf numFmtId="165" fontId="20" fillId="0" borderId="0" xfId="0" applyNumberFormat="1" applyFont="1" applyFill="1"/>
    <xf numFmtId="165" fontId="43" fillId="0" borderId="0" xfId="0" applyNumberFormat="1" applyFont="1" applyFill="1"/>
    <xf numFmtId="0" fontId="46" fillId="0" borderId="0" xfId="0" applyFont="1" applyFill="1" applyAlignment="1">
      <alignment horizontal="center" vertical="center"/>
    </xf>
    <xf numFmtId="0" fontId="44" fillId="0" borderId="0" xfId="0" applyFont="1" applyFill="1"/>
    <xf numFmtId="0" fontId="0" fillId="0" borderId="0" xfId="0" applyFont="1" applyFill="1"/>
    <xf numFmtId="2" fontId="44" fillId="2" borderId="0" xfId="0" applyNumberFormat="1" applyFont="1" applyFill="1"/>
    <xf numFmtId="0" fontId="44" fillId="2" borderId="0" xfId="0" applyFont="1" applyFill="1" applyAlignment="1">
      <alignment wrapText="1"/>
    </xf>
    <xf numFmtId="2" fontId="44" fillId="2" borderId="0" xfId="0" applyNumberFormat="1" applyFont="1" applyFill="1" applyAlignment="1">
      <alignment wrapText="1"/>
    </xf>
    <xf numFmtId="0" fontId="44" fillId="5" borderId="0" xfId="0" applyFont="1" applyFill="1"/>
    <xf numFmtId="0" fontId="44" fillId="5" borderId="0" xfId="0" applyFont="1" applyFill="1" applyAlignment="1">
      <alignment wrapText="1"/>
    </xf>
    <xf numFmtId="0" fontId="44" fillId="8" borderId="0" xfId="0" applyFont="1" applyFill="1" applyAlignment="1">
      <alignment wrapText="1"/>
    </xf>
    <xf numFmtId="2" fontId="44" fillId="5" borderId="0" xfId="0" applyNumberFormat="1" applyFont="1" applyFill="1" applyAlignment="1">
      <alignment wrapText="1"/>
    </xf>
    <xf numFmtId="2" fontId="0" fillId="12" borderId="0" xfId="0" applyNumberFormat="1" applyFill="1" applyAlignment="1">
      <alignment wrapText="1"/>
    </xf>
    <xf numFmtId="0" fontId="0" fillId="12" borderId="0" xfId="0" applyFill="1" applyAlignment="1">
      <alignment wrapText="1"/>
    </xf>
    <xf numFmtId="0" fontId="35" fillId="2" borderId="1" xfId="0" applyFont="1" applyFill="1" applyBorder="1" applyAlignment="1">
      <alignment horizontal="left" vertical="center" wrapText="1"/>
    </xf>
    <xf numFmtId="0" fontId="35" fillId="2" borderId="1" xfId="0" applyFont="1" applyFill="1" applyBorder="1" applyAlignment="1">
      <alignment vertical="center" wrapText="1"/>
    </xf>
    <xf numFmtId="0" fontId="34"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25" fillId="2" borderId="1" xfId="0" applyFont="1" applyFill="1" applyBorder="1" applyAlignment="1">
      <alignment horizontal="center" vertical="center" textRotation="90"/>
    </xf>
    <xf numFmtId="0" fontId="24" fillId="2" borderId="1" xfId="0" applyFont="1" applyFill="1" applyBorder="1" applyAlignment="1">
      <alignment horizontal="center" vertical="center" textRotation="90" wrapText="1"/>
    </xf>
    <xf numFmtId="171" fontId="71" fillId="2" borderId="1" xfId="5" applyNumberFormat="1" applyFont="1" applyFill="1" applyBorder="1" applyAlignment="1">
      <alignment horizontal="center" vertical="center"/>
    </xf>
    <xf numFmtId="0" fontId="25" fillId="2" borderId="0" xfId="0" applyFont="1" applyFill="1" applyAlignment="1">
      <alignment horizontal="right" vertical="top" wrapText="1"/>
    </xf>
    <xf numFmtId="0" fontId="24" fillId="2" borderId="0" xfId="0" applyFont="1" applyFill="1" applyAlignment="1">
      <alignment horizontal="right" vertical="top" wrapText="1"/>
    </xf>
    <xf numFmtId="0" fontId="24" fillId="0" borderId="0" xfId="0" applyFont="1" applyFill="1" applyAlignment="1">
      <alignment vertical="center"/>
    </xf>
    <xf numFmtId="167" fontId="21" fillId="0" borderId="0" xfId="0" applyNumberFormat="1" applyFont="1" applyFill="1" applyBorder="1" applyAlignment="1">
      <alignment horizontal="center" vertical="center" wrapText="1"/>
    </xf>
    <xf numFmtId="0" fontId="24" fillId="2" borderId="0" xfId="0" applyFont="1" applyFill="1" applyAlignment="1">
      <alignment horizontal="right" wrapText="1"/>
    </xf>
    <xf numFmtId="0" fontId="25" fillId="2" borderId="0" xfId="0" applyFont="1" applyFill="1" applyBorder="1" applyAlignment="1">
      <alignment horizontal="center" vertical="center"/>
    </xf>
    <xf numFmtId="0" fontId="21" fillId="2" borderId="0" xfId="0" applyFont="1" applyFill="1" applyBorder="1" applyAlignment="1">
      <alignment vertical="center" wrapText="1"/>
    </xf>
    <xf numFmtId="166" fontId="25" fillId="2" borderId="3" xfId="5" applyNumberFormat="1" applyFont="1" applyFill="1" applyBorder="1" applyAlignment="1">
      <alignment vertical="center" wrapText="1"/>
    </xf>
    <xf numFmtId="0" fontId="21" fillId="2" borderId="3" xfId="0" applyFont="1" applyFill="1" applyBorder="1" applyAlignment="1">
      <alignment vertical="center"/>
    </xf>
    <xf numFmtId="0" fontId="21" fillId="2" borderId="12" xfId="0" applyFont="1" applyFill="1" applyBorder="1" applyAlignment="1">
      <alignment vertical="center"/>
    </xf>
    <xf numFmtId="165" fontId="28" fillId="2" borderId="0" xfId="0" applyNumberFormat="1" applyFont="1" applyFill="1" applyBorder="1" applyAlignment="1">
      <alignment horizontal="center" vertical="center"/>
    </xf>
    <xf numFmtId="169" fontId="34" fillId="0" borderId="1" xfId="0" applyNumberFormat="1" applyFont="1" applyFill="1" applyBorder="1" applyAlignment="1">
      <alignment horizontal="center" vertical="center" wrapText="1"/>
    </xf>
    <xf numFmtId="0" fontId="35" fillId="2" borderId="1" xfId="0" applyFont="1" applyFill="1" applyBorder="1" applyAlignment="1">
      <alignment horizontal="left" vertical="center" wrapText="1"/>
    </xf>
    <xf numFmtId="171" fontId="71" fillId="8" borderId="1" xfId="5" applyNumberFormat="1" applyFont="1" applyFill="1" applyBorder="1" applyAlignment="1">
      <alignment horizontal="center" vertical="center"/>
    </xf>
    <xf numFmtId="171" fontId="71" fillId="8" borderId="1" xfId="5" applyNumberFormat="1" applyFont="1" applyFill="1" applyBorder="1" applyAlignment="1">
      <alignment vertical="center"/>
    </xf>
    <xf numFmtId="0" fontId="34" fillId="2" borderId="1" xfId="0" applyFont="1" applyFill="1" applyBorder="1" applyAlignment="1">
      <alignment horizontal="center" vertical="center" wrapText="1"/>
    </xf>
    <xf numFmtId="0" fontId="35" fillId="2" borderId="1" xfId="0" applyFont="1" applyFill="1" applyBorder="1" applyAlignment="1">
      <alignment vertical="center" wrapText="1"/>
    </xf>
    <xf numFmtId="0" fontId="34"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171" fontId="71" fillId="8" borderId="13" xfId="5" applyNumberFormat="1"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35" fillId="2" borderId="6" xfId="0" applyFont="1" applyFill="1" applyBorder="1" applyAlignment="1">
      <alignment vertical="center" wrapText="1"/>
    </xf>
    <xf numFmtId="2" fontId="34" fillId="2" borderId="0" xfId="0" applyNumberFormat="1" applyFont="1" applyFill="1" applyBorder="1" applyAlignment="1">
      <alignment horizontal="center" vertical="center" wrapText="1"/>
    </xf>
    <xf numFmtId="0" fontId="21" fillId="0" borderId="0" xfId="0" applyFont="1" applyFill="1" applyAlignment="1">
      <alignment horizontal="left"/>
    </xf>
    <xf numFmtId="0" fontId="24" fillId="0" borderId="0" xfId="0" applyFont="1" applyFill="1" applyAlignment="1">
      <alignment horizontal="left" vertical="center"/>
    </xf>
    <xf numFmtId="0" fontId="24" fillId="0" borderId="1" xfId="0" applyFont="1" applyFill="1" applyBorder="1" applyAlignment="1">
      <alignment horizontal="left" vertical="top" wrapText="1"/>
    </xf>
    <xf numFmtId="167" fontId="24" fillId="0" borderId="4" xfId="0" applyNumberFormat="1" applyFont="1" applyFill="1" applyBorder="1" applyAlignment="1">
      <alignment horizontal="left" vertical="center" wrapText="1"/>
    </xf>
    <xf numFmtId="167" fontId="24" fillId="0" borderId="5" xfId="0" applyNumberFormat="1" applyFont="1" applyFill="1" applyBorder="1" applyAlignment="1">
      <alignment horizontal="left" vertical="center" wrapText="1"/>
    </xf>
    <xf numFmtId="0" fontId="24" fillId="0" borderId="0" xfId="0" applyFont="1" applyFill="1" applyAlignment="1">
      <alignment horizontal="left" vertical="center" wrapText="1"/>
    </xf>
    <xf numFmtId="0" fontId="25" fillId="2" borderId="0" xfId="3" applyFont="1" applyFill="1" applyBorder="1" applyAlignment="1">
      <alignment horizontal="left" vertical="center" wrapText="1"/>
    </xf>
    <xf numFmtId="0" fontId="21" fillId="2" borderId="0" xfId="0" applyFont="1" applyFill="1" applyAlignment="1">
      <alignment horizontal="left"/>
    </xf>
    <xf numFmtId="0" fontId="24" fillId="0" borderId="0"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5" fillId="0" borderId="1" xfId="0" applyFont="1" applyFill="1" applyBorder="1" applyAlignment="1">
      <alignment horizontal="center" vertical="center"/>
    </xf>
    <xf numFmtId="0" fontId="35" fillId="0" borderId="4" xfId="0" applyFont="1" applyFill="1" applyBorder="1" applyAlignment="1">
      <alignment horizontal="center" vertical="center"/>
    </xf>
    <xf numFmtId="1" fontId="0" fillId="2" borderId="0" xfId="0" applyNumberFormat="1" applyFill="1"/>
    <xf numFmtId="0" fontId="0" fillId="2" borderId="0" xfId="0" applyFill="1" applyAlignment="1">
      <alignment wrapText="1"/>
    </xf>
    <xf numFmtId="0" fontId="0" fillId="0" borderId="0" xfId="0" applyAlignment="1">
      <alignment wrapText="1"/>
    </xf>
    <xf numFmtId="2" fontId="0" fillId="2" borderId="0" xfId="0" applyNumberFormat="1" applyFill="1" applyAlignment="1">
      <alignment wrapText="1"/>
    </xf>
    <xf numFmtId="2" fontId="44" fillId="0" borderId="0" xfId="0" applyNumberFormat="1" applyFont="1" applyAlignment="1">
      <alignment wrapText="1"/>
    </xf>
    <xf numFmtId="0" fontId="34" fillId="0" borderId="0" xfId="0" applyFont="1" applyAlignment="1">
      <alignment horizontal="right" vertical="center"/>
    </xf>
    <xf numFmtId="0" fontId="64" fillId="0" borderId="0" xfId="0" applyFont="1" applyAlignment="1">
      <alignment horizontal="right" vertical="center"/>
    </xf>
    <xf numFmtId="2" fontId="64" fillId="0" borderId="0" xfId="0" applyNumberFormat="1" applyFont="1" applyAlignment="1">
      <alignment horizontal="right" vertical="center"/>
    </xf>
    <xf numFmtId="0" fontId="16" fillId="0" borderId="0" xfId="0" applyFont="1"/>
    <xf numFmtId="0" fontId="65" fillId="0" borderId="0" xfId="0" applyFont="1" applyAlignment="1">
      <alignment horizontal="center" vertical="center"/>
    </xf>
    <xf numFmtId="0" fontId="66" fillId="0" borderId="0" xfId="0" applyFont="1" applyAlignment="1">
      <alignment horizontal="center" vertical="center"/>
    </xf>
    <xf numFmtId="2" fontId="66" fillId="0" borderId="0" xfId="0" applyNumberFormat="1" applyFont="1" applyAlignment="1">
      <alignment horizontal="center" vertical="center"/>
    </xf>
    <xf numFmtId="0" fontId="0" fillId="7" borderId="0" xfId="0" applyFill="1"/>
    <xf numFmtId="0" fontId="44" fillId="0" borderId="0" xfId="0" applyFont="1"/>
    <xf numFmtId="4" fontId="0" fillId="0" borderId="0" xfId="0" applyNumberFormat="1"/>
    <xf numFmtId="0" fontId="44" fillId="0" borderId="0" xfId="0" applyFont="1" applyAlignment="1">
      <alignment horizontal="center" vertical="center"/>
    </xf>
    <xf numFmtId="4" fontId="8" fillId="0" borderId="0" xfId="0" applyNumberFormat="1" applyFont="1" applyAlignment="1">
      <alignment horizontal="center" vertical="center"/>
    </xf>
    <xf numFmtId="0" fontId="8" fillId="0" borderId="0" xfId="0" applyFont="1" applyAlignment="1">
      <alignment horizontal="center" vertical="center"/>
    </xf>
    <xf numFmtId="165" fontId="11" fillId="0" borderId="0" xfId="0" applyNumberFormat="1" applyFont="1" applyAlignment="1">
      <alignment horizontal="center" vertical="center"/>
    </xf>
    <xf numFmtId="165" fontId="44" fillId="0" borderId="0" xfId="0" applyNumberFormat="1" applyFont="1"/>
    <xf numFmtId="0" fontId="44" fillId="0" borderId="0" xfId="0" applyFont="1" applyAlignment="1">
      <alignment wrapText="1"/>
    </xf>
    <xf numFmtId="165" fontId="44" fillId="0" borderId="0" xfId="0" applyNumberFormat="1" applyFont="1" applyAlignment="1">
      <alignment wrapText="1"/>
    </xf>
    <xf numFmtId="1" fontId="0" fillId="0" borderId="0" xfId="0" applyNumberFormat="1"/>
    <xf numFmtId="2" fontId="44" fillId="0" borderId="0" xfId="0" applyNumberFormat="1" applyFont="1"/>
    <xf numFmtId="2" fontId="0" fillId="0" borderId="0" xfId="0" applyNumberFormat="1" applyAlignment="1">
      <alignment wrapText="1"/>
    </xf>
    <xf numFmtId="0" fontId="15" fillId="0" borderId="0" xfId="0" applyFont="1" applyAlignment="1">
      <alignment wrapText="1"/>
    </xf>
    <xf numFmtId="2" fontId="15" fillId="0" borderId="0" xfId="0" applyNumberFormat="1" applyFont="1" applyAlignment="1">
      <alignment wrapText="1"/>
    </xf>
    <xf numFmtId="0" fontId="37" fillId="0" borderId="0" xfId="0" applyFont="1" applyAlignment="1">
      <alignment wrapText="1"/>
    </xf>
    <xf numFmtId="0" fontId="15" fillId="0" borderId="0" xfId="0" applyFont="1"/>
    <xf numFmtId="165" fontId="72" fillId="0" borderId="1" xfId="0" applyNumberFormat="1" applyFont="1" applyFill="1" applyBorder="1" applyAlignment="1">
      <alignment horizontal="center" vertical="center"/>
    </xf>
    <xf numFmtId="0" fontId="73" fillId="2" borderId="0" xfId="0" applyFont="1" applyFill="1"/>
    <xf numFmtId="0" fontId="73" fillId="8" borderId="0" xfId="0" applyFont="1" applyFill="1"/>
    <xf numFmtId="0" fontId="65" fillId="2" borderId="1" xfId="0" applyFont="1" applyFill="1" applyBorder="1" applyAlignment="1">
      <alignment horizontal="center" vertical="center" textRotation="90"/>
    </xf>
    <xf numFmtId="0" fontId="74" fillId="2" borderId="1" xfId="0" applyFont="1" applyFill="1" applyBorder="1" applyAlignment="1">
      <alignment horizontal="center" vertical="center" textRotation="90" wrapText="1"/>
    </xf>
    <xf numFmtId="0" fontId="74" fillId="0" borderId="1" xfId="0" applyFont="1" applyFill="1" applyBorder="1" applyAlignment="1">
      <alignment horizontal="center" vertical="center" textRotation="90" wrapText="1"/>
    </xf>
    <xf numFmtId="0" fontId="65" fillId="8" borderId="1" xfId="0" applyFont="1" applyFill="1" applyBorder="1" applyAlignment="1">
      <alignment horizontal="center" vertical="center" textRotation="90"/>
    </xf>
    <xf numFmtId="0" fontId="74" fillId="8" borderId="1" xfId="0" applyFont="1" applyFill="1" applyBorder="1" applyAlignment="1">
      <alignment horizontal="center" vertical="center" textRotation="90" wrapText="1"/>
    </xf>
    <xf numFmtId="0" fontId="75" fillId="2" borderId="0" xfId="0" applyFont="1" applyFill="1" applyAlignment="1">
      <alignment horizontal="center"/>
    </xf>
    <xf numFmtId="0" fontId="75" fillId="8" borderId="0" xfId="0" applyFont="1" applyFill="1" applyAlignment="1">
      <alignment horizontal="center"/>
    </xf>
    <xf numFmtId="0" fontId="76" fillId="2" borderId="0" xfId="0" applyFont="1" applyFill="1"/>
    <xf numFmtId="0" fontId="65" fillId="8" borderId="0" xfId="0" applyFont="1" applyFill="1" applyAlignment="1">
      <alignment horizontal="center"/>
    </xf>
    <xf numFmtId="0" fontId="65" fillId="2" borderId="0" xfId="0" applyFont="1" applyFill="1" applyAlignment="1">
      <alignment horizontal="center"/>
    </xf>
    <xf numFmtId="0" fontId="77" fillId="2" borderId="0" xfId="0" applyFont="1" applyFill="1"/>
    <xf numFmtId="0" fontId="77" fillId="2" borderId="0" xfId="0" applyFont="1" applyFill="1" applyBorder="1"/>
    <xf numFmtId="165" fontId="72" fillId="8" borderId="13" xfId="0" applyNumberFormat="1" applyFont="1" applyFill="1" applyBorder="1" applyAlignment="1">
      <alignment horizontal="center" vertical="center"/>
    </xf>
    <xf numFmtId="165" fontId="72" fillId="8" borderId="1" xfId="0" applyNumberFormat="1" applyFont="1" applyFill="1" applyBorder="1" applyAlignment="1">
      <alignment horizontal="center" vertical="center"/>
    </xf>
    <xf numFmtId="0" fontId="77" fillId="8" borderId="0" xfId="0" applyFont="1" applyFill="1"/>
    <xf numFmtId="168" fontId="73" fillId="2" borderId="0" xfId="0" applyNumberFormat="1" applyFont="1" applyFill="1"/>
    <xf numFmtId="0" fontId="78" fillId="2" borderId="0" xfId="0" applyFont="1" applyFill="1"/>
    <xf numFmtId="0" fontId="79" fillId="2" borderId="0" xfId="0" applyFont="1" applyFill="1"/>
    <xf numFmtId="0" fontId="80" fillId="2" borderId="0" xfId="0" applyFont="1" applyFill="1"/>
    <xf numFmtId="171" fontId="82" fillId="2" borderId="1" xfId="5" applyNumberFormat="1" applyFont="1" applyFill="1" applyBorder="1" applyAlignment="1">
      <alignment horizontal="center" vertical="center"/>
    </xf>
    <xf numFmtId="171" fontId="82" fillId="8" borderId="1" xfId="5" applyNumberFormat="1" applyFont="1" applyFill="1" applyBorder="1" applyAlignment="1">
      <alignment horizontal="center" vertical="center"/>
    </xf>
    <xf numFmtId="0" fontId="83" fillId="2" borderId="0" xfId="0" applyFont="1" applyFill="1"/>
    <xf numFmtId="0" fontId="84" fillId="2" borderId="0" xfId="0" applyFont="1" applyFill="1"/>
    <xf numFmtId="0" fontId="85" fillId="2" borderId="0" xfId="0" applyFont="1" applyFill="1"/>
    <xf numFmtId="0" fontId="81" fillId="0" borderId="5" xfId="0" applyFont="1" applyFill="1" applyBorder="1" applyAlignment="1">
      <alignment horizontal="left" vertical="center" wrapText="1"/>
    </xf>
    <xf numFmtId="0" fontId="84" fillId="0" borderId="0" xfId="0" applyFont="1" applyFill="1"/>
    <xf numFmtId="0" fontId="88" fillId="2" borderId="0" xfId="0" applyFont="1" applyFill="1"/>
    <xf numFmtId="0" fontId="89" fillId="2" borderId="0" xfId="0" applyFont="1" applyFill="1"/>
    <xf numFmtId="0" fontId="4" fillId="0" borderId="1"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58" fillId="0" borderId="5" xfId="0"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4" fillId="0" borderId="6" xfId="0" applyFont="1" applyFill="1" applyBorder="1" applyAlignment="1">
      <alignment vertical="center" wrapText="1" shrinkToFit="1"/>
    </xf>
    <xf numFmtId="0" fontId="45" fillId="0" borderId="6" xfId="0" applyNumberFormat="1" applyFont="1" applyFill="1" applyBorder="1" applyAlignment="1">
      <alignment horizontal="left" vertical="center" wrapText="1"/>
    </xf>
    <xf numFmtId="0" fontId="45" fillId="0" borderId="5" xfId="0" applyNumberFormat="1" applyFont="1" applyFill="1" applyBorder="1" applyAlignment="1">
      <alignment horizontal="left" vertical="center" wrapText="1"/>
    </xf>
    <xf numFmtId="0" fontId="45"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0" fillId="0" borderId="6" xfId="0" applyFont="1" applyFill="1" applyBorder="1" applyAlignment="1">
      <alignment horizontal="left" vertical="center" wrapText="1"/>
    </xf>
    <xf numFmtId="0" fontId="42" fillId="0" borderId="1" xfId="0" applyFont="1" applyFill="1" applyBorder="1" applyAlignment="1">
      <alignment horizontal="left" vertical="center" wrapText="1"/>
    </xf>
    <xf numFmtId="167" fontId="44" fillId="2" borderId="0" xfId="0" applyNumberFormat="1" applyFont="1" applyFill="1"/>
    <xf numFmtId="167" fontId="64" fillId="0" borderId="0" xfId="0" applyNumberFormat="1" applyFont="1" applyAlignment="1">
      <alignment horizontal="right" vertical="center"/>
    </xf>
    <xf numFmtId="167" fontId="66" fillId="0" borderId="0" xfId="0" applyNumberFormat="1" applyFont="1" applyAlignment="1">
      <alignment horizontal="center" vertical="center"/>
    </xf>
    <xf numFmtId="167" fontId="44" fillId="0" borderId="0" xfId="0" applyNumberFormat="1" applyFont="1"/>
    <xf numFmtId="167" fontId="17" fillId="0" borderId="0" xfId="0" applyNumberFormat="1" applyFont="1"/>
    <xf numFmtId="167" fontId="0" fillId="0" borderId="0" xfId="0" applyNumberFormat="1"/>
    <xf numFmtId="167" fontId="44" fillId="5" borderId="0" xfId="0" applyNumberFormat="1" applyFont="1" applyFill="1"/>
    <xf numFmtId="165" fontId="44" fillId="5" borderId="0" xfId="0" applyNumberFormat="1" applyFont="1" applyFill="1"/>
    <xf numFmtId="165" fontId="0" fillId="0" borderId="0" xfId="0" applyNumberFormat="1"/>
    <xf numFmtId="165" fontId="0" fillId="0" borderId="0" xfId="0" applyNumberFormat="1" applyAlignment="1">
      <alignment horizontal="center" vertical="center"/>
    </xf>
    <xf numFmtId="165" fontId="44" fillId="8" borderId="0" xfId="0" applyNumberFormat="1" applyFont="1" applyFill="1"/>
    <xf numFmtId="165" fontId="0" fillId="6" borderId="0" xfId="0" applyNumberFormat="1" applyFill="1"/>
    <xf numFmtId="165" fontId="67" fillId="0" borderId="0" xfId="0" applyNumberFormat="1" applyFont="1"/>
    <xf numFmtId="165" fontId="67" fillId="5" borderId="0" xfId="0" applyNumberFormat="1" applyFont="1" applyFill="1"/>
    <xf numFmtId="165" fontId="0" fillId="7" borderId="0" xfId="0" applyNumberFormat="1" applyFill="1"/>
    <xf numFmtId="165" fontId="68" fillId="0" borderId="0" xfId="0" applyNumberFormat="1" applyFont="1"/>
    <xf numFmtId="165" fontId="68" fillId="5" borderId="0" xfId="0" applyNumberFormat="1" applyFont="1" applyFill="1"/>
    <xf numFmtId="165" fontId="44" fillId="0" borderId="0" xfId="0" applyNumberFormat="1" applyFont="1" applyAlignment="1">
      <alignment horizontal="center" vertical="center"/>
    </xf>
    <xf numFmtId="165" fontId="44" fillId="7" borderId="0" xfId="0" applyNumberFormat="1" applyFont="1" applyFill="1" applyAlignment="1">
      <alignment horizontal="center" vertical="center"/>
    </xf>
    <xf numFmtId="165" fontId="90" fillId="0" borderId="0" xfId="0" applyNumberFormat="1" applyFont="1" applyAlignment="1">
      <alignment horizontal="center" vertical="center"/>
    </xf>
    <xf numFmtId="165" fontId="44" fillId="6" borderId="0" xfId="0" applyNumberFormat="1" applyFont="1" applyFill="1" applyAlignment="1">
      <alignment horizontal="center" vertical="center"/>
    </xf>
    <xf numFmtId="165" fontId="4" fillId="0" borderId="1" xfId="9" applyNumberFormat="1" applyFont="1" applyBorder="1" applyAlignment="1">
      <alignment horizontal="center" vertical="center"/>
    </xf>
    <xf numFmtId="165" fontId="4" fillId="6" borderId="1" xfId="9" applyNumberFormat="1" applyFont="1" applyFill="1" applyBorder="1" applyAlignment="1">
      <alignment horizontal="center" vertical="center"/>
    </xf>
    <xf numFmtId="165" fontId="67" fillId="0" borderId="0" xfId="0" applyNumberFormat="1" applyFont="1" applyAlignment="1">
      <alignment horizontal="center" vertical="center"/>
    </xf>
    <xf numFmtId="165" fontId="67" fillId="5" borderId="0" xfId="0" applyNumberFormat="1" applyFont="1" applyFill="1" applyAlignment="1">
      <alignment horizontal="center" vertical="center"/>
    </xf>
    <xf numFmtId="165" fontId="44" fillId="5" borderId="0" xfId="0" applyNumberFormat="1" applyFont="1" applyFill="1" applyAlignment="1">
      <alignment horizontal="center" vertical="center"/>
    </xf>
    <xf numFmtId="165" fontId="0" fillId="0" borderId="12" xfId="0" applyNumberFormat="1" applyBorder="1" applyAlignment="1">
      <alignment horizontal="center" vertical="center"/>
    </xf>
    <xf numFmtId="165" fontId="8" fillId="0" borderId="0" xfId="0" applyNumberFormat="1" applyFont="1" applyAlignment="1">
      <alignment horizontal="center" vertical="center"/>
    </xf>
    <xf numFmtId="165" fontId="8" fillId="7" borderId="0" xfId="0" applyNumberFormat="1" applyFont="1" applyFill="1" applyAlignment="1">
      <alignment horizontal="center" vertical="center"/>
    </xf>
    <xf numFmtId="165" fontId="67" fillId="11" borderId="0" xfId="0" applyNumberFormat="1" applyFont="1" applyFill="1" applyAlignment="1">
      <alignment horizontal="center" vertical="center"/>
    </xf>
    <xf numFmtId="165" fontId="0" fillId="11" borderId="0" xfId="0" applyNumberFormat="1" applyFill="1" applyAlignment="1">
      <alignment horizontal="center" vertical="center"/>
    </xf>
    <xf numFmtId="165" fontId="70" fillId="0" borderId="0" xfId="0" applyNumberFormat="1" applyFont="1" applyAlignment="1">
      <alignment horizontal="center" vertical="center"/>
    </xf>
    <xf numFmtId="165" fontId="70" fillId="11" borderId="0" xfId="0" applyNumberFormat="1" applyFont="1" applyFill="1" applyAlignment="1">
      <alignment horizontal="center" vertical="center"/>
    </xf>
    <xf numFmtId="165" fontId="89" fillId="0" borderId="0" xfId="0" applyNumberFormat="1" applyFont="1" applyAlignment="1">
      <alignment horizontal="center" vertical="center"/>
    </xf>
    <xf numFmtId="165" fontId="89" fillId="11" borderId="0" xfId="0" applyNumberFormat="1" applyFont="1" applyFill="1" applyAlignment="1">
      <alignment horizontal="center" vertical="center"/>
    </xf>
    <xf numFmtId="165" fontId="67" fillId="6" borderId="0" xfId="0" applyNumberFormat="1" applyFont="1" applyFill="1" applyAlignment="1">
      <alignment horizontal="center" vertical="center"/>
    </xf>
    <xf numFmtId="165" fontId="11" fillId="7" borderId="0" xfId="0" applyNumberFormat="1" applyFont="1" applyFill="1" applyAlignment="1">
      <alignment horizontal="center" vertical="center"/>
    </xf>
    <xf numFmtId="165" fontId="69" fillId="0" borderId="0" xfId="0" applyNumberFormat="1" applyFont="1" applyAlignment="1">
      <alignment horizontal="center" vertical="center"/>
    </xf>
    <xf numFmtId="165" fontId="41" fillId="0" borderId="1" xfId="0" applyNumberFormat="1" applyFont="1" applyBorder="1" applyAlignment="1">
      <alignment horizontal="left" vertical="center" wrapText="1"/>
    </xf>
    <xf numFmtId="165" fontId="5" fillId="5" borderId="1" xfId="0" applyNumberFormat="1" applyFont="1" applyFill="1" applyBorder="1" applyAlignment="1">
      <alignment horizontal="center" vertical="center" shrinkToFit="1"/>
    </xf>
    <xf numFmtId="165" fontId="5" fillId="6" borderId="1" xfId="0" applyNumberFormat="1" applyFont="1" applyFill="1" applyBorder="1" applyAlignment="1">
      <alignment horizontal="center" vertical="center" shrinkToFit="1"/>
    </xf>
    <xf numFmtId="165" fontId="8" fillId="0" borderId="0" xfId="0" applyNumberFormat="1" applyFont="1"/>
    <xf numFmtId="165" fontId="5" fillId="6" borderId="1" xfId="0" applyNumberFormat="1" applyFont="1" applyFill="1" applyBorder="1" applyAlignment="1">
      <alignment horizontal="left" vertical="center" wrapText="1" shrinkToFit="1"/>
    </xf>
    <xf numFmtId="165" fontId="4" fillId="0" borderId="1" xfId="0" applyNumberFormat="1" applyFont="1" applyBorder="1" applyAlignment="1">
      <alignment horizontal="center" vertical="center" shrinkToFit="1"/>
    </xf>
    <xf numFmtId="165" fontId="4" fillId="0" borderId="1" xfId="0" applyNumberFormat="1" applyFont="1" applyBorder="1" applyAlignment="1">
      <alignment horizontal="left" vertical="center" wrapText="1" shrinkToFit="1"/>
    </xf>
    <xf numFmtId="165" fontId="4" fillId="0" borderId="1" xfId="0" applyNumberFormat="1" applyFont="1" applyBorder="1" applyAlignment="1">
      <alignment horizontal="center" vertical="center" wrapText="1" shrinkToFit="1"/>
    </xf>
    <xf numFmtId="165" fontId="4" fillId="5" borderId="1" xfId="0" applyNumberFormat="1" applyFont="1" applyFill="1" applyBorder="1" applyAlignment="1">
      <alignment horizontal="center" vertical="center" shrinkToFit="1"/>
    </xf>
    <xf numFmtId="165" fontId="4" fillId="6" borderId="1" xfId="0" applyNumberFormat="1" applyFont="1" applyFill="1" applyBorder="1" applyAlignment="1">
      <alignment horizontal="center" vertical="center" shrinkToFit="1"/>
    </xf>
    <xf numFmtId="165" fontId="9" fillId="0" borderId="0" xfId="0" applyNumberFormat="1" applyFont="1"/>
    <xf numFmtId="165" fontId="4" fillId="5" borderId="1" xfId="0" applyNumberFormat="1" applyFont="1" applyFill="1" applyBorder="1" applyAlignment="1">
      <alignment horizontal="center" vertical="center" wrapText="1" shrinkToFit="1"/>
    </xf>
    <xf numFmtId="165" fontId="5" fillId="5" borderId="1" xfId="0" applyNumberFormat="1" applyFont="1" applyFill="1" applyBorder="1" applyAlignment="1">
      <alignment horizontal="center" vertical="center"/>
    </xf>
    <xf numFmtId="165" fontId="5" fillId="6"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shrinkToFit="1"/>
    </xf>
    <xf numFmtId="165" fontId="4" fillId="0" borderId="1" xfId="0" applyNumberFormat="1" applyFont="1" applyBorder="1" applyAlignment="1">
      <alignment horizontal="center" vertical="center"/>
    </xf>
    <xf numFmtId="165" fontId="4" fillId="6" borderId="1" xfId="0" applyNumberFormat="1" applyFont="1" applyFill="1" applyBorder="1" applyAlignment="1">
      <alignment horizontal="center" vertical="center" wrapText="1" shrinkToFit="1"/>
    </xf>
    <xf numFmtId="165" fontId="4" fillId="5"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4" fillId="6" borderId="1" xfId="0" applyNumberFormat="1" applyFont="1" applyFill="1" applyBorder="1" applyAlignment="1">
      <alignment horizontal="center" vertical="center" wrapText="1"/>
    </xf>
    <xf numFmtId="165" fontId="9" fillId="0" borderId="0" xfId="0" applyNumberFormat="1" applyFont="1" applyAlignment="1">
      <alignment horizontal="center" vertical="center"/>
    </xf>
    <xf numFmtId="165" fontId="5" fillId="0" borderId="1" xfId="0" applyNumberFormat="1" applyFont="1" applyBorder="1" applyAlignment="1">
      <alignment horizontal="center" vertical="center" wrapText="1" shrinkToFit="1"/>
    </xf>
    <xf numFmtId="165" fontId="4" fillId="5" borderId="1" xfId="0" applyNumberFormat="1" applyFont="1" applyFill="1" applyBorder="1" applyAlignment="1">
      <alignment horizontal="center" vertical="center"/>
    </xf>
    <xf numFmtId="165" fontId="5" fillId="5" borderId="1" xfId="0" applyNumberFormat="1" applyFont="1" applyFill="1" applyBorder="1" applyAlignment="1">
      <alignment horizontal="left" vertical="top" wrapText="1" shrinkToFit="1"/>
    </xf>
    <xf numFmtId="165" fontId="4" fillId="0" borderId="1" xfId="0" applyNumberFormat="1" applyFont="1" applyBorder="1" applyAlignment="1">
      <alignment horizontal="left" vertical="center" wrapText="1"/>
    </xf>
    <xf numFmtId="165" fontId="4" fillId="2" borderId="1" xfId="0" applyNumberFormat="1" applyFont="1" applyFill="1" applyBorder="1" applyAlignment="1">
      <alignment horizontal="left" vertical="center" wrapText="1" shrinkToFit="1"/>
    </xf>
    <xf numFmtId="165" fontId="4" fillId="2" borderId="1" xfId="0" applyNumberFormat="1" applyFont="1" applyFill="1" applyBorder="1" applyAlignment="1">
      <alignment horizontal="center" vertical="center" shrinkToFit="1"/>
    </xf>
    <xf numFmtId="165" fontId="4" fillId="5" borderId="1" xfId="0" applyNumberFormat="1" applyFont="1" applyFill="1" applyBorder="1" applyAlignment="1">
      <alignment horizontal="left" vertical="center" wrapText="1" shrinkToFit="1"/>
    </xf>
    <xf numFmtId="165" fontId="93" fillId="5" borderId="1" xfId="0" applyNumberFormat="1" applyFont="1" applyFill="1" applyBorder="1" applyAlignment="1">
      <alignment horizontal="center" vertical="center" wrapText="1" shrinkToFit="1"/>
    </xf>
    <xf numFmtId="165" fontId="93" fillId="5" borderId="1" xfId="0" applyNumberFormat="1" applyFont="1" applyFill="1" applyBorder="1" applyAlignment="1">
      <alignment horizontal="left" vertical="center" wrapText="1" shrinkToFit="1"/>
    </xf>
    <xf numFmtId="165" fontId="94" fillId="0" borderId="0" xfId="0" applyNumberFormat="1" applyFont="1"/>
    <xf numFmtId="165" fontId="13" fillId="5" borderId="1" xfId="0" applyNumberFormat="1" applyFont="1" applyFill="1" applyBorder="1" applyAlignment="1">
      <alignment horizontal="center" vertical="center" wrapText="1" shrinkToFit="1"/>
    </xf>
    <xf numFmtId="165" fontId="93" fillId="6" borderId="1" xfId="0" applyNumberFormat="1" applyFont="1" applyFill="1" applyBorder="1" applyAlignment="1">
      <alignment horizontal="center" vertical="center" wrapText="1" shrinkToFit="1"/>
    </xf>
    <xf numFmtId="165" fontId="95" fillId="0" borderId="0" xfId="0" applyNumberFormat="1" applyFont="1"/>
    <xf numFmtId="165" fontId="4" fillId="0" borderId="1" xfId="9" applyNumberFormat="1" applyFont="1" applyBorder="1" applyAlignment="1">
      <alignment horizontal="center" vertical="center" wrapText="1"/>
    </xf>
    <xf numFmtId="165" fontId="4" fillId="0" borderId="1" xfId="9" applyNumberFormat="1" applyFont="1" applyBorder="1" applyAlignment="1">
      <alignment horizontal="left" vertical="center" wrapText="1"/>
    </xf>
    <xf numFmtId="165" fontId="4" fillId="6" borderId="1" xfId="9" applyNumberFormat="1" applyFont="1" applyFill="1" applyBorder="1" applyAlignment="1">
      <alignment horizontal="center" vertical="center" wrapText="1"/>
    </xf>
    <xf numFmtId="165" fontId="96" fillId="0" borderId="0" xfId="0" applyNumberFormat="1" applyFont="1" applyAlignment="1">
      <alignment horizontal="center" vertical="center"/>
    </xf>
    <xf numFmtId="165" fontId="5" fillId="6" borderId="1" xfId="9" applyNumberFormat="1" applyFont="1" applyFill="1" applyBorder="1" applyAlignment="1">
      <alignment horizontal="left" vertical="center" wrapText="1"/>
    </xf>
    <xf numFmtId="165" fontId="4" fillId="5" borderId="1" xfId="9" applyNumberFormat="1" applyFont="1" applyFill="1" applyBorder="1" applyAlignment="1">
      <alignment horizontal="center" vertical="center" wrapText="1"/>
    </xf>
    <xf numFmtId="165" fontId="4" fillId="5" borderId="1" xfId="9" applyNumberFormat="1" applyFont="1" applyFill="1" applyBorder="1" applyAlignment="1">
      <alignment horizontal="center" vertical="center"/>
    </xf>
    <xf numFmtId="165" fontId="93" fillId="5" borderId="1" xfId="0" applyNumberFormat="1" applyFont="1" applyFill="1" applyBorder="1" applyAlignment="1">
      <alignment horizontal="center" vertical="center"/>
    </xf>
    <xf numFmtId="165" fontId="93" fillId="5" borderId="1" xfId="9" applyNumberFormat="1" applyFont="1" applyFill="1" applyBorder="1" applyAlignment="1">
      <alignment horizontal="left" vertical="center" wrapText="1"/>
    </xf>
    <xf numFmtId="165" fontId="93" fillId="5" borderId="1" xfId="9" applyNumberFormat="1" applyFont="1" applyFill="1" applyBorder="1" applyAlignment="1">
      <alignment horizontal="center" vertical="center" wrapText="1"/>
    </xf>
    <xf numFmtId="165" fontId="94" fillId="0" borderId="0" xfId="0" applyNumberFormat="1" applyFont="1" applyAlignment="1">
      <alignment horizontal="center" vertical="center"/>
    </xf>
    <xf numFmtId="165" fontId="4" fillId="9" borderId="1" xfId="0" applyNumberFormat="1" applyFont="1" applyFill="1" applyBorder="1" applyAlignment="1">
      <alignment horizontal="center" vertical="center" wrapText="1"/>
    </xf>
    <xf numFmtId="165" fontId="4" fillId="9" borderId="1" xfId="0" applyNumberFormat="1" applyFont="1" applyFill="1" applyBorder="1" applyAlignment="1">
      <alignment horizontal="left" vertical="center" wrapText="1"/>
    </xf>
    <xf numFmtId="165" fontId="4" fillId="0" borderId="1" xfId="10" applyNumberFormat="1" applyFont="1" applyBorder="1" applyAlignment="1">
      <alignment horizontal="center" vertical="center" wrapText="1"/>
    </xf>
    <xf numFmtId="165" fontId="4" fillId="9" borderId="1" xfId="8" applyNumberFormat="1" applyFont="1" applyFill="1" applyBorder="1" applyAlignment="1">
      <alignment horizontal="center" vertical="center" wrapText="1"/>
    </xf>
    <xf numFmtId="165" fontId="4" fillId="9" borderId="1" xfId="8" applyNumberFormat="1" applyFont="1" applyFill="1" applyBorder="1" applyAlignment="1">
      <alignment horizontal="left" vertical="center" wrapText="1"/>
    </xf>
    <xf numFmtId="165" fontId="4" fillId="0" borderId="1" xfId="9" applyNumberFormat="1" applyFont="1" applyBorder="1" applyAlignment="1">
      <alignment vertical="center" wrapText="1"/>
    </xf>
    <xf numFmtId="165" fontId="4" fillId="0" borderId="5" xfId="0" applyNumberFormat="1" applyFont="1" applyBorder="1" applyAlignment="1">
      <alignment horizontal="center" vertical="center"/>
    </xf>
    <xf numFmtId="165" fontId="4" fillId="0" borderId="5" xfId="9" applyNumberFormat="1" applyFont="1" applyBorder="1" applyAlignment="1">
      <alignment horizontal="left" vertical="center" wrapText="1"/>
    </xf>
    <xf numFmtId="165" fontId="4" fillId="0" borderId="5" xfId="9"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shrinkToFit="1"/>
    </xf>
    <xf numFmtId="165" fontId="4" fillId="5" borderId="5" xfId="0" applyNumberFormat="1" applyFont="1" applyFill="1" applyBorder="1" applyAlignment="1">
      <alignment horizontal="center" vertical="center" wrapText="1" shrinkToFit="1"/>
    </xf>
    <xf numFmtId="165" fontId="4" fillId="5" borderId="5" xfId="9" applyNumberFormat="1" applyFont="1" applyFill="1" applyBorder="1" applyAlignment="1">
      <alignment horizontal="center" vertical="center" wrapText="1"/>
    </xf>
    <xf numFmtId="165" fontId="4" fillId="6" borderId="5" xfId="9" applyNumberFormat="1" applyFont="1" applyFill="1" applyBorder="1" applyAlignment="1">
      <alignment horizontal="center" vertical="center"/>
    </xf>
    <xf numFmtId="165" fontId="4" fillId="5" borderId="5" xfId="9" applyNumberFormat="1" applyFont="1" applyFill="1" applyBorder="1" applyAlignment="1">
      <alignment horizontal="center" vertical="center"/>
    </xf>
    <xf numFmtId="165" fontId="4" fillId="0" borderId="5" xfId="9" applyNumberFormat="1" applyFont="1" applyBorder="1" applyAlignment="1">
      <alignment horizontal="center" vertical="center"/>
    </xf>
    <xf numFmtId="165" fontId="4" fillId="5" borderId="12" xfId="0" applyNumberFormat="1" applyFont="1" applyFill="1" applyBorder="1" applyAlignment="1">
      <alignment horizontal="center" vertical="center" wrapText="1" shrinkToFit="1"/>
    </xf>
    <xf numFmtId="165" fontId="93" fillId="8" borderId="1" xfId="9" applyNumberFormat="1" applyFont="1" applyFill="1" applyBorder="1" applyAlignment="1">
      <alignment horizontal="center" vertical="center" wrapText="1"/>
    </xf>
    <xf numFmtId="165" fontId="4" fillId="8" borderId="1" xfId="9" applyNumberFormat="1" applyFont="1" applyFill="1" applyBorder="1" applyAlignment="1">
      <alignment horizontal="center" vertical="center"/>
    </xf>
    <xf numFmtId="165" fontId="97" fillId="0" borderId="0" xfId="0" applyNumberFormat="1" applyFont="1" applyAlignment="1">
      <alignment horizontal="center" vertical="center"/>
    </xf>
    <xf numFmtId="165" fontId="98" fillId="0" borderId="0" xfId="0" applyNumberFormat="1" applyFont="1" applyAlignment="1">
      <alignment horizontal="center" vertical="center"/>
    </xf>
    <xf numFmtId="165" fontId="4" fillId="6" borderId="1" xfId="0" applyNumberFormat="1" applyFont="1" applyFill="1" applyBorder="1" applyAlignment="1">
      <alignment horizontal="center" vertical="center"/>
    </xf>
    <xf numFmtId="165" fontId="93" fillId="6" borderId="1" xfId="9" applyNumberFormat="1" applyFont="1" applyFill="1" applyBorder="1" applyAlignment="1">
      <alignment horizontal="left" vertical="center" wrapText="1"/>
    </xf>
    <xf numFmtId="165" fontId="93" fillId="6" borderId="1" xfId="9"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xf>
    <xf numFmtId="165" fontId="5" fillId="7" borderId="1" xfId="9" applyNumberFormat="1" applyFont="1" applyFill="1" applyBorder="1" applyAlignment="1">
      <alignment horizontal="left" vertical="center" wrapText="1"/>
    </xf>
    <xf numFmtId="165" fontId="5" fillId="7" borderId="1" xfId="9" applyNumberFormat="1" applyFont="1" applyFill="1" applyBorder="1" applyAlignment="1">
      <alignment horizontal="center" vertical="center"/>
    </xf>
    <xf numFmtId="165" fontId="5" fillId="7" borderId="1" xfId="9" applyNumberFormat="1" applyFont="1" applyFill="1" applyBorder="1" applyAlignment="1">
      <alignment horizontal="center" vertical="center" wrapText="1"/>
    </xf>
    <xf numFmtId="165" fontId="5" fillId="0" borderId="1" xfId="0" applyNumberFormat="1" applyFont="1" applyBorder="1" applyAlignment="1">
      <alignment horizontal="center" vertical="center"/>
    </xf>
    <xf numFmtId="165" fontId="5" fillId="0" borderId="1" xfId="9" applyNumberFormat="1" applyFont="1" applyBorder="1" applyAlignment="1">
      <alignment horizontal="center" vertical="center"/>
    </xf>
    <xf numFmtId="165" fontId="5" fillId="0" borderId="1" xfId="9" applyNumberFormat="1" applyFont="1" applyBorder="1" applyAlignment="1">
      <alignment horizontal="center" vertical="center" wrapText="1"/>
    </xf>
    <xf numFmtId="165" fontId="99" fillId="0" borderId="0" xfId="0" applyNumberFormat="1" applyFont="1" applyAlignment="1">
      <alignment horizontal="center" vertical="center"/>
    </xf>
    <xf numFmtId="1" fontId="8" fillId="0" borderId="0" xfId="0" applyNumberFormat="1" applyFont="1" applyAlignment="1">
      <alignment horizontal="center" vertical="center"/>
    </xf>
    <xf numFmtId="2" fontId="8" fillId="0" borderId="0" xfId="0" applyNumberFormat="1" applyFont="1" applyAlignment="1">
      <alignment horizontal="center" vertical="center"/>
    </xf>
    <xf numFmtId="0" fontId="20" fillId="0" borderId="0" xfId="0" applyFont="1" applyAlignment="1">
      <alignment horizontal="center" vertical="center"/>
    </xf>
    <xf numFmtId="0" fontId="9" fillId="0" borderId="0" xfId="0" applyFont="1" applyAlignment="1">
      <alignment horizontal="center" vertical="center"/>
    </xf>
    <xf numFmtId="0" fontId="100" fillId="0" borderId="0" xfId="0" applyFont="1" applyAlignment="1">
      <alignment horizontal="center" vertical="center"/>
    </xf>
    <xf numFmtId="0" fontId="4" fillId="0" borderId="0" xfId="0" applyFont="1" applyAlignment="1">
      <alignment horizontal="center" vertical="center"/>
    </xf>
    <xf numFmtId="2" fontId="4" fillId="0" borderId="1" xfId="0" applyNumberFormat="1" applyFont="1" applyBorder="1" applyAlignment="1">
      <alignment horizontal="center" vertical="center" wrapText="1"/>
    </xf>
    <xf numFmtId="167" fontId="4" fillId="5"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shrinkToFi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shrinkToFit="1"/>
    </xf>
    <xf numFmtId="1" fontId="4" fillId="0" borderId="1" xfId="0" applyNumberFormat="1" applyFont="1" applyBorder="1" applyAlignment="1">
      <alignment horizontal="center" vertical="center" wrapText="1" shrinkToFit="1"/>
    </xf>
    <xf numFmtId="1" fontId="4" fillId="5"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shrinkToFit="1"/>
    </xf>
    <xf numFmtId="1" fontId="4" fillId="5" borderId="1" xfId="0" applyNumberFormat="1" applyFont="1" applyFill="1" applyBorder="1" applyAlignment="1">
      <alignment horizontal="center" vertical="center" shrinkToFit="1"/>
    </xf>
    <xf numFmtId="1" fontId="4" fillId="6" borderId="1" xfId="0" applyNumberFormat="1" applyFont="1" applyFill="1" applyBorder="1" applyAlignment="1">
      <alignment horizontal="center" vertical="center" shrinkToFit="1"/>
    </xf>
    <xf numFmtId="0" fontId="20" fillId="0" borderId="0" xfId="0" applyFont="1"/>
    <xf numFmtId="0" fontId="9" fillId="0" borderId="0" xfId="0" applyFont="1"/>
    <xf numFmtId="165" fontId="4" fillId="0" borderId="1" xfId="0" applyNumberFormat="1" applyFont="1" applyFill="1" applyBorder="1" applyAlignment="1">
      <alignment horizontal="center" vertical="center"/>
    </xf>
    <xf numFmtId="165" fontId="4" fillId="0" borderId="1" xfId="9" applyNumberFormat="1" applyFont="1" applyFill="1" applyBorder="1" applyAlignment="1">
      <alignment horizontal="left" vertical="center" wrapText="1"/>
    </xf>
    <xf numFmtId="165" fontId="4" fillId="0" borderId="1" xfId="9"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shrinkToFit="1"/>
    </xf>
    <xf numFmtId="165" fontId="4" fillId="0" borderId="1" xfId="9" applyNumberFormat="1" applyFont="1" applyFill="1" applyBorder="1" applyAlignment="1">
      <alignment horizontal="center" vertical="center"/>
    </xf>
    <xf numFmtId="165" fontId="8" fillId="0" borderId="0" xfId="0" applyNumberFormat="1" applyFont="1" applyFill="1" applyAlignment="1">
      <alignment horizontal="center" vertical="center"/>
    </xf>
    <xf numFmtId="165" fontId="44" fillId="0" borderId="0" xfId="0" applyNumberFormat="1" applyFont="1" applyFill="1" applyAlignment="1">
      <alignment horizontal="center" vertical="center"/>
    </xf>
    <xf numFmtId="165" fontId="4" fillId="0" borderId="1" xfId="0" applyNumberFormat="1" applyFont="1" applyFill="1" applyBorder="1" applyAlignment="1">
      <alignment horizontal="left" vertical="center" wrapText="1"/>
    </xf>
    <xf numFmtId="165" fontId="5" fillId="0" borderId="1" xfId="0" applyNumberFormat="1" applyFont="1" applyFill="1" applyBorder="1" applyAlignment="1">
      <alignment horizontal="center" vertical="center"/>
    </xf>
    <xf numFmtId="165" fontId="5" fillId="0" borderId="1" xfId="9" applyNumberFormat="1" applyFont="1" applyFill="1" applyBorder="1" applyAlignment="1">
      <alignment horizontal="left" vertical="center" wrapText="1"/>
    </xf>
    <xf numFmtId="165" fontId="5" fillId="0" borderId="1" xfId="0" applyNumberFormat="1" applyFont="1" applyFill="1" applyBorder="1" applyAlignment="1">
      <alignment horizontal="center" vertical="center" wrapText="1" shrinkToFit="1"/>
    </xf>
    <xf numFmtId="165" fontId="93" fillId="0" borderId="1" xfId="9" applyNumberFormat="1" applyFont="1" applyFill="1" applyBorder="1" applyAlignment="1">
      <alignment horizontal="left" vertical="center" wrapText="1"/>
    </xf>
    <xf numFmtId="165" fontId="93" fillId="0" borderId="1" xfId="9" applyNumberFormat="1" applyFont="1" applyFill="1" applyBorder="1" applyAlignment="1">
      <alignment horizontal="center" vertical="center" wrapText="1"/>
    </xf>
    <xf numFmtId="165" fontId="94" fillId="0" borderId="0" xfId="0" applyNumberFormat="1" applyFont="1" applyFill="1" applyAlignment="1">
      <alignment horizontal="center" vertical="center"/>
    </xf>
    <xf numFmtId="165" fontId="67" fillId="0" borderId="0" xfId="0" applyNumberFormat="1" applyFont="1" applyFill="1" applyAlignment="1">
      <alignment horizontal="center" vertical="center"/>
    </xf>
    <xf numFmtId="165" fontId="93" fillId="0" borderId="1" xfId="0" applyNumberFormat="1" applyFont="1" applyFill="1" applyBorder="1" applyAlignment="1">
      <alignment horizontal="center" vertical="center" wrapText="1" shrinkToFit="1"/>
    </xf>
    <xf numFmtId="165" fontId="93" fillId="0" borderId="1" xfId="0" applyNumberFormat="1" applyFont="1" applyFill="1" applyBorder="1" applyAlignment="1">
      <alignment horizontal="left" vertical="center" wrapText="1" shrinkToFit="1"/>
    </xf>
    <xf numFmtId="165" fontId="94" fillId="0" borderId="0" xfId="0" applyNumberFormat="1" applyFont="1" applyFill="1"/>
    <xf numFmtId="165" fontId="67" fillId="0" borderId="0" xfId="0" applyNumberFormat="1" applyFont="1" applyFill="1"/>
    <xf numFmtId="168" fontId="4" fillId="0" borderId="1" xfId="0" applyNumberFormat="1" applyFont="1" applyFill="1" applyBorder="1" applyAlignment="1">
      <alignment horizontal="center" vertical="center" wrapText="1"/>
    </xf>
    <xf numFmtId="171" fontId="71" fillId="0" borderId="1" xfId="5" applyNumberFormat="1" applyFont="1" applyFill="1" applyBorder="1" applyAlignment="1">
      <alignment horizontal="center" vertical="center"/>
    </xf>
    <xf numFmtId="0" fontId="75" fillId="0" borderId="0" xfId="0" applyFont="1" applyFill="1" applyAlignment="1">
      <alignment horizontal="center"/>
    </xf>
    <xf numFmtId="0" fontId="12" fillId="0" borderId="0" xfId="0" applyFont="1" applyFill="1" applyAlignment="1">
      <alignment horizontal="center"/>
    </xf>
    <xf numFmtId="171" fontId="87" fillId="0" borderId="1" xfId="5" applyNumberFormat="1" applyFont="1" applyFill="1" applyBorder="1" applyAlignment="1">
      <alignment horizontal="center" vertical="center"/>
    </xf>
    <xf numFmtId="0" fontId="91" fillId="0" borderId="0" xfId="0" applyFont="1" applyFill="1" applyAlignment="1">
      <alignment horizontal="center"/>
    </xf>
    <xf numFmtId="0" fontId="92" fillId="0" borderId="0" xfId="0" applyFont="1" applyFill="1" applyAlignment="1">
      <alignment horizontal="center"/>
    </xf>
    <xf numFmtId="1" fontId="4" fillId="0" borderId="1" xfId="0" applyNumberFormat="1" applyFont="1" applyFill="1" applyBorder="1" applyAlignment="1">
      <alignment horizontal="center" vertical="center" wrapText="1"/>
    </xf>
    <xf numFmtId="171" fontId="71" fillId="0" borderId="1" xfId="5" applyNumberFormat="1" applyFont="1" applyFill="1" applyBorder="1" applyAlignment="1">
      <alignment vertical="center"/>
    </xf>
    <xf numFmtId="0" fontId="65" fillId="0" borderId="0" xfId="0" applyFont="1" applyFill="1" applyAlignment="1">
      <alignment horizontal="center"/>
    </xf>
    <xf numFmtId="0" fontId="5" fillId="0" borderId="0" xfId="0" applyFont="1" applyFill="1" applyAlignment="1">
      <alignment horizontal="center"/>
    </xf>
    <xf numFmtId="166" fontId="4" fillId="0" borderId="1" xfId="0" applyNumberFormat="1" applyFont="1" applyFill="1" applyBorder="1" applyAlignment="1">
      <alignment horizontal="center" vertical="center" wrapText="1"/>
    </xf>
    <xf numFmtId="166" fontId="25" fillId="0" borderId="1" xfId="5" applyNumberFormat="1" applyFont="1" applyFill="1" applyBorder="1" applyAlignment="1">
      <alignment horizontal="center" vertical="center" wrapText="1"/>
    </xf>
    <xf numFmtId="0" fontId="103" fillId="2" borderId="0" xfId="0" applyFont="1" applyFill="1"/>
    <xf numFmtId="0" fontId="77" fillId="8" borderId="1" xfId="0" applyFont="1" applyFill="1" applyBorder="1"/>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167" fontId="4" fillId="0" borderId="1" xfId="0" applyNumberFormat="1" applyFont="1" applyBorder="1" applyAlignment="1">
      <alignment horizontal="center" vertical="center" wrapText="1"/>
    </xf>
    <xf numFmtId="165" fontId="5" fillId="5" borderId="1" xfId="0" applyNumberFormat="1" applyFont="1" applyFill="1" applyBorder="1" applyAlignment="1">
      <alignment horizontal="center" vertical="center" wrapText="1" shrinkToFit="1"/>
    </xf>
    <xf numFmtId="165" fontId="5" fillId="5" borderId="1" xfId="0" applyNumberFormat="1" applyFont="1" applyFill="1" applyBorder="1" applyAlignment="1">
      <alignment horizontal="left" vertical="center" wrapText="1" shrinkToFit="1"/>
    </xf>
    <xf numFmtId="165" fontId="5" fillId="6" borderId="1" xfId="0" applyNumberFormat="1" applyFont="1" applyFill="1" applyBorder="1" applyAlignment="1">
      <alignment horizontal="center" vertical="center" wrapText="1" shrinkToFit="1"/>
    </xf>
    <xf numFmtId="166" fontId="104" fillId="0" borderId="1" xfId="0" applyNumberFormat="1" applyFont="1" applyFill="1" applyBorder="1" applyAlignment="1">
      <alignment horizontal="center" vertical="center"/>
    </xf>
    <xf numFmtId="166" fontId="105" fillId="0" borderId="1" xfId="0" applyNumberFormat="1" applyFont="1" applyFill="1" applyBorder="1" applyAlignment="1">
      <alignment horizontal="center" vertical="center" wrapText="1"/>
    </xf>
    <xf numFmtId="166" fontId="105" fillId="0" borderId="1" xfId="0" applyNumberFormat="1" applyFont="1" applyFill="1" applyBorder="1" applyAlignment="1">
      <alignment horizontal="center" vertical="center"/>
    </xf>
    <xf numFmtId="166" fontId="104" fillId="2" borderId="1" xfId="0" applyNumberFormat="1" applyFont="1" applyFill="1" applyBorder="1" applyAlignment="1">
      <alignment horizontal="center" vertical="center"/>
    </xf>
    <xf numFmtId="166" fontId="105" fillId="2" borderId="1" xfId="0" applyNumberFormat="1" applyFont="1" applyFill="1" applyBorder="1" applyAlignment="1">
      <alignment horizontal="center" vertical="center"/>
    </xf>
    <xf numFmtId="166" fontId="105" fillId="0" borderId="1" xfId="0" applyNumberFormat="1" applyFont="1" applyFill="1" applyBorder="1" applyAlignment="1">
      <alignment vertical="center"/>
    </xf>
    <xf numFmtId="166" fontId="105" fillId="2" borderId="1" xfId="0" applyNumberFormat="1" applyFont="1" applyFill="1" applyBorder="1" applyAlignment="1">
      <alignment vertical="center"/>
    </xf>
    <xf numFmtId="165" fontId="104" fillId="0" borderId="1" xfId="0" applyNumberFormat="1" applyFont="1" applyFill="1" applyBorder="1" applyAlignment="1">
      <alignment horizontal="center" vertical="center"/>
    </xf>
    <xf numFmtId="166" fontId="104" fillId="0" borderId="1" xfId="0" applyNumberFormat="1" applyFont="1" applyFill="1" applyBorder="1" applyAlignment="1">
      <alignment vertical="center"/>
    </xf>
    <xf numFmtId="168" fontId="104" fillId="0" borderId="1" xfId="0" applyNumberFormat="1" applyFont="1" applyFill="1" applyBorder="1" applyAlignment="1">
      <alignment horizontal="center" vertical="center"/>
    </xf>
    <xf numFmtId="165" fontId="104" fillId="2" borderId="1" xfId="0" applyNumberFormat="1" applyFont="1" applyFill="1" applyBorder="1" applyAlignment="1">
      <alignment horizontal="center" vertical="center"/>
    </xf>
    <xf numFmtId="165" fontId="105" fillId="0" borderId="1" xfId="0" applyNumberFormat="1" applyFont="1" applyFill="1" applyBorder="1" applyAlignment="1">
      <alignment horizontal="center" vertical="center"/>
    </xf>
    <xf numFmtId="165" fontId="66" fillId="0" borderId="1" xfId="0" applyNumberFormat="1" applyFont="1" applyFill="1" applyBorder="1" applyAlignment="1">
      <alignment horizontal="center" vertical="center"/>
    </xf>
    <xf numFmtId="165" fontId="66" fillId="2" borderId="1" xfId="0" applyNumberFormat="1" applyFont="1" applyFill="1" applyBorder="1" applyAlignment="1">
      <alignment horizontal="center" vertical="center"/>
    </xf>
    <xf numFmtId="165" fontId="105" fillId="0" borderId="1" xfId="0" applyNumberFormat="1" applyFont="1" applyFill="1" applyBorder="1" applyAlignment="1">
      <alignment horizontal="center" vertical="center" wrapText="1"/>
    </xf>
    <xf numFmtId="165" fontId="104" fillId="0" borderId="1" xfId="0" applyNumberFormat="1" applyFont="1" applyFill="1" applyBorder="1" applyAlignment="1">
      <alignment horizontal="center" vertical="center" wrapText="1"/>
    </xf>
    <xf numFmtId="167" fontId="105" fillId="0" borderId="1" xfId="0" applyNumberFormat="1" applyFont="1" applyFill="1" applyBorder="1" applyAlignment="1">
      <alignment horizontal="center" vertical="center" wrapText="1"/>
    </xf>
    <xf numFmtId="165" fontId="105" fillId="2" borderId="1" xfId="0" applyNumberFormat="1" applyFont="1" applyFill="1" applyBorder="1" applyAlignment="1">
      <alignment horizontal="center" vertical="center" wrapText="1"/>
    </xf>
    <xf numFmtId="171" fontId="105" fillId="2" borderId="1" xfId="5" applyNumberFormat="1" applyFont="1" applyFill="1" applyBorder="1" applyAlignment="1">
      <alignment horizontal="center" vertical="center"/>
    </xf>
    <xf numFmtId="165" fontId="104" fillId="0" borderId="5" xfId="0" applyNumberFormat="1" applyFont="1" applyFill="1" applyBorder="1" applyAlignment="1">
      <alignment horizontal="center" vertical="center"/>
    </xf>
    <xf numFmtId="165" fontId="104" fillId="2" borderId="5" xfId="0" applyNumberFormat="1" applyFont="1" applyFill="1" applyBorder="1" applyAlignment="1">
      <alignment horizontal="center" vertical="center"/>
    </xf>
    <xf numFmtId="165" fontId="105" fillId="2" borderId="1" xfId="0" applyNumberFormat="1" applyFont="1" applyFill="1" applyBorder="1" applyAlignment="1">
      <alignment horizontal="center" vertical="center"/>
    </xf>
    <xf numFmtId="165" fontId="104" fillId="0" borderId="1" xfId="5" applyNumberFormat="1" applyFont="1" applyFill="1" applyBorder="1" applyAlignment="1">
      <alignment horizontal="center" vertical="center"/>
    </xf>
    <xf numFmtId="165" fontId="104" fillId="0" borderId="4" xfId="0" applyNumberFormat="1" applyFont="1" applyFill="1" applyBorder="1" applyAlignment="1">
      <alignment horizontal="center" vertical="center"/>
    </xf>
    <xf numFmtId="165" fontId="105" fillId="0" borderId="4" xfId="0" applyNumberFormat="1" applyFont="1" applyFill="1" applyBorder="1" applyAlignment="1">
      <alignment horizontal="center" vertical="center"/>
    </xf>
    <xf numFmtId="165" fontId="105" fillId="0" borderId="1" xfId="5" applyNumberFormat="1" applyFont="1" applyFill="1" applyBorder="1" applyAlignment="1">
      <alignment horizontal="center" vertical="center"/>
    </xf>
    <xf numFmtId="165" fontId="105" fillId="2" borderId="1" xfId="5" applyNumberFormat="1" applyFont="1" applyFill="1" applyBorder="1" applyAlignment="1">
      <alignment horizontal="center" vertical="center"/>
    </xf>
    <xf numFmtId="165" fontId="105" fillId="0" borderId="1" xfId="5" applyNumberFormat="1" applyFont="1" applyFill="1" applyBorder="1" applyAlignment="1" applyProtection="1">
      <alignment horizontal="center" vertical="center" wrapText="1"/>
    </xf>
    <xf numFmtId="165" fontId="105" fillId="0" borderId="1" xfId="4" applyNumberFormat="1" applyFont="1" applyFill="1" applyBorder="1" applyAlignment="1">
      <alignment horizontal="center" vertical="center"/>
    </xf>
    <xf numFmtId="167" fontId="104" fillId="0" borderId="1" xfId="0" applyNumberFormat="1" applyFont="1" applyFill="1" applyBorder="1" applyAlignment="1">
      <alignment horizontal="center" vertical="center" wrapText="1"/>
    </xf>
    <xf numFmtId="167" fontId="104" fillId="2" borderId="1" xfId="0" applyNumberFormat="1" applyFont="1" applyFill="1" applyBorder="1" applyAlignment="1">
      <alignment horizontal="center" vertical="center" wrapText="1"/>
    </xf>
    <xf numFmtId="167" fontId="105" fillId="2" borderId="1" xfId="0" applyNumberFormat="1" applyFont="1" applyFill="1" applyBorder="1" applyAlignment="1">
      <alignment horizontal="center" vertical="center" wrapText="1"/>
    </xf>
    <xf numFmtId="2" fontId="105" fillId="0" borderId="1" xfId="0" applyNumberFormat="1" applyFont="1" applyFill="1" applyBorder="1" applyAlignment="1">
      <alignment horizontal="center" vertical="center"/>
    </xf>
    <xf numFmtId="2" fontId="105" fillId="0" borderId="1" xfId="0" applyNumberFormat="1" applyFont="1" applyFill="1" applyBorder="1" applyAlignment="1">
      <alignment horizontal="center" vertical="center" wrapText="1"/>
    </xf>
    <xf numFmtId="1" fontId="105" fillId="0" borderId="1" xfId="0" applyNumberFormat="1" applyFont="1" applyFill="1" applyBorder="1" applyAlignment="1">
      <alignment horizontal="center" vertical="center" wrapText="1"/>
    </xf>
    <xf numFmtId="4" fontId="105"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xf>
    <xf numFmtId="0" fontId="107" fillId="2" borderId="0" xfId="0" applyFont="1" applyFill="1" applyAlignment="1">
      <alignment horizontal="center"/>
    </xf>
    <xf numFmtId="0" fontId="107" fillId="8" borderId="0" xfId="0" applyFont="1" applyFill="1" applyAlignment="1">
      <alignment horizontal="center"/>
    </xf>
    <xf numFmtId="0" fontId="108" fillId="2" borderId="0" xfId="0" applyFont="1" applyFill="1" applyAlignment="1">
      <alignment horizontal="center"/>
    </xf>
    <xf numFmtId="166" fontId="66" fillId="0" borderId="1" xfId="0" applyNumberFormat="1" applyFont="1" applyFill="1" applyBorder="1" applyAlignment="1">
      <alignment horizontal="center" vertical="center"/>
    </xf>
    <xf numFmtId="165" fontId="66" fillId="0" borderId="4" xfId="0" applyNumberFormat="1" applyFont="1" applyFill="1" applyBorder="1" applyAlignment="1">
      <alignment horizontal="center" vertical="center"/>
    </xf>
    <xf numFmtId="165" fontId="106" fillId="0" borderId="1" xfId="0" applyNumberFormat="1" applyFont="1" applyFill="1" applyBorder="1" applyAlignment="1">
      <alignment horizontal="center" vertical="center"/>
    </xf>
    <xf numFmtId="0" fontId="34" fillId="0" borderId="5" xfId="0" applyFont="1" applyFill="1" applyBorder="1" applyAlignment="1">
      <alignment horizontal="left" vertical="center" wrapText="1"/>
    </xf>
    <xf numFmtId="1" fontId="24" fillId="0" borderId="4" xfId="0" applyNumberFormat="1" applyFont="1" applyFill="1" applyBorder="1" applyAlignment="1">
      <alignment horizontal="center" vertical="center"/>
    </xf>
    <xf numFmtId="167" fontId="24" fillId="0" borderId="4" xfId="0" applyNumberFormat="1" applyFont="1" applyFill="1" applyBorder="1" applyAlignment="1">
      <alignment horizontal="center" vertical="center"/>
    </xf>
    <xf numFmtId="165" fontId="5" fillId="5" borderId="1" xfId="0" applyNumberFormat="1" applyFont="1" applyFill="1" applyBorder="1" applyAlignment="1">
      <alignment horizontal="left" vertical="center" wrapText="1" shrinkToFit="1"/>
    </xf>
    <xf numFmtId="165" fontId="109" fillId="5" borderId="1" xfId="0" applyNumberFormat="1" applyFont="1" applyFill="1" applyBorder="1" applyAlignment="1">
      <alignment horizontal="center" vertical="center" wrapText="1" shrinkToFit="1"/>
    </xf>
    <xf numFmtId="165" fontId="109" fillId="5" borderId="1" xfId="0" applyNumberFormat="1" applyFont="1" applyFill="1" applyBorder="1" applyAlignment="1">
      <alignment horizontal="left" vertical="center" wrapText="1" shrinkToFit="1"/>
    </xf>
    <xf numFmtId="165" fontId="110" fillId="0" borderId="0" xfId="0" applyNumberFormat="1" applyFont="1"/>
    <xf numFmtId="165" fontId="111" fillId="0" borderId="0" xfId="0" applyNumberFormat="1" applyFont="1"/>
    <xf numFmtId="165" fontId="111" fillId="5" borderId="13" xfId="0" applyNumberFormat="1" applyFont="1" applyFill="1" applyBorder="1"/>
    <xf numFmtId="165" fontId="111" fillId="5" borderId="1" xfId="0" applyNumberFormat="1" applyFont="1" applyFill="1" applyBorder="1"/>
    <xf numFmtId="171" fontId="112" fillId="2" borderId="1" xfId="5" applyNumberFormat="1" applyFont="1" applyFill="1" applyBorder="1" applyAlignment="1">
      <alignment horizontal="center" vertical="center"/>
    </xf>
    <xf numFmtId="171" fontId="112" fillId="8" borderId="1" xfId="5" applyNumberFormat="1" applyFont="1" applyFill="1" applyBorder="1" applyAlignment="1">
      <alignment vertical="center"/>
    </xf>
    <xf numFmtId="0" fontId="113" fillId="2" borderId="0" xfId="0" applyFont="1" applyFill="1" applyAlignment="1">
      <alignment horizontal="center"/>
    </xf>
    <xf numFmtId="0" fontId="114" fillId="2" borderId="0" xfId="0" applyFont="1" applyFill="1" applyAlignment="1">
      <alignment horizontal="center"/>
    </xf>
    <xf numFmtId="167" fontId="24" fillId="0" borderId="6" xfId="0" applyNumberFormat="1" applyFont="1" applyFill="1" applyBorder="1" applyAlignment="1">
      <alignment horizontal="left" vertical="center" wrapText="1"/>
    </xf>
    <xf numFmtId="168" fontId="115" fillId="0" borderId="1" xfId="0" applyNumberFormat="1" applyFont="1" applyFill="1" applyBorder="1" applyAlignment="1">
      <alignment horizontal="center" vertical="center" wrapText="1"/>
    </xf>
    <xf numFmtId="165" fontId="116" fillId="0" borderId="1" xfId="0" applyNumberFormat="1" applyFont="1" applyBorder="1" applyAlignment="1">
      <alignment horizontal="center" vertical="center"/>
    </xf>
    <xf numFmtId="165" fontId="116" fillId="0" borderId="1" xfId="0" applyNumberFormat="1" applyFont="1" applyBorder="1" applyAlignment="1">
      <alignment horizontal="left" vertical="center" wrapText="1"/>
    </xf>
    <xf numFmtId="165" fontId="116" fillId="0" borderId="1" xfId="9" applyNumberFormat="1" applyFont="1" applyBorder="1" applyAlignment="1">
      <alignment horizontal="center" vertical="center" wrapText="1"/>
    </xf>
    <xf numFmtId="165" fontId="116" fillId="0" borderId="1" xfId="0" applyNumberFormat="1" applyFont="1" applyBorder="1" applyAlignment="1">
      <alignment horizontal="center" vertical="center" wrapText="1" shrinkToFit="1"/>
    </xf>
    <xf numFmtId="165" fontId="116" fillId="6" borderId="1" xfId="0" applyNumberFormat="1" applyFont="1" applyFill="1" applyBorder="1" applyAlignment="1">
      <alignment horizontal="center" vertical="center" wrapText="1" shrinkToFit="1"/>
    </xf>
    <xf numFmtId="165" fontId="116" fillId="6" borderId="1" xfId="9" applyNumberFormat="1" applyFont="1" applyFill="1" applyBorder="1" applyAlignment="1">
      <alignment horizontal="center" vertical="center" wrapText="1"/>
    </xf>
    <xf numFmtId="165" fontId="116" fillId="0" borderId="1" xfId="9" applyNumberFormat="1" applyFont="1" applyBorder="1" applyAlignment="1">
      <alignment horizontal="center" vertical="center"/>
    </xf>
    <xf numFmtId="165" fontId="116" fillId="6" borderId="1" xfId="9" applyNumberFormat="1" applyFont="1" applyFill="1" applyBorder="1" applyAlignment="1">
      <alignment horizontal="center" vertical="center"/>
    </xf>
    <xf numFmtId="165" fontId="110" fillId="0" borderId="0" xfId="0" applyNumberFormat="1" applyFont="1" applyAlignment="1">
      <alignment horizontal="center" vertical="center"/>
    </xf>
    <xf numFmtId="165" fontId="111" fillId="0" borderId="0" xfId="0" applyNumberFormat="1" applyFont="1" applyAlignment="1">
      <alignment horizontal="center" vertical="center"/>
    </xf>
    <xf numFmtId="0" fontId="70" fillId="2" borderId="0" xfId="0" applyFont="1" applyFill="1" applyAlignment="1">
      <alignment wrapText="1"/>
    </xf>
    <xf numFmtId="0" fontId="117" fillId="0" borderId="0" xfId="0" applyFont="1" applyAlignment="1">
      <alignment horizontal="right" vertical="center"/>
    </xf>
    <xf numFmtId="0" fontId="118" fillId="0" borderId="0" xfId="0" applyFont="1" applyAlignment="1">
      <alignment horizontal="center" vertical="center"/>
    </xf>
    <xf numFmtId="2" fontId="116" fillId="0" borderId="1" xfId="0" applyNumberFormat="1" applyFont="1" applyBorder="1" applyAlignment="1">
      <alignment horizontal="center" vertical="center" wrapText="1"/>
    </xf>
    <xf numFmtId="1" fontId="116" fillId="0" borderId="1" xfId="0" applyNumberFormat="1" applyFont="1" applyBorder="1" applyAlignment="1">
      <alignment horizontal="center" vertical="center" shrinkToFit="1"/>
    </xf>
    <xf numFmtId="165" fontId="109" fillId="5" borderId="1" xfId="0" applyNumberFormat="1" applyFont="1" applyFill="1" applyBorder="1" applyAlignment="1">
      <alignment horizontal="center" vertical="center" shrinkToFit="1"/>
    </xf>
    <xf numFmtId="165" fontId="109" fillId="6" borderId="1" xfId="0" applyNumberFormat="1" applyFont="1" applyFill="1" applyBorder="1" applyAlignment="1">
      <alignment horizontal="center" vertical="center" shrinkToFit="1"/>
    </xf>
    <xf numFmtId="165" fontId="116" fillId="0" borderId="1" xfId="0" applyNumberFormat="1" applyFont="1" applyBorder="1" applyAlignment="1">
      <alignment horizontal="center" vertical="center" shrinkToFit="1"/>
    </xf>
    <xf numFmtId="165" fontId="116" fillId="0" borderId="1" xfId="0" applyNumberFormat="1" applyFont="1" applyBorder="1" applyAlignment="1">
      <alignment horizontal="center" vertical="center" wrapText="1"/>
    </xf>
    <xf numFmtId="165" fontId="116" fillId="5" borderId="1" xfId="0" applyNumberFormat="1" applyFont="1" applyFill="1" applyBorder="1" applyAlignment="1">
      <alignment horizontal="center" vertical="center" shrinkToFit="1"/>
    </xf>
    <xf numFmtId="165" fontId="116" fillId="6" borderId="1" xfId="0" applyNumberFormat="1" applyFont="1" applyFill="1" applyBorder="1" applyAlignment="1">
      <alignment horizontal="center" vertical="center" shrinkToFit="1"/>
    </xf>
    <xf numFmtId="165" fontId="119" fillId="5" borderId="1" xfId="0" applyNumberFormat="1" applyFont="1" applyFill="1" applyBorder="1" applyAlignment="1">
      <alignment horizontal="center" vertical="center" wrapText="1" shrinkToFit="1"/>
    </xf>
    <xf numFmtId="165" fontId="119" fillId="0" borderId="1" xfId="0" applyNumberFormat="1" applyFont="1" applyFill="1" applyBorder="1" applyAlignment="1">
      <alignment horizontal="center" vertical="center" wrapText="1" shrinkToFit="1"/>
    </xf>
    <xf numFmtId="165" fontId="109" fillId="6" borderId="1" xfId="0" applyNumberFormat="1" applyFont="1" applyFill="1" applyBorder="1" applyAlignment="1">
      <alignment horizontal="center" vertical="center" wrapText="1" shrinkToFit="1"/>
    </xf>
    <xf numFmtId="165" fontId="116" fillId="0" borderId="1" xfId="9" applyNumberFormat="1" applyFont="1" applyFill="1" applyBorder="1" applyAlignment="1">
      <alignment horizontal="center" vertical="center"/>
    </xf>
    <xf numFmtId="165" fontId="109" fillId="0" borderId="1" xfId="0" applyNumberFormat="1" applyFont="1" applyFill="1" applyBorder="1" applyAlignment="1">
      <alignment horizontal="center" vertical="center" wrapText="1" shrinkToFit="1"/>
    </xf>
    <xf numFmtId="165" fontId="119" fillId="5" borderId="1" xfId="9" applyNumberFormat="1" applyFont="1" applyFill="1" applyBorder="1" applyAlignment="1">
      <alignment horizontal="center" vertical="center" wrapText="1"/>
    </xf>
    <xf numFmtId="165" fontId="116" fillId="0" borderId="5" xfId="9" applyNumberFormat="1" applyFont="1" applyBorder="1" applyAlignment="1">
      <alignment horizontal="center" vertical="center" wrapText="1"/>
    </xf>
    <xf numFmtId="165" fontId="119" fillId="6" borderId="1" xfId="9" applyNumberFormat="1" applyFont="1" applyFill="1" applyBorder="1" applyAlignment="1">
      <alignment horizontal="center" vertical="center" wrapText="1"/>
    </xf>
    <xf numFmtId="165" fontId="119" fillId="0" borderId="1" xfId="9" applyNumberFormat="1" applyFont="1" applyFill="1" applyBorder="1" applyAlignment="1">
      <alignment horizontal="center" vertical="center" wrapText="1"/>
    </xf>
    <xf numFmtId="165" fontId="109" fillId="7" borderId="1" xfId="9" applyNumberFormat="1" applyFont="1" applyFill="1" applyBorder="1" applyAlignment="1">
      <alignment horizontal="center" vertical="center" wrapText="1"/>
    </xf>
    <xf numFmtId="165" fontId="109" fillId="0" borderId="1" xfId="9" applyNumberFormat="1" applyFont="1" applyBorder="1" applyAlignment="1">
      <alignment horizontal="center" vertical="center" wrapText="1"/>
    </xf>
    <xf numFmtId="0" fontId="70" fillId="0" borderId="0" xfId="0" applyFont="1" applyAlignment="1">
      <alignment wrapText="1"/>
    </xf>
    <xf numFmtId="4" fontId="110" fillId="0" borderId="0" xfId="0" applyNumberFormat="1" applyFont="1" applyAlignment="1">
      <alignment horizontal="center" vertical="center"/>
    </xf>
    <xf numFmtId="165" fontId="109" fillId="5" borderId="1" xfId="0" applyNumberFormat="1" applyFont="1" applyFill="1" applyBorder="1" applyAlignment="1">
      <alignment horizontal="center" vertical="center"/>
    </xf>
    <xf numFmtId="165" fontId="109" fillId="0" borderId="1" xfId="0" applyNumberFormat="1" applyFont="1" applyBorder="1" applyAlignment="1">
      <alignment horizontal="center" vertical="center" shrinkToFit="1"/>
    </xf>
    <xf numFmtId="0" fontId="24" fillId="0" borderId="0" xfId="0" applyFont="1" applyFill="1" applyAlignment="1">
      <alignment horizontal="right" vertical="top" wrapText="1"/>
    </xf>
    <xf numFmtId="0" fontId="21" fillId="0" borderId="0" xfId="0" applyFont="1" applyFill="1" applyAlignment="1">
      <alignment horizontal="center" vertical="top" wrapText="1"/>
    </xf>
    <xf numFmtId="0" fontId="21" fillId="0" borderId="0" xfId="0" applyFont="1" applyFill="1" applyAlignment="1">
      <alignment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66" fontId="60" fillId="0" borderId="1" xfId="0" applyNumberFormat="1" applyFont="1" applyFill="1" applyBorder="1" applyAlignment="1">
      <alignment horizontal="center" vertical="center"/>
    </xf>
    <xf numFmtId="166" fontId="59" fillId="0" borderId="1" xfId="0" applyNumberFormat="1" applyFont="1" applyFill="1" applyBorder="1" applyAlignment="1">
      <alignment horizontal="center" vertical="center"/>
    </xf>
    <xf numFmtId="0" fontId="86" fillId="8" borderId="1" xfId="0" applyFont="1" applyFill="1" applyBorder="1" applyAlignment="1">
      <alignment horizontal="center"/>
    </xf>
    <xf numFmtId="0" fontId="86" fillId="2" borderId="1" xfId="0" applyFont="1" applyFill="1" applyBorder="1" applyAlignment="1">
      <alignment horizontal="center"/>
    </xf>
    <xf numFmtId="0" fontId="25"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31" fillId="3" borderId="1" xfId="0" applyFont="1" applyFill="1" applyBorder="1" applyAlignment="1">
      <alignment horizontal="center" vertical="center" wrapText="1"/>
    </xf>
    <xf numFmtId="0" fontId="25" fillId="0" borderId="1" xfId="0" applyFont="1" applyFill="1" applyBorder="1" applyAlignment="1">
      <alignment horizontal="left" vertical="top"/>
    </xf>
    <xf numFmtId="0" fontId="25" fillId="0" borderId="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8" xfId="0" applyFont="1" applyFill="1" applyBorder="1" applyAlignment="1">
      <alignment horizontal="center" vertical="center"/>
    </xf>
    <xf numFmtId="0" fontId="4" fillId="0" borderId="9"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10" xfId="0" applyFont="1" applyFill="1" applyBorder="1" applyAlignment="1">
      <alignment horizontal="center" vertical="top" wrapText="1"/>
    </xf>
    <xf numFmtId="0" fontId="73" fillId="2" borderId="8" xfId="0" applyFont="1" applyFill="1" applyBorder="1" applyAlignment="1">
      <alignment horizontal="center"/>
    </xf>
    <xf numFmtId="0" fontId="73" fillId="2" borderId="2" xfId="0" applyFont="1" applyFill="1" applyBorder="1" applyAlignment="1">
      <alignment horizontal="center"/>
    </xf>
    <xf numFmtId="0" fontId="73" fillId="2" borderId="10" xfId="0" applyFont="1" applyFill="1" applyBorder="1" applyAlignment="1">
      <alignment horizontal="center"/>
    </xf>
    <xf numFmtId="0" fontId="33" fillId="3"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3" applyFont="1" applyFill="1" applyBorder="1" applyAlignment="1">
      <alignment horizontal="left" vertical="center" wrapText="1"/>
    </xf>
    <xf numFmtId="0" fontId="24" fillId="0" borderId="1" xfId="0" applyFont="1" applyFill="1" applyBorder="1" applyAlignment="1">
      <alignment horizontal="left" vertical="center"/>
    </xf>
    <xf numFmtId="0" fontId="21" fillId="0" borderId="1" xfId="0" applyFont="1" applyFill="1" applyBorder="1" applyAlignment="1">
      <alignmen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13" xfId="0" applyFont="1" applyFill="1" applyBorder="1" applyAlignment="1">
      <alignment horizontal="left" vertical="center" wrapText="1"/>
    </xf>
    <xf numFmtId="166" fontId="24" fillId="0" borderId="4" xfId="0" applyNumberFormat="1" applyFont="1" applyFill="1" applyBorder="1" applyAlignment="1">
      <alignment horizontal="center" vertical="center" wrapText="1"/>
    </xf>
    <xf numFmtId="166" fontId="24" fillId="0" borderId="6" xfId="0" applyNumberFormat="1" applyFont="1" applyFill="1" applyBorder="1" applyAlignment="1">
      <alignment horizontal="center" vertical="center" wrapText="1"/>
    </xf>
    <xf numFmtId="166" fontId="24" fillId="0" borderId="5" xfId="0" applyNumberFormat="1" applyFont="1" applyFill="1" applyBorder="1" applyAlignment="1">
      <alignment horizontal="center" vertical="center" wrapText="1"/>
    </xf>
    <xf numFmtId="0" fontId="0" fillId="0" borderId="5" xfId="0" applyFont="1" applyBorder="1" applyAlignment="1">
      <alignment horizontal="left" vertical="center"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25" fillId="0" borderId="1" xfId="0" applyFont="1" applyFill="1" applyBorder="1" applyAlignment="1">
      <alignment horizontal="left"/>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24" fillId="0" borderId="1" xfId="0" applyFont="1" applyFill="1" applyBorder="1" applyAlignment="1">
      <alignment horizontal="center" vertical="center"/>
    </xf>
    <xf numFmtId="0" fontId="21" fillId="0" borderId="1" xfId="0" applyFont="1" applyFill="1" applyBorder="1" applyAlignment="1">
      <alignment horizontal="left"/>
    </xf>
    <xf numFmtId="0" fontId="32" fillId="3" borderId="1" xfId="0" applyFont="1" applyFill="1" applyBorder="1" applyAlignment="1">
      <alignment horizontal="center"/>
    </xf>
    <xf numFmtId="0" fontId="24" fillId="0" borderId="0" xfId="0" applyFont="1" applyFill="1" applyAlignment="1">
      <alignment horizontal="right" vertical="top" wrapText="1"/>
    </xf>
    <xf numFmtId="0" fontId="21" fillId="0" borderId="0" xfId="0" applyFont="1" applyFill="1" applyAlignment="1">
      <alignment horizontal="center" vertical="top" wrapText="1"/>
    </xf>
    <xf numFmtId="0" fontId="21" fillId="0" borderId="0" xfId="0" applyFont="1" applyFill="1" applyAlignment="1">
      <alignment wrapText="1"/>
    </xf>
    <xf numFmtId="0" fontId="31" fillId="0" borderId="2" xfId="0" applyFont="1" applyFill="1" applyBorder="1" applyAlignment="1">
      <alignment horizontal="center" vertical="center" wrapText="1"/>
    </xf>
    <xf numFmtId="0" fontId="32" fillId="0" borderId="2" xfId="0" applyFont="1" applyFill="1" applyBorder="1" applyAlignment="1"/>
    <xf numFmtId="0" fontId="2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34" fillId="2" borderId="0" xfId="0" applyFont="1" applyFill="1" applyAlignment="1">
      <alignment horizontal="right" wrapText="1"/>
    </xf>
    <xf numFmtId="0" fontId="34" fillId="2" borderId="0" xfId="0" applyFont="1" applyFill="1" applyAlignment="1">
      <alignment horizontal="right" vertical="top" wrapText="1"/>
    </xf>
    <xf numFmtId="0" fontId="26" fillId="2" borderId="0"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39" fillId="2" borderId="1"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4" fillId="2" borderId="1" xfId="0" applyFont="1" applyFill="1" applyBorder="1" applyAlignment="1">
      <alignment horizontal="center" vertical="center"/>
    </xf>
    <xf numFmtId="0" fontId="36" fillId="2" borderId="11" xfId="0" applyFont="1" applyFill="1" applyBorder="1" applyAlignment="1">
      <alignment horizontal="left" vertical="center"/>
    </xf>
    <xf numFmtId="0" fontId="36" fillId="2" borderId="12" xfId="0" applyFont="1" applyFill="1" applyBorder="1" applyAlignment="1">
      <alignment horizontal="left" vertical="center"/>
    </xf>
    <xf numFmtId="0" fontId="36" fillId="2" borderId="13" xfId="0" applyFont="1" applyFill="1" applyBorder="1" applyAlignment="1">
      <alignment horizontal="left" vertical="center"/>
    </xf>
    <xf numFmtId="0" fontId="36" fillId="2"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4" borderId="11"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36" fillId="2" borderId="1" xfId="0" applyFont="1" applyFill="1" applyBorder="1" applyAlignment="1">
      <alignment horizontal="left" vertical="center"/>
    </xf>
    <xf numFmtId="0" fontId="35" fillId="2" borderId="13" xfId="0" applyFont="1" applyFill="1" applyBorder="1" applyAlignment="1">
      <alignment vertical="center" wrapText="1"/>
    </xf>
    <xf numFmtId="0" fontId="15" fillId="2" borderId="9" xfId="0" applyFont="1" applyFill="1" applyBorder="1" applyAlignment="1">
      <alignment vertical="center" wrapText="1"/>
    </xf>
    <xf numFmtId="0" fontId="36" fillId="2" borderId="1" xfId="0" applyFont="1" applyFill="1" applyBorder="1" applyAlignment="1">
      <alignment horizontal="center" vertical="center" wrapText="1"/>
    </xf>
    <xf numFmtId="0" fontId="35" fillId="2" borderId="4"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37" fillId="2" borderId="1" xfId="0" applyFont="1" applyFill="1" applyBorder="1" applyAlignment="1">
      <alignment vertical="center"/>
    </xf>
    <xf numFmtId="0" fontId="37" fillId="2" borderId="1" xfId="0" applyFont="1" applyFill="1" applyBorder="1" applyAlignment="1">
      <alignment horizontal="left" vertical="center"/>
    </xf>
    <xf numFmtId="0" fontId="34" fillId="2" borderId="4"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0" fillId="2" borderId="1" xfId="0" applyFont="1" applyFill="1" applyBorder="1" applyAlignment="1">
      <alignment horizontal="center" vertical="center"/>
    </xf>
    <xf numFmtId="0" fontId="35" fillId="2" borderId="1" xfId="0" applyFont="1" applyFill="1" applyBorder="1" applyAlignment="1">
      <alignment vertical="center" wrapText="1"/>
    </xf>
    <xf numFmtId="0" fontId="15" fillId="2" borderId="1" xfId="0" applyFont="1" applyFill="1" applyBorder="1" applyAlignment="1">
      <alignment vertical="center" wrapText="1"/>
    </xf>
    <xf numFmtId="0" fontId="36" fillId="4" borderId="1" xfId="0" applyFont="1" applyFill="1" applyBorder="1" applyAlignment="1">
      <alignment horizontal="center" vertical="center" wrapText="1"/>
    </xf>
    <xf numFmtId="0" fontId="36" fillId="2" borderId="1" xfId="0" applyFont="1" applyFill="1" applyBorder="1" applyAlignment="1">
      <alignment vertical="center" wrapText="1"/>
    </xf>
    <xf numFmtId="0" fontId="15" fillId="2" borderId="1" xfId="0" applyFont="1" applyFill="1" applyBorder="1" applyAlignment="1">
      <alignment vertical="center"/>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169" fontId="34" fillId="2" borderId="4" xfId="0" applyNumberFormat="1" applyFont="1" applyFill="1" applyBorder="1" applyAlignment="1">
      <alignment horizontal="center" vertical="center" wrapText="1"/>
    </xf>
    <xf numFmtId="169" fontId="34" fillId="2" borderId="5" xfId="0" applyNumberFormat="1" applyFont="1" applyFill="1" applyBorder="1" applyAlignment="1">
      <alignment horizontal="center" vertical="center" wrapText="1"/>
    </xf>
    <xf numFmtId="0" fontId="43" fillId="2" borderId="0" xfId="0" applyFont="1" applyFill="1" applyAlignment="1">
      <alignment horizontal="left" vertical="center" wrapText="1"/>
    </xf>
    <xf numFmtId="0" fontId="34" fillId="2" borderId="6" xfId="0" applyFont="1" applyFill="1" applyBorder="1" applyAlignment="1">
      <alignment horizontal="center" vertical="center"/>
    </xf>
    <xf numFmtId="0" fontId="34" fillId="2" borderId="4" xfId="0" applyFont="1" applyFill="1" applyBorder="1" applyAlignment="1">
      <alignment horizontal="center" vertical="top"/>
    </xf>
    <xf numFmtId="0" fontId="34" fillId="2" borderId="6" xfId="0" applyFont="1" applyFill="1" applyBorder="1" applyAlignment="1">
      <alignment horizontal="center" vertical="top"/>
    </xf>
    <xf numFmtId="0" fontId="34" fillId="2" borderId="5" xfId="0" applyFont="1" applyFill="1" applyBorder="1" applyAlignment="1">
      <alignment horizontal="center" vertical="top"/>
    </xf>
    <xf numFmtId="0" fontId="35" fillId="2" borderId="6" xfId="0" applyFont="1" applyFill="1" applyBorder="1" applyAlignment="1">
      <alignment horizontal="left" vertical="top" wrapText="1"/>
    </xf>
    <xf numFmtId="0" fontId="34" fillId="2" borderId="0" xfId="0" applyFont="1" applyFill="1" applyAlignment="1">
      <alignment horizontal="right"/>
    </xf>
    <xf numFmtId="0" fontId="35" fillId="2" borderId="1"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5" fillId="0" borderId="1" xfId="0" applyFont="1" applyFill="1" applyBorder="1" applyAlignment="1">
      <alignment horizontal="center" vertical="center"/>
    </xf>
    <xf numFmtId="0" fontId="46" fillId="0" borderId="1" xfId="0" applyFont="1" applyFill="1" applyBorder="1" applyAlignment="1">
      <alignment horizontal="left" vertical="center" wrapText="1"/>
    </xf>
    <xf numFmtId="0" fontId="46" fillId="0" borderId="1" xfId="0" applyFont="1" applyFill="1" applyBorder="1" applyAlignment="1">
      <alignment horizontal="left" vertical="center"/>
    </xf>
    <xf numFmtId="0" fontId="46" fillId="0" borderId="1" xfId="3" applyFont="1" applyFill="1" applyBorder="1" applyAlignment="1">
      <alignment horizontal="left" vertical="center" wrapText="1"/>
    </xf>
    <xf numFmtId="166" fontId="60" fillId="0" borderId="1" xfId="0" applyNumberFormat="1" applyFont="1" applyFill="1" applyBorder="1" applyAlignment="1">
      <alignment horizontal="center" vertical="center"/>
    </xf>
    <xf numFmtId="166" fontId="59" fillId="0" borderId="1" xfId="0" applyNumberFormat="1" applyFont="1" applyFill="1" applyBorder="1" applyAlignment="1">
      <alignment horizontal="center" vertical="center"/>
    </xf>
    <xf numFmtId="0" fontId="35" fillId="0" borderId="11" xfId="0" applyFont="1" applyFill="1" applyBorder="1" applyAlignment="1">
      <alignment horizontal="center" vertical="center" wrapText="1"/>
    </xf>
    <xf numFmtId="0" fontId="35" fillId="0" borderId="11" xfId="0" applyFont="1" applyFill="1" applyBorder="1" applyAlignment="1">
      <alignment horizontal="center" vertical="center"/>
    </xf>
    <xf numFmtId="0" fontId="35" fillId="0" borderId="4" xfId="0" applyFont="1" applyFill="1" applyBorder="1" applyAlignment="1">
      <alignment horizontal="center" vertical="center"/>
    </xf>
    <xf numFmtId="0" fontId="0" fillId="0" borderId="5" xfId="0" applyBorder="1" applyAlignment="1">
      <alignment vertical="center"/>
    </xf>
    <xf numFmtId="0" fontId="35" fillId="0" borderId="7"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8" xfId="0" applyFont="1" applyFill="1" applyBorder="1" applyAlignment="1">
      <alignment horizontal="center" vertical="center"/>
    </xf>
    <xf numFmtId="166" fontId="60" fillId="0" borderId="4" xfId="0" applyNumberFormat="1" applyFont="1" applyFill="1" applyBorder="1" applyAlignment="1">
      <alignment horizontal="center" vertical="center"/>
    </xf>
    <xf numFmtId="166" fontId="60" fillId="0" borderId="6" xfId="0" applyNumberFormat="1" applyFont="1" applyFill="1" applyBorder="1" applyAlignment="1">
      <alignment horizontal="center" vertical="center"/>
    </xf>
    <xf numFmtId="166" fontId="60" fillId="0" borderId="5" xfId="0" applyNumberFormat="1" applyFont="1" applyFill="1" applyBorder="1" applyAlignment="1">
      <alignment horizontal="center" vertical="center"/>
    </xf>
    <xf numFmtId="166" fontId="59" fillId="0" borderId="4" xfId="0" applyNumberFormat="1" applyFont="1" applyFill="1" applyBorder="1" applyAlignment="1">
      <alignment horizontal="center" vertical="center"/>
    </xf>
    <xf numFmtId="166" fontId="59" fillId="0" borderId="6" xfId="0" applyNumberFormat="1" applyFont="1" applyFill="1" applyBorder="1" applyAlignment="1">
      <alignment horizontal="center" vertical="center"/>
    </xf>
    <xf numFmtId="166" fontId="59" fillId="0" borderId="5" xfId="0" applyNumberFormat="1" applyFont="1" applyFill="1" applyBorder="1" applyAlignment="1">
      <alignment horizontal="center" vertical="center"/>
    </xf>
    <xf numFmtId="166" fontId="54" fillId="0" borderId="4" xfId="0" applyNumberFormat="1" applyFont="1" applyFill="1" applyBorder="1" applyAlignment="1">
      <alignment horizontal="center" vertical="center"/>
    </xf>
    <xf numFmtId="166" fontId="54" fillId="0" borderId="5" xfId="0" applyNumberFormat="1" applyFont="1" applyFill="1" applyBorder="1" applyAlignment="1">
      <alignment horizontal="center" vertical="center"/>
    </xf>
    <xf numFmtId="166" fontId="49" fillId="0" borderId="4" xfId="0" applyNumberFormat="1" applyFont="1" applyFill="1" applyBorder="1" applyAlignment="1">
      <alignment horizontal="center" vertical="center"/>
    </xf>
    <xf numFmtId="166" fontId="49" fillId="0" borderId="5" xfId="0" applyNumberFormat="1" applyFont="1" applyFill="1" applyBorder="1" applyAlignment="1">
      <alignment horizontal="center" vertical="center"/>
    </xf>
    <xf numFmtId="0" fontId="35" fillId="0" borderId="5" xfId="0" applyFont="1" applyFill="1" applyBorder="1" applyAlignment="1">
      <alignment horizontal="center" vertical="center"/>
    </xf>
    <xf numFmtId="0" fontId="35" fillId="0" borderId="6" xfId="0" applyFont="1" applyFill="1" applyBorder="1" applyAlignment="1">
      <alignment horizontal="center" vertical="center"/>
    </xf>
    <xf numFmtId="0" fontId="45" fillId="0" borderId="9" xfId="0" applyFont="1" applyFill="1" applyBorder="1" applyAlignment="1">
      <alignment horizontal="center" vertical="center" wrapText="1"/>
    </xf>
    <xf numFmtId="0" fontId="45" fillId="0" borderId="14" xfId="0" applyFont="1" applyFill="1" applyBorder="1" applyAlignment="1">
      <alignment horizontal="center" vertical="center"/>
    </xf>
    <xf numFmtId="0" fontId="45" fillId="0" borderId="10" xfId="0" applyFont="1" applyFill="1" applyBorder="1" applyAlignment="1">
      <alignment horizontal="center" vertical="center"/>
    </xf>
    <xf numFmtId="0" fontId="29" fillId="0" borderId="0" xfId="0" applyFont="1" applyFill="1" applyBorder="1" applyAlignment="1">
      <alignment horizontal="center" vertical="center" wrapText="1"/>
    </xf>
    <xf numFmtId="0" fontId="22" fillId="0" borderId="0" xfId="0" applyFont="1" applyFill="1" applyBorder="1" applyAlignment="1"/>
    <xf numFmtId="165" fontId="65" fillId="10" borderId="11" xfId="0" applyNumberFormat="1" applyFont="1" applyFill="1" applyBorder="1" applyAlignment="1">
      <alignment horizontal="left" vertical="center"/>
    </xf>
    <xf numFmtId="165" fontId="77" fillId="10" borderId="12" xfId="0" applyNumberFormat="1" applyFont="1" applyFill="1" applyBorder="1" applyAlignment="1">
      <alignment horizontal="left" vertical="center"/>
    </xf>
    <xf numFmtId="165" fontId="77" fillId="10" borderId="13" xfId="0" applyNumberFormat="1" applyFont="1" applyFill="1" applyBorder="1" applyAlignment="1">
      <alignment horizontal="left" vertical="center"/>
    </xf>
    <xf numFmtId="165" fontId="67" fillId="0" borderId="0" xfId="0" applyNumberFormat="1" applyFont="1" applyAlignment="1">
      <alignment horizontal="center" vertical="center"/>
    </xf>
    <xf numFmtId="165" fontId="0" fillId="0" borderId="0" xfId="0" applyNumberFormat="1" applyAlignment="1">
      <alignment horizontal="center" vertical="center"/>
    </xf>
    <xf numFmtId="165" fontId="65" fillId="7" borderId="1" xfId="9" applyNumberFormat="1" applyFont="1" applyFill="1" applyBorder="1" applyAlignment="1">
      <alignment horizontal="left" vertical="center" wrapText="1"/>
    </xf>
    <xf numFmtId="0" fontId="5" fillId="0" borderId="0" xfId="0" applyFont="1" applyAlignment="1">
      <alignment horizontal="left" vertical="center" wrapText="1"/>
    </xf>
    <xf numFmtId="4" fontId="8" fillId="0" borderId="0" xfId="0" applyNumberFormat="1" applyFont="1" applyAlignment="1">
      <alignment horizontal="center" vertical="center"/>
    </xf>
    <xf numFmtId="165" fontId="5" fillId="5" borderId="1" xfId="0" applyNumberFormat="1" applyFont="1" applyFill="1" applyBorder="1" applyAlignment="1">
      <alignment horizontal="center" vertical="center" wrapText="1" shrinkToFit="1"/>
    </xf>
    <xf numFmtId="165" fontId="9" fillId="0" borderId="1" xfId="0" applyNumberFormat="1" applyFont="1" applyBorder="1" applyAlignment="1">
      <alignment horizontal="center" vertical="center" wrapText="1" shrinkToFit="1"/>
    </xf>
    <xf numFmtId="0" fontId="65" fillId="0" borderId="1" xfId="0" applyFont="1" applyBorder="1" applyAlignment="1">
      <alignment horizontal="center" vertical="center" wrapText="1"/>
    </xf>
    <xf numFmtId="0" fontId="77" fillId="0" borderId="1" xfId="0" applyFont="1" applyBorder="1" applyAlignment="1">
      <alignment horizontal="center" vertical="center" wrapText="1"/>
    </xf>
    <xf numFmtId="2" fontId="65" fillId="0" borderId="1" xfId="0" applyNumberFormat="1" applyFont="1" applyBorder="1" applyAlignment="1">
      <alignment horizontal="center" vertical="center" wrapText="1"/>
    </xf>
    <xf numFmtId="165" fontId="109" fillId="5" borderId="1" xfId="0" applyNumberFormat="1" applyFont="1" applyFill="1" applyBorder="1" applyAlignment="1">
      <alignment horizontal="center" vertical="center" wrapText="1" shrinkToFit="1"/>
    </xf>
    <xf numFmtId="165" fontId="5" fillId="6" borderId="1" xfId="0" applyNumberFormat="1" applyFont="1" applyFill="1" applyBorder="1" applyAlignment="1">
      <alignment horizontal="center" vertical="center" wrapText="1" shrinkToFit="1"/>
    </xf>
    <xf numFmtId="0" fontId="65" fillId="7" borderId="1" xfId="0" applyFont="1" applyFill="1" applyBorder="1" applyAlignment="1">
      <alignment horizontal="left" vertical="center" wrapText="1"/>
    </xf>
    <xf numFmtId="165" fontId="65" fillId="7" borderId="1" xfId="0" applyNumberFormat="1" applyFont="1" applyFill="1" applyBorder="1" applyAlignment="1">
      <alignment horizontal="left" vertical="center" wrapText="1" shrinkToFit="1"/>
    </xf>
    <xf numFmtId="165" fontId="8" fillId="5" borderId="1" xfId="0" applyNumberFormat="1" applyFont="1" applyFill="1" applyBorder="1" applyAlignment="1">
      <alignment horizontal="center" vertical="center" wrapText="1" shrinkToFit="1"/>
    </xf>
    <xf numFmtId="165" fontId="5" fillId="5" borderId="1" xfId="0" applyNumberFormat="1" applyFont="1" applyFill="1" applyBorder="1" applyAlignment="1">
      <alignment horizontal="left" vertical="center" wrapText="1" shrinkToFit="1"/>
    </xf>
    <xf numFmtId="0" fontId="65" fillId="0" borderId="1" xfId="0" applyFont="1" applyBorder="1" applyAlignment="1">
      <alignment horizontal="center" vertical="center" shrinkToFit="1"/>
    </xf>
    <xf numFmtId="0" fontId="41" fillId="2" borderId="0" xfId="0" applyFont="1" applyFill="1" applyAlignment="1">
      <alignment horizontal="right" wrapText="1"/>
    </xf>
    <xf numFmtId="0" fontId="41" fillId="0" borderId="0" xfId="0" applyFont="1" applyAlignment="1">
      <alignment horizontal="right" vertical="top" wrapText="1"/>
    </xf>
    <xf numFmtId="0" fontId="10" fillId="0" borderId="0" xfId="0" applyFont="1" applyAlignment="1">
      <alignment horizontal="right" wrapText="1"/>
    </xf>
    <xf numFmtId="0" fontId="34" fillId="0" borderId="0" xfId="0" applyFont="1" applyAlignment="1">
      <alignment horizontal="right" vertical="center"/>
    </xf>
    <xf numFmtId="0" fontId="64" fillId="0" borderId="0" xfId="0" applyFont="1" applyAlignment="1">
      <alignment horizontal="right"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34" fillId="0" borderId="0" xfId="0" applyFont="1" applyAlignment="1">
      <alignment horizontal="center" vertical="center"/>
    </xf>
    <xf numFmtId="0" fontId="64" fillId="0" borderId="0" xfId="0" applyFont="1" applyAlignment="1">
      <alignment horizontal="center" vertical="center"/>
    </xf>
    <xf numFmtId="0" fontId="101" fillId="0" borderId="0" xfId="0" applyFont="1" applyAlignment="1">
      <alignment horizontal="center" vertical="center"/>
    </xf>
    <xf numFmtId="0" fontId="102" fillId="0" borderId="0" xfId="0" applyFont="1" applyAlignment="1">
      <alignment horizontal="center" vertical="center"/>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167" fontId="4" fillId="0" borderId="1" xfId="0" applyNumberFormat="1" applyFont="1" applyBorder="1" applyAlignment="1">
      <alignment horizontal="center" vertical="center" wrapText="1"/>
    </xf>
    <xf numFmtId="4" fontId="105" fillId="0" borderId="1" xfId="0"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4" fillId="0" borderId="0" xfId="0" applyFont="1" applyFill="1" applyAlignment="1">
      <alignment horizontal="right" wrapText="1"/>
    </xf>
    <xf numFmtId="0" fontId="8" fillId="0" borderId="0" xfId="0" applyFont="1" applyFill="1"/>
    <xf numFmtId="0" fontId="9" fillId="0" borderId="0" xfId="0" applyFont="1" applyFill="1"/>
    <xf numFmtId="0" fontId="9" fillId="0" borderId="0" xfId="0" applyFont="1" applyFill="1" applyAlignment="1">
      <alignment horizontal="center" vertical="top" wrapText="1"/>
    </xf>
    <xf numFmtId="0" fontId="0" fillId="0" borderId="0" xfId="0" applyFont="1" applyFill="1" applyAlignment="1">
      <alignment wrapText="1"/>
    </xf>
    <xf numFmtId="0" fontId="0" fillId="0" borderId="0" xfId="0" applyFont="1" applyFill="1" applyAlignment="1"/>
    <xf numFmtId="0" fontId="4" fillId="0" borderId="0" xfId="0" applyFont="1" applyFill="1" applyAlignment="1">
      <alignment horizontal="right" vertical="top" wrapText="1"/>
    </xf>
    <xf numFmtId="0" fontId="120" fillId="0" borderId="2" xfId="0" applyFont="1" applyFill="1" applyBorder="1" applyAlignment="1">
      <alignment horizontal="center"/>
    </xf>
    <xf numFmtId="0" fontId="120" fillId="0" borderId="0" xfId="0" applyFont="1" applyFill="1" applyBorder="1" applyAlignment="1"/>
    <xf numFmtId="0" fontId="5" fillId="0" borderId="2" xfId="0" applyFont="1" applyFill="1" applyBorder="1" applyAlignment="1">
      <alignment horizontal="right"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21"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9" fillId="0" borderId="1" xfId="0" applyFont="1" applyFill="1" applyBorder="1" applyAlignment="1">
      <alignment horizontal="center" vertical="center" textRotation="90"/>
    </xf>
    <xf numFmtId="0" fontId="34" fillId="0" borderId="1" xfId="0" applyFont="1" applyFill="1" applyBorder="1" applyAlignment="1">
      <alignment horizontal="center" vertical="center" textRotation="90" wrapText="1"/>
    </xf>
    <xf numFmtId="0" fontId="39"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xf>
    <xf numFmtId="0" fontId="122" fillId="0" borderId="1" xfId="0" applyFont="1" applyFill="1" applyBorder="1" applyAlignment="1">
      <alignment horizontal="center" vertical="center"/>
    </xf>
    <xf numFmtId="166" fontId="59" fillId="0" borderId="1" xfId="0" applyNumberFormat="1" applyFont="1" applyFill="1" applyBorder="1" applyAlignment="1">
      <alignment horizontal="center" vertical="center" wrapText="1"/>
    </xf>
    <xf numFmtId="166" fontId="59" fillId="0" borderId="4" xfId="0" applyNumberFormat="1" applyFont="1" applyFill="1" applyBorder="1" applyAlignment="1">
      <alignment horizontal="center" vertical="center" wrapText="1"/>
    </xf>
    <xf numFmtId="166" fontId="60" fillId="0" borderId="4" xfId="0" applyNumberFormat="1" applyFont="1" applyFill="1" applyBorder="1" applyAlignment="1">
      <alignment horizontal="center" vertical="center" wrapText="1"/>
    </xf>
    <xf numFmtId="166" fontId="59" fillId="0" borderId="6" xfId="0" applyNumberFormat="1" applyFont="1" applyFill="1" applyBorder="1" applyAlignment="1">
      <alignment horizontal="center" vertical="center" wrapText="1"/>
    </xf>
    <xf numFmtId="166" fontId="60" fillId="0" borderId="6" xfId="0" applyNumberFormat="1" applyFont="1" applyFill="1" applyBorder="1" applyAlignment="1">
      <alignment horizontal="center" vertical="center" wrapText="1"/>
    </xf>
    <xf numFmtId="166" fontId="59" fillId="0" borderId="5" xfId="0" applyNumberFormat="1" applyFont="1" applyFill="1" applyBorder="1" applyAlignment="1">
      <alignment horizontal="center" vertical="center" wrapText="1"/>
    </xf>
    <xf numFmtId="166" fontId="60" fillId="0" borderId="5" xfId="0" applyNumberFormat="1" applyFont="1" applyFill="1" applyBorder="1" applyAlignment="1">
      <alignment horizontal="center" vertical="center" wrapText="1"/>
    </xf>
    <xf numFmtId="166" fontId="60" fillId="0" borderId="9" xfId="0" applyNumberFormat="1" applyFont="1" applyFill="1" applyBorder="1" applyAlignment="1">
      <alignment horizontal="center" vertical="center"/>
    </xf>
    <xf numFmtId="166" fontId="60" fillId="0" borderId="10" xfId="0" applyNumberFormat="1" applyFont="1" applyFill="1" applyBorder="1" applyAlignment="1">
      <alignment horizontal="center" vertical="center"/>
    </xf>
    <xf numFmtId="166" fontId="60" fillId="0" borderId="13" xfId="0" applyNumberFormat="1" applyFont="1" applyFill="1" applyBorder="1" applyAlignment="1">
      <alignment horizontal="center" vertical="center"/>
    </xf>
    <xf numFmtId="166" fontId="59" fillId="0" borderId="1" xfId="0" applyNumberFormat="1" applyFont="1" applyFill="1" applyBorder="1" applyAlignment="1">
      <alignment horizontal="center" vertical="center" wrapText="1"/>
    </xf>
    <xf numFmtId="166" fontId="60" fillId="0" borderId="14" xfId="0" applyNumberFormat="1" applyFont="1" applyFill="1" applyBorder="1" applyAlignment="1">
      <alignment horizontal="center" vertical="center"/>
    </xf>
    <xf numFmtId="166" fontId="60" fillId="0" borderId="13" xfId="0" applyNumberFormat="1" applyFont="1" applyFill="1" applyBorder="1" applyAlignment="1">
      <alignment horizontal="center" vertical="center"/>
    </xf>
    <xf numFmtId="166" fontId="60" fillId="0" borderId="1" xfId="0" applyNumberFormat="1" applyFont="1" applyFill="1" applyBorder="1" applyAlignment="1">
      <alignment vertical="center"/>
    </xf>
    <xf numFmtId="167" fontId="0" fillId="0" borderId="0" xfId="0" applyNumberFormat="1" applyFont="1" applyFill="1"/>
    <xf numFmtId="167" fontId="23" fillId="0" borderId="0" xfId="0" applyNumberFormat="1" applyFont="1" applyFill="1"/>
    <xf numFmtId="167" fontId="0" fillId="0" borderId="12" xfId="0" applyNumberFormat="1" applyFont="1" applyFill="1" applyBorder="1"/>
    <xf numFmtId="167" fontId="23" fillId="0" borderId="12" xfId="0" applyNumberFormat="1" applyFont="1" applyFill="1" applyBorder="1"/>
    <xf numFmtId="167" fontId="123" fillId="0" borderId="0" xfId="0" applyNumberFormat="1" applyFont="1" applyFill="1"/>
    <xf numFmtId="165" fontId="44" fillId="0" borderId="0" xfId="0" applyNumberFormat="1" applyFont="1" applyFill="1" applyAlignment="1">
      <alignment horizontal="center"/>
    </xf>
    <xf numFmtId="0" fontId="44" fillId="0" borderId="0" xfId="0" applyFont="1" applyFill="1" applyAlignment="1">
      <alignment horizontal="center"/>
    </xf>
    <xf numFmtId="0" fontId="11" fillId="0" borderId="0" xfId="0" applyFont="1" applyFill="1"/>
    <xf numFmtId="167" fontId="44" fillId="0" borderId="0" xfId="0" applyNumberFormat="1" applyFont="1" applyFill="1"/>
    <xf numFmtId="165" fontId="10" fillId="0" borderId="0" xfId="0" applyNumberFormat="1" applyFont="1" applyFill="1"/>
    <xf numFmtId="165" fontId="0" fillId="0" borderId="0" xfId="0" applyNumberFormat="1" applyFont="1" applyFill="1"/>
    <xf numFmtId="165" fontId="124" fillId="0" borderId="0" xfId="0" applyNumberFormat="1" applyFont="1" applyFill="1"/>
  </cellXfs>
  <cellStyles count="11">
    <cellStyle name="Обычный" xfId="0" builtinId="0"/>
    <cellStyle name="Обычный 2" xfId="6" xr:uid="{00000000-0005-0000-0000-000001000000}"/>
    <cellStyle name="Обычный 2 2" xfId="1" xr:uid="{00000000-0005-0000-0000-000002000000}"/>
    <cellStyle name="Обычный 2 3" xfId="2" xr:uid="{00000000-0005-0000-0000-000003000000}"/>
    <cellStyle name="Обычный 2 4" xfId="9" xr:uid="{00000000-0005-0000-0000-000004000000}"/>
    <cellStyle name="Обычный 3" xfId="7" xr:uid="{00000000-0005-0000-0000-000005000000}"/>
    <cellStyle name="Обычный 3 2" xfId="10" xr:uid="{00000000-0005-0000-0000-000006000000}"/>
    <cellStyle name="Обычный 4" xfId="8" xr:uid="{00000000-0005-0000-0000-000007000000}"/>
    <cellStyle name="Обычный_Лист1" xfId="3" xr:uid="{00000000-0005-0000-0000-000008000000}"/>
    <cellStyle name="Обычный_Лист1_1" xfId="4" xr:uid="{00000000-0005-0000-0000-000009000000}"/>
    <cellStyle name="Финансовый" xfId="5"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13"/>
  <sheetViews>
    <sheetView view="pageBreakPreview" topLeftCell="S134" zoomScale="60" zoomScaleNormal="50" workbookViewId="0">
      <selection activeCell="A94" sqref="A94:AN141"/>
    </sheetView>
  </sheetViews>
  <sheetFormatPr defaultColWidth="9.109375" defaultRowHeight="42" customHeight="1" outlineLevelRow="1" outlineLevelCol="1" x14ac:dyDescent="0.35"/>
  <cols>
    <col min="1" max="1" width="5.88671875" style="33" customWidth="1"/>
    <col min="2" max="2" width="35.109375" style="182" customWidth="1"/>
    <col min="3" max="3" width="21.88671875" style="33" customWidth="1"/>
    <col min="4" max="4" width="16.44140625" style="33" customWidth="1"/>
    <col min="5" max="5" width="17" style="32" customWidth="1" outlineLevel="1"/>
    <col min="6" max="6" width="14.6640625" style="33" customWidth="1" outlineLevel="1"/>
    <col min="7" max="7" width="17.109375" style="33" customWidth="1" outlineLevel="1"/>
    <col min="8" max="8" width="14" style="33" customWidth="1" outlineLevel="1"/>
    <col min="9" max="9" width="12.33203125" style="33" customWidth="1" outlineLevel="1"/>
    <col min="10" max="10" width="18.6640625" style="32" customWidth="1" outlineLevel="1"/>
    <col min="11" max="11" width="17.88671875" style="33" customWidth="1" outlineLevel="1"/>
    <col min="12" max="12" width="16" style="33" customWidth="1" outlineLevel="1"/>
    <col min="13" max="13" width="15.33203125" style="33" customWidth="1" outlineLevel="1"/>
    <col min="14" max="14" width="13.6640625" style="33" customWidth="1" outlineLevel="1"/>
    <col min="15" max="15" width="16.5546875" style="32" customWidth="1" outlineLevel="1"/>
    <col min="16" max="16" width="15.5546875" style="33" customWidth="1" outlineLevel="1"/>
    <col min="17" max="17" width="17.6640625" style="33" customWidth="1" outlineLevel="1"/>
    <col min="18" max="18" width="14.44140625" style="33" customWidth="1" outlineLevel="1"/>
    <col min="19" max="19" width="12.44140625" style="33" customWidth="1" outlineLevel="1"/>
    <col min="20" max="20" width="17.44140625" style="32" customWidth="1" outlineLevel="1"/>
    <col min="21" max="21" width="16.33203125" style="33" customWidth="1" outlineLevel="1"/>
    <col min="22" max="22" width="15.33203125" style="33" customWidth="1" outlineLevel="1"/>
    <col min="23" max="23" width="15.109375" style="33" customWidth="1" outlineLevel="1"/>
    <col min="24" max="24" width="14.33203125" style="33" customWidth="1" outlineLevel="1"/>
    <col min="25" max="25" width="17.109375" style="32" customWidth="1" outlineLevel="1"/>
    <col min="26" max="26" width="16.5546875" style="33" customWidth="1" outlineLevel="1"/>
    <col min="27" max="27" width="14" style="33" customWidth="1" outlineLevel="1"/>
    <col min="28" max="28" width="7.5546875" style="33" customWidth="1" outlineLevel="1"/>
    <col min="29" max="29" width="10.33203125" style="33" customWidth="1" outlineLevel="1"/>
    <col min="30" max="30" width="17.33203125" style="32" customWidth="1" outlineLevel="1"/>
    <col min="31" max="31" width="17.6640625" style="33" customWidth="1" outlineLevel="1"/>
    <col min="32" max="32" width="16.33203125" style="33" customWidth="1" outlineLevel="1"/>
    <col min="33" max="33" width="13.88671875" style="33" customWidth="1" outlineLevel="1"/>
    <col min="34" max="34" width="10.5546875" style="33" customWidth="1" outlineLevel="1"/>
    <col min="35" max="35" width="18.44140625" style="32" customWidth="1"/>
    <col min="36" max="36" width="15.33203125" style="15" customWidth="1"/>
    <col min="37" max="37" width="19.109375" style="33" customWidth="1"/>
    <col min="38" max="38" width="15.5546875" style="33" customWidth="1"/>
    <col min="39" max="39" width="8.44140625" style="33" customWidth="1"/>
    <col min="40" max="40" width="21.109375" style="32" customWidth="1"/>
    <col min="41" max="41" width="20.6640625" style="217" bestFit="1" customWidth="1"/>
    <col min="42" max="42" width="19.6640625" style="217" customWidth="1"/>
    <col min="43" max="43" width="20.6640625" style="217" bestFit="1" customWidth="1"/>
    <col min="44" max="44" width="20.33203125" style="217" customWidth="1"/>
    <col min="45" max="45" width="17" style="217" customWidth="1"/>
    <col min="46" max="46" width="19.6640625" style="218" customWidth="1"/>
    <col min="47" max="49" width="19.33203125" style="218" bestFit="1" customWidth="1"/>
    <col min="50" max="50" width="17.33203125" style="218" bestFit="1" customWidth="1"/>
    <col min="51" max="51" width="22" style="217" customWidth="1"/>
    <col min="52" max="52" width="24" style="217" customWidth="1"/>
    <col min="53" max="53" width="18.33203125" style="217" customWidth="1"/>
    <col min="54" max="54" width="21.88671875" style="217" customWidth="1"/>
    <col min="55" max="55" width="22.6640625" style="217" customWidth="1"/>
    <col min="56" max="56" width="9.109375" style="217"/>
    <col min="57" max="16384" width="9.109375" style="3"/>
  </cols>
  <sheetData>
    <row r="1" spans="1:56" ht="74.400000000000006" customHeight="1" x14ac:dyDescent="0.35">
      <c r="A1" s="15"/>
      <c r="B1" s="175"/>
      <c r="C1" s="15"/>
      <c r="D1" s="15"/>
      <c r="E1" s="16"/>
      <c r="F1" s="15"/>
      <c r="G1" s="15"/>
      <c r="H1" s="15"/>
      <c r="I1" s="15"/>
      <c r="J1" s="16"/>
      <c r="K1" s="15"/>
      <c r="L1" s="15"/>
      <c r="M1" s="15"/>
      <c r="N1" s="15"/>
      <c r="O1" s="16"/>
      <c r="P1" s="15"/>
      <c r="Q1" s="15"/>
      <c r="R1" s="15"/>
      <c r="S1" s="15"/>
      <c r="T1" s="16"/>
      <c r="U1" s="15"/>
      <c r="V1" s="15"/>
      <c r="W1" s="15"/>
      <c r="X1" s="15"/>
      <c r="Y1" s="16"/>
      <c r="Z1" s="15"/>
      <c r="AA1" s="15"/>
      <c r="AB1" s="15"/>
      <c r="AC1" s="15"/>
      <c r="AD1" s="16"/>
      <c r="AE1" s="15"/>
      <c r="AF1" s="15"/>
      <c r="AG1" s="15"/>
      <c r="AH1" s="15"/>
      <c r="AI1" s="585" t="s">
        <v>1482</v>
      </c>
      <c r="AJ1" s="585"/>
      <c r="AK1" s="585"/>
      <c r="AL1" s="585"/>
      <c r="AM1" s="585"/>
      <c r="AN1" s="585"/>
    </row>
    <row r="2" spans="1:56" ht="42" customHeight="1" x14ac:dyDescent="0.35">
      <c r="A2" s="15"/>
      <c r="B2" s="175"/>
      <c r="C2" s="15"/>
      <c r="D2" s="15"/>
      <c r="E2" s="16"/>
      <c r="F2" s="15"/>
      <c r="G2" s="15"/>
      <c r="H2" s="15"/>
      <c r="I2" s="15"/>
      <c r="J2" s="16"/>
      <c r="K2" s="15"/>
      <c r="L2" s="15"/>
      <c r="M2" s="15"/>
      <c r="N2" s="15"/>
      <c r="O2" s="16"/>
      <c r="P2" s="15"/>
      <c r="Q2" s="15"/>
      <c r="R2" s="15"/>
      <c r="S2" s="15"/>
      <c r="T2" s="16"/>
      <c r="U2" s="15"/>
      <c r="V2" s="15"/>
      <c r="W2" s="15"/>
      <c r="X2" s="15"/>
      <c r="Y2" s="16"/>
      <c r="Z2" s="15"/>
      <c r="AA2" s="15"/>
      <c r="AB2" s="15"/>
      <c r="AC2" s="15"/>
      <c r="AD2" s="16"/>
      <c r="AE2" s="15"/>
      <c r="AF2" s="15"/>
      <c r="AG2" s="15"/>
      <c r="AH2" s="15"/>
      <c r="AI2" s="151"/>
      <c r="AJ2" s="529"/>
      <c r="AK2" s="152"/>
      <c r="AL2" s="152"/>
      <c r="AM2" s="529"/>
      <c r="AN2" s="529"/>
    </row>
    <row r="3" spans="1:56" s="4" customFormat="1" ht="71.099999999999994" customHeight="1" x14ac:dyDescent="0.35">
      <c r="A3" s="17"/>
      <c r="B3" s="176"/>
      <c r="C3" s="153"/>
      <c r="D3" s="153"/>
      <c r="E3" s="16"/>
      <c r="F3" s="15"/>
      <c r="G3" s="15"/>
      <c r="H3" s="15"/>
      <c r="I3" s="15"/>
      <c r="J3" s="586"/>
      <c r="K3" s="587"/>
      <c r="L3" s="587"/>
      <c r="M3" s="587"/>
      <c r="N3" s="587"/>
      <c r="O3" s="18"/>
      <c r="P3" s="18"/>
      <c r="Q3" s="18"/>
      <c r="R3" s="18"/>
      <c r="S3" s="18"/>
      <c r="T3" s="18"/>
      <c r="U3" s="18"/>
      <c r="V3" s="18"/>
      <c r="W3" s="18"/>
      <c r="X3" s="18"/>
      <c r="Y3" s="18"/>
      <c r="Z3" s="18"/>
      <c r="AA3" s="18"/>
      <c r="AB3" s="18"/>
      <c r="AC3" s="18"/>
      <c r="AD3" s="19"/>
      <c r="AE3" s="18"/>
      <c r="AF3" s="18"/>
      <c r="AG3" s="18"/>
      <c r="AH3" s="585" t="s">
        <v>1270</v>
      </c>
      <c r="AI3" s="585"/>
      <c r="AJ3" s="585"/>
      <c r="AK3" s="585"/>
      <c r="AL3" s="585"/>
      <c r="AM3" s="585"/>
      <c r="AN3" s="585"/>
      <c r="AO3" s="217"/>
      <c r="AP3" s="217"/>
      <c r="AQ3" s="217"/>
      <c r="AR3" s="217"/>
      <c r="AS3" s="217"/>
      <c r="AT3" s="218"/>
      <c r="AU3" s="218"/>
      <c r="AV3" s="218"/>
      <c r="AW3" s="218"/>
      <c r="AX3" s="218"/>
      <c r="AY3" s="217"/>
      <c r="AZ3" s="217"/>
      <c r="BA3" s="217"/>
      <c r="BB3" s="217"/>
      <c r="BC3" s="217"/>
      <c r="BD3" s="217"/>
    </row>
    <row r="4" spans="1:56" s="4" customFormat="1" ht="13.35" customHeight="1" x14ac:dyDescent="0.35">
      <c r="A4" s="17"/>
      <c r="B4" s="176"/>
      <c r="C4" s="153"/>
      <c r="D4" s="153"/>
      <c r="E4" s="16"/>
      <c r="F4" s="15"/>
      <c r="G4" s="15"/>
      <c r="H4" s="15"/>
      <c r="I4" s="15"/>
      <c r="J4" s="530"/>
      <c r="K4" s="531"/>
      <c r="L4" s="531"/>
      <c r="M4" s="531"/>
      <c r="N4" s="531"/>
      <c r="O4" s="18"/>
      <c r="P4" s="18"/>
      <c r="Q4" s="154"/>
      <c r="R4" s="18"/>
      <c r="S4" s="18"/>
      <c r="T4" s="18"/>
      <c r="U4" s="18"/>
      <c r="V4" s="18"/>
      <c r="W4" s="18"/>
      <c r="X4" s="18"/>
      <c r="Y4" s="18"/>
      <c r="Z4" s="18"/>
      <c r="AA4" s="18"/>
      <c r="AB4" s="18"/>
      <c r="AC4" s="18"/>
      <c r="AD4" s="19"/>
      <c r="AE4" s="18"/>
      <c r="AF4" s="18"/>
      <c r="AG4" s="18"/>
      <c r="AH4" s="18"/>
      <c r="AI4" s="151"/>
      <c r="AJ4" s="20"/>
      <c r="AK4" s="155"/>
      <c r="AL4" s="155"/>
      <c r="AM4" s="20"/>
      <c r="AN4" s="20"/>
      <c r="AO4" s="217"/>
      <c r="AP4" s="217"/>
      <c r="AQ4" s="217"/>
      <c r="AR4" s="217"/>
      <c r="AS4" s="217"/>
      <c r="AT4" s="218"/>
      <c r="AU4" s="218"/>
      <c r="AV4" s="218"/>
      <c r="AW4" s="218"/>
      <c r="AX4" s="218"/>
      <c r="AY4" s="217"/>
      <c r="AZ4" s="217"/>
      <c r="BA4" s="217"/>
      <c r="BB4" s="217"/>
      <c r="BC4" s="217"/>
      <c r="BD4" s="217"/>
    </row>
    <row r="5" spans="1:56" ht="42" customHeight="1" x14ac:dyDescent="0.4">
      <c r="A5" s="17"/>
      <c r="B5" s="588" t="s">
        <v>92</v>
      </c>
      <c r="C5" s="588"/>
      <c r="D5" s="588"/>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row>
    <row r="6" spans="1:56" ht="42" customHeight="1" x14ac:dyDescent="0.35">
      <c r="A6" s="582" t="s">
        <v>4</v>
      </c>
      <c r="B6" s="543" t="s">
        <v>86</v>
      </c>
      <c r="C6" s="590" t="s">
        <v>85</v>
      </c>
      <c r="D6" s="590" t="s">
        <v>20</v>
      </c>
      <c r="E6" s="590" t="s">
        <v>84</v>
      </c>
      <c r="F6" s="590"/>
      <c r="G6" s="590"/>
      <c r="H6" s="590"/>
      <c r="I6" s="590"/>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2" t="s">
        <v>5</v>
      </c>
    </row>
    <row r="7" spans="1:56" ht="42" customHeight="1" x14ac:dyDescent="0.45">
      <c r="A7" s="582"/>
      <c r="B7" s="563"/>
      <c r="C7" s="590"/>
      <c r="D7" s="591"/>
      <c r="E7" s="582" t="s">
        <v>25</v>
      </c>
      <c r="F7" s="582"/>
      <c r="G7" s="582"/>
      <c r="H7" s="582"/>
      <c r="I7" s="582"/>
      <c r="J7" s="582" t="s">
        <v>26</v>
      </c>
      <c r="K7" s="582"/>
      <c r="L7" s="582"/>
      <c r="M7" s="582"/>
      <c r="N7" s="582"/>
      <c r="O7" s="582" t="s">
        <v>27</v>
      </c>
      <c r="P7" s="582"/>
      <c r="Q7" s="582"/>
      <c r="R7" s="582"/>
      <c r="S7" s="582"/>
      <c r="T7" s="582" t="s">
        <v>28</v>
      </c>
      <c r="U7" s="582"/>
      <c r="V7" s="582"/>
      <c r="W7" s="582"/>
      <c r="X7" s="582"/>
      <c r="Y7" s="582" t="s">
        <v>29</v>
      </c>
      <c r="Z7" s="582"/>
      <c r="AA7" s="582"/>
      <c r="AB7" s="582"/>
      <c r="AC7" s="582"/>
      <c r="AD7" s="582" t="s">
        <v>30</v>
      </c>
      <c r="AE7" s="582"/>
      <c r="AF7" s="582"/>
      <c r="AG7" s="582"/>
      <c r="AH7" s="582"/>
      <c r="AI7" s="582" t="s">
        <v>31</v>
      </c>
      <c r="AJ7" s="582"/>
      <c r="AK7" s="582"/>
      <c r="AL7" s="582"/>
      <c r="AM7" s="582"/>
      <c r="AN7" s="592"/>
      <c r="AO7" s="557" t="s">
        <v>1486</v>
      </c>
      <c r="AP7" s="558"/>
      <c r="AQ7" s="558"/>
      <c r="AR7" s="558"/>
      <c r="AS7" s="559"/>
      <c r="AT7" s="540" t="s">
        <v>1369</v>
      </c>
      <c r="AU7" s="540"/>
      <c r="AV7" s="540"/>
      <c r="AW7" s="540"/>
      <c r="AX7" s="540"/>
      <c r="AY7" s="541" t="s">
        <v>1288</v>
      </c>
      <c r="AZ7" s="541"/>
      <c r="BA7" s="541"/>
      <c r="BB7" s="541"/>
      <c r="BC7" s="541"/>
    </row>
    <row r="8" spans="1:56" ht="85.5" customHeight="1" x14ac:dyDescent="0.35">
      <c r="A8" s="582"/>
      <c r="B8" s="563"/>
      <c r="C8" s="590"/>
      <c r="D8" s="591"/>
      <c r="E8" s="21" t="s">
        <v>6</v>
      </c>
      <c r="F8" s="22" t="s">
        <v>21</v>
      </c>
      <c r="G8" s="22" t="s">
        <v>22</v>
      </c>
      <c r="H8" s="22" t="s">
        <v>23</v>
      </c>
      <c r="I8" s="22" t="s">
        <v>24</v>
      </c>
      <c r="J8" s="21" t="s">
        <v>6</v>
      </c>
      <c r="K8" s="22" t="s">
        <v>21</v>
      </c>
      <c r="L8" s="22" t="s">
        <v>22</v>
      </c>
      <c r="M8" s="22" t="s">
        <v>23</v>
      </c>
      <c r="N8" s="22" t="s">
        <v>24</v>
      </c>
      <c r="O8" s="21" t="s">
        <v>6</v>
      </c>
      <c r="P8" s="22" t="s">
        <v>21</v>
      </c>
      <c r="Q8" s="22" t="s">
        <v>22</v>
      </c>
      <c r="R8" s="22" t="s">
        <v>23</v>
      </c>
      <c r="S8" s="22" t="s">
        <v>24</v>
      </c>
      <c r="T8" s="21" t="s">
        <v>6</v>
      </c>
      <c r="U8" s="22" t="s">
        <v>21</v>
      </c>
      <c r="V8" s="22" t="s">
        <v>22</v>
      </c>
      <c r="W8" s="22" t="s">
        <v>23</v>
      </c>
      <c r="X8" s="22" t="s">
        <v>24</v>
      </c>
      <c r="Y8" s="21" t="s">
        <v>6</v>
      </c>
      <c r="Z8" s="22" t="s">
        <v>21</v>
      </c>
      <c r="AA8" s="22" t="s">
        <v>22</v>
      </c>
      <c r="AB8" s="22" t="s">
        <v>23</v>
      </c>
      <c r="AC8" s="22" t="s">
        <v>24</v>
      </c>
      <c r="AD8" s="21" t="s">
        <v>6</v>
      </c>
      <c r="AE8" s="22" t="s">
        <v>21</v>
      </c>
      <c r="AF8" s="22" t="s">
        <v>22</v>
      </c>
      <c r="AG8" s="22" t="s">
        <v>23</v>
      </c>
      <c r="AH8" s="22" t="s">
        <v>24</v>
      </c>
      <c r="AI8" s="148" t="s">
        <v>6</v>
      </c>
      <c r="AJ8" s="22" t="s">
        <v>21</v>
      </c>
      <c r="AK8" s="149" t="s">
        <v>22</v>
      </c>
      <c r="AL8" s="149" t="s">
        <v>23</v>
      </c>
      <c r="AM8" s="22" t="s">
        <v>24</v>
      </c>
      <c r="AN8" s="592"/>
      <c r="AO8" s="219" t="s">
        <v>6</v>
      </c>
      <c r="AP8" s="220" t="s">
        <v>21</v>
      </c>
      <c r="AQ8" s="220" t="s">
        <v>22</v>
      </c>
      <c r="AR8" s="220" t="s">
        <v>23</v>
      </c>
      <c r="AS8" s="221" t="s">
        <v>24</v>
      </c>
      <c r="AT8" s="222" t="s">
        <v>6</v>
      </c>
      <c r="AU8" s="223" t="s">
        <v>21</v>
      </c>
      <c r="AV8" s="223" t="s">
        <v>22</v>
      </c>
      <c r="AW8" s="223" t="s">
        <v>23</v>
      </c>
      <c r="AX8" s="223" t="s">
        <v>24</v>
      </c>
      <c r="AY8" s="219" t="s">
        <v>6</v>
      </c>
      <c r="AZ8" s="220" t="s">
        <v>21</v>
      </c>
      <c r="BA8" s="220" t="s">
        <v>22</v>
      </c>
      <c r="BB8" s="220" t="s">
        <v>23</v>
      </c>
      <c r="BC8" s="221" t="s">
        <v>24</v>
      </c>
    </row>
    <row r="9" spans="1:56" s="473" customFormat="1" ht="26.4" customHeight="1" x14ac:dyDescent="0.35">
      <c r="A9" s="28">
        <v>1</v>
      </c>
      <c r="B9" s="24">
        <v>2</v>
      </c>
      <c r="C9" s="24">
        <v>3</v>
      </c>
      <c r="D9" s="24">
        <v>4</v>
      </c>
      <c r="E9" s="24">
        <v>5</v>
      </c>
      <c r="F9" s="24">
        <v>6</v>
      </c>
      <c r="G9" s="24">
        <v>7</v>
      </c>
      <c r="H9" s="24">
        <v>8</v>
      </c>
      <c r="I9" s="24">
        <v>9</v>
      </c>
      <c r="J9" s="24">
        <v>10</v>
      </c>
      <c r="K9" s="24">
        <v>11</v>
      </c>
      <c r="L9" s="24">
        <v>12</v>
      </c>
      <c r="M9" s="24">
        <v>13</v>
      </c>
      <c r="N9" s="24">
        <v>14</v>
      </c>
      <c r="O9" s="24">
        <v>15</v>
      </c>
      <c r="P9" s="24">
        <v>16</v>
      </c>
      <c r="Q9" s="24">
        <v>17</v>
      </c>
      <c r="R9" s="24">
        <v>18</v>
      </c>
      <c r="S9" s="24">
        <v>19</v>
      </c>
      <c r="T9" s="24">
        <v>20</v>
      </c>
      <c r="U9" s="24">
        <v>21</v>
      </c>
      <c r="V9" s="24">
        <v>22</v>
      </c>
      <c r="W9" s="24">
        <v>23</v>
      </c>
      <c r="X9" s="24">
        <v>24</v>
      </c>
      <c r="Y9" s="24">
        <v>25</v>
      </c>
      <c r="Z9" s="24">
        <v>26</v>
      </c>
      <c r="AA9" s="24">
        <v>27</v>
      </c>
      <c r="AB9" s="24">
        <v>28</v>
      </c>
      <c r="AC9" s="24">
        <v>29</v>
      </c>
      <c r="AD9" s="24">
        <v>30</v>
      </c>
      <c r="AE9" s="24">
        <v>31</v>
      </c>
      <c r="AF9" s="24">
        <v>32</v>
      </c>
      <c r="AG9" s="24">
        <v>33</v>
      </c>
      <c r="AH9" s="24">
        <v>34</v>
      </c>
      <c r="AI9" s="470">
        <v>35</v>
      </c>
      <c r="AJ9" s="24">
        <v>36</v>
      </c>
      <c r="AK9" s="470">
        <v>37</v>
      </c>
      <c r="AL9" s="470">
        <v>38</v>
      </c>
      <c r="AM9" s="24">
        <v>39</v>
      </c>
      <c r="AN9" s="24">
        <v>40</v>
      </c>
      <c r="AO9" s="471"/>
      <c r="AP9" s="471"/>
      <c r="AQ9" s="471"/>
      <c r="AR9" s="471"/>
      <c r="AS9" s="471"/>
      <c r="AT9" s="472"/>
      <c r="AU9" s="472"/>
      <c r="AV9" s="472"/>
      <c r="AW9" s="472"/>
      <c r="AX9" s="472"/>
      <c r="AY9" s="471"/>
      <c r="AZ9" s="471"/>
      <c r="BA9" s="471"/>
      <c r="BB9" s="471"/>
      <c r="BC9" s="471"/>
      <c r="BD9" s="471"/>
    </row>
    <row r="10" spans="1:56" s="6" customFormat="1" ht="42" customHeight="1" outlineLevel="1" x14ac:dyDescent="0.4">
      <c r="A10" s="561" t="s">
        <v>64</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224"/>
      <c r="AP10" s="224"/>
      <c r="AQ10" s="224"/>
      <c r="AR10" s="224"/>
      <c r="AS10" s="224"/>
      <c r="AT10" s="225"/>
      <c r="AU10" s="225"/>
      <c r="AV10" s="225"/>
      <c r="AW10" s="225"/>
      <c r="AX10" s="225"/>
      <c r="AY10" s="224"/>
      <c r="AZ10" s="224"/>
      <c r="BA10" s="224"/>
      <c r="BB10" s="224"/>
      <c r="BC10" s="224"/>
      <c r="BD10" s="224"/>
    </row>
    <row r="11" spans="1:56" s="6" customFormat="1" ht="42" customHeight="1" outlineLevel="1" x14ac:dyDescent="0.4">
      <c r="A11" s="561" t="s">
        <v>65</v>
      </c>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224"/>
      <c r="AP11" s="224"/>
      <c r="AQ11" s="224"/>
      <c r="AR11" s="224"/>
      <c r="AS11" s="224"/>
      <c r="AT11" s="225"/>
      <c r="AU11" s="225"/>
      <c r="AV11" s="225"/>
      <c r="AW11" s="225"/>
      <c r="AX11" s="225"/>
      <c r="AY11" s="224"/>
      <c r="AZ11" s="224"/>
      <c r="BA11" s="224"/>
      <c r="BB11" s="224"/>
      <c r="BC11" s="224"/>
      <c r="BD11" s="224"/>
    </row>
    <row r="12" spans="1:56" s="4" customFormat="1" ht="42" customHeight="1" outlineLevel="1" x14ac:dyDescent="0.4">
      <c r="A12" s="546" t="s">
        <v>93</v>
      </c>
      <c r="B12" s="546"/>
      <c r="C12" s="546"/>
      <c r="D12" s="546"/>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217"/>
      <c r="AP12" s="217"/>
      <c r="AQ12" s="217"/>
      <c r="AR12" s="217"/>
      <c r="AS12" s="217"/>
      <c r="AT12" s="218"/>
      <c r="AU12" s="218"/>
      <c r="AV12" s="218"/>
      <c r="AW12" s="218"/>
      <c r="AX12" s="218"/>
      <c r="AY12" s="217"/>
      <c r="AZ12" s="217"/>
      <c r="BA12" s="217"/>
      <c r="BB12" s="217"/>
      <c r="BC12" s="217"/>
      <c r="BD12" s="217"/>
    </row>
    <row r="13" spans="1:56" s="4" customFormat="1" ht="42" customHeight="1" outlineLevel="1" x14ac:dyDescent="0.35">
      <c r="A13" s="542" t="s">
        <v>75</v>
      </c>
      <c r="B13" s="583"/>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217"/>
      <c r="AP13" s="217"/>
      <c r="AQ13" s="217"/>
      <c r="AR13" s="217"/>
      <c r="AS13" s="217"/>
      <c r="AT13" s="218"/>
      <c r="AU13" s="218"/>
      <c r="AV13" s="218"/>
      <c r="AW13" s="218"/>
      <c r="AX13" s="218"/>
      <c r="AY13" s="217"/>
      <c r="AZ13" s="217"/>
      <c r="BA13" s="217"/>
      <c r="BB13" s="217"/>
      <c r="BC13" s="217"/>
      <c r="BD13" s="217"/>
    </row>
    <row r="14" spans="1:56" s="4" customFormat="1" ht="42" customHeight="1" outlineLevel="1" x14ac:dyDescent="0.35">
      <c r="A14" s="542" t="s">
        <v>66</v>
      </c>
      <c r="B14" s="583"/>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217"/>
      <c r="AP14" s="217"/>
      <c r="AQ14" s="217"/>
      <c r="AR14" s="217"/>
      <c r="AS14" s="217"/>
      <c r="AT14" s="218"/>
      <c r="AU14" s="218"/>
      <c r="AV14" s="218" t="s">
        <v>268</v>
      </c>
      <c r="AW14" s="218"/>
      <c r="AX14" s="218"/>
      <c r="AY14" s="217"/>
      <c r="AZ14" s="217"/>
      <c r="BA14" s="217"/>
      <c r="BB14" s="217"/>
      <c r="BC14" s="217"/>
      <c r="BD14" s="217"/>
    </row>
    <row r="15" spans="1:56" ht="101.1" customHeight="1" outlineLevel="1" x14ac:dyDescent="0.35">
      <c r="A15" s="532">
        <v>1</v>
      </c>
      <c r="B15" s="533" t="s">
        <v>334</v>
      </c>
      <c r="C15" s="537" t="s">
        <v>100</v>
      </c>
      <c r="D15" s="25">
        <v>2020</v>
      </c>
      <c r="E15" s="434">
        <f>SUM(F15:I15)</f>
        <v>0</v>
      </c>
      <c r="F15" s="435">
        <v>0</v>
      </c>
      <c r="G15" s="435">
        <v>0</v>
      </c>
      <c r="H15" s="435">
        <v>0</v>
      </c>
      <c r="I15" s="435">
        <v>0</v>
      </c>
      <c r="J15" s="434">
        <f t="shared" ref="J15:J22" si="0">N15+M15+L15+K15</f>
        <v>0</v>
      </c>
      <c r="K15" s="436">
        <v>0</v>
      </c>
      <c r="L15" s="436">
        <v>0</v>
      </c>
      <c r="M15" s="436">
        <v>0</v>
      </c>
      <c r="N15" s="436">
        <v>0</v>
      </c>
      <c r="O15" s="434">
        <f>SUM(P15:S15)</f>
        <v>0</v>
      </c>
      <c r="P15" s="436">
        <v>0</v>
      </c>
      <c r="Q15" s="436">
        <v>0</v>
      </c>
      <c r="R15" s="436">
        <v>0</v>
      </c>
      <c r="S15" s="436">
        <v>0</v>
      </c>
      <c r="T15" s="434">
        <f>U15+V15+W15+X15</f>
        <v>0</v>
      </c>
      <c r="U15" s="436">
        <v>0</v>
      </c>
      <c r="V15" s="436">
        <v>0</v>
      </c>
      <c r="W15" s="436">
        <v>0</v>
      </c>
      <c r="X15" s="436">
        <v>0</v>
      </c>
      <c r="Y15" s="434">
        <f>Z15+AA15+AB15+AC15</f>
        <v>0</v>
      </c>
      <c r="Z15" s="436">
        <v>0</v>
      </c>
      <c r="AA15" s="436">
        <v>0</v>
      </c>
      <c r="AB15" s="436">
        <v>0</v>
      </c>
      <c r="AC15" s="436">
        <v>0</v>
      </c>
      <c r="AD15" s="434">
        <f>AE15+AF15+AG15+AH15</f>
        <v>0</v>
      </c>
      <c r="AE15" s="436">
        <v>0</v>
      </c>
      <c r="AF15" s="436">
        <v>0</v>
      </c>
      <c r="AG15" s="436">
        <v>0</v>
      </c>
      <c r="AH15" s="436">
        <v>0</v>
      </c>
      <c r="AI15" s="437">
        <f>AJ15+AK15+AL15+AM15</f>
        <v>0</v>
      </c>
      <c r="AJ15" s="436">
        <v>0</v>
      </c>
      <c r="AK15" s="438">
        <v>0</v>
      </c>
      <c r="AL15" s="438">
        <v>0</v>
      </c>
      <c r="AM15" s="436">
        <v>0</v>
      </c>
      <c r="AN15" s="474">
        <f>SUM(E15,J15,O15,T15,Y15,AD15,AI15)</f>
        <v>0</v>
      </c>
      <c r="AO15" s="150">
        <f>E15+J15+O15+T15+Y15+AD15+AI15</f>
        <v>0</v>
      </c>
      <c r="AP15" s="150">
        <f t="shared" ref="AP15:AS15" si="1">F15+K15+P15+U15+Z15+AE15+AJ15</f>
        <v>0</v>
      </c>
      <c r="AQ15" s="150">
        <f t="shared" si="1"/>
        <v>0</v>
      </c>
      <c r="AR15" s="150">
        <f t="shared" si="1"/>
        <v>0</v>
      </c>
      <c r="AS15" s="150">
        <f t="shared" si="1"/>
        <v>0</v>
      </c>
      <c r="AT15" s="239"/>
      <c r="AU15" s="239"/>
      <c r="AV15" s="239"/>
      <c r="AW15" s="239"/>
      <c r="AX15" s="239"/>
      <c r="AY15" s="238">
        <f t="shared" ref="AY15:AY18" si="2">AO15-AT15</f>
        <v>0</v>
      </c>
      <c r="AZ15" s="238">
        <f>AJ15-AP15</f>
        <v>0</v>
      </c>
      <c r="BA15" s="238">
        <f t="shared" ref="BA15:BC15" si="3">AK15-AQ15</f>
        <v>0</v>
      </c>
      <c r="BB15" s="238">
        <f t="shared" si="3"/>
        <v>0</v>
      </c>
      <c r="BC15" s="238">
        <f t="shared" si="3"/>
        <v>0</v>
      </c>
    </row>
    <row r="16" spans="1:56" ht="100.35" customHeight="1" outlineLevel="1" x14ac:dyDescent="0.35">
      <c r="A16" s="532">
        <v>2</v>
      </c>
      <c r="B16" s="533" t="s">
        <v>14</v>
      </c>
      <c r="C16" s="537" t="s">
        <v>101</v>
      </c>
      <c r="D16" s="25">
        <v>2020</v>
      </c>
      <c r="E16" s="434">
        <f>SUM(F16:I16)</f>
        <v>0</v>
      </c>
      <c r="F16" s="435">
        <v>0</v>
      </c>
      <c r="G16" s="435">
        <v>0</v>
      </c>
      <c r="H16" s="435">
        <v>0</v>
      </c>
      <c r="I16" s="435">
        <v>0</v>
      </c>
      <c r="J16" s="434">
        <f t="shared" si="0"/>
        <v>0</v>
      </c>
      <c r="K16" s="436">
        <v>0</v>
      </c>
      <c r="L16" s="436">
        <v>0</v>
      </c>
      <c r="M16" s="436">
        <v>0</v>
      </c>
      <c r="N16" s="436">
        <v>0</v>
      </c>
      <c r="O16" s="434">
        <f t="shared" ref="O16:O30" si="4">SUM(P16:S16)</f>
        <v>0</v>
      </c>
      <c r="P16" s="436">
        <v>0</v>
      </c>
      <c r="Q16" s="436">
        <v>0</v>
      </c>
      <c r="R16" s="436">
        <v>0</v>
      </c>
      <c r="S16" s="436">
        <v>0</v>
      </c>
      <c r="T16" s="434">
        <f t="shared" ref="T16:T30" si="5">U16+V16+W16+X16</f>
        <v>0</v>
      </c>
      <c r="U16" s="436">
        <v>0</v>
      </c>
      <c r="V16" s="436">
        <v>0</v>
      </c>
      <c r="W16" s="436">
        <v>0</v>
      </c>
      <c r="X16" s="436">
        <v>0</v>
      </c>
      <c r="Y16" s="434">
        <f t="shared" ref="Y16:Y30" si="6">Z16+AA16+AB16+AC16</f>
        <v>0</v>
      </c>
      <c r="Z16" s="436">
        <v>0</v>
      </c>
      <c r="AA16" s="436">
        <v>0</v>
      </c>
      <c r="AB16" s="436">
        <v>0</v>
      </c>
      <c r="AC16" s="436">
        <v>0</v>
      </c>
      <c r="AD16" s="434">
        <f t="shared" ref="AD16:AD67" si="7">AE16+AF16+AG16+AH16</f>
        <v>0</v>
      </c>
      <c r="AE16" s="436">
        <v>0</v>
      </c>
      <c r="AF16" s="436">
        <v>0</v>
      </c>
      <c r="AG16" s="436">
        <v>0</v>
      </c>
      <c r="AH16" s="436">
        <v>0</v>
      </c>
      <c r="AI16" s="437">
        <f t="shared" ref="AI16:AI67" si="8">AJ16+AK16+AL16+AM16</f>
        <v>0</v>
      </c>
      <c r="AJ16" s="436">
        <v>0</v>
      </c>
      <c r="AK16" s="438">
        <v>0</v>
      </c>
      <c r="AL16" s="438">
        <v>0</v>
      </c>
      <c r="AM16" s="436">
        <v>0</v>
      </c>
      <c r="AN16" s="474">
        <f t="shared" ref="AN16:AN25" si="9">SUM(E16,J16,O16,T16,Y16,AD16,AI16)</f>
        <v>0</v>
      </c>
      <c r="AO16" s="150">
        <f t="shared" ref="AO16:AO79" si="10">E16+J16+O16+T16+Y16+AD16+AI16</f>
        <v>0</v>
      </c>
      <c r="AP16" s="150">
        <f t="shared" ref="AP16:AP79" si="11">F16+K16+P16+U16+Z16+AE16+AJ16</f>
        <v>0</v>
      </c>
      <c r="AQ16" s="150">
        <f t="shared" ref="AQ16:AQ79" si="12">G16+L16+Q16+V16+AA16+AF16+AK16</f>
        <v>0</v>
      </c>
      <c r="AR16" s="150">
        <f t="shared" ref="AR16:AR79" si="13">H16+M16+R16+W16+AB16+AG16+AL16</f>
        <v>0</v>
      </c>
      <c r="AS16" s="150">
        <f t="shared" ref="AS16:AS79" si="14">I16+N16+S16+X16+AC16+AH16+AM16</f>
        <v>0</v>
      </c>
      <c r="AT16" s="239"/>
      <c r="AU16" s="239"/>
      <c r="AV16" s="239"/>
      <c r="AW16" s="239"/>
      <c r="AX16" s="239"/>
      <c r="AY16" s="238">
        <f t="shared" si="2"/>
        <v>0</v>
      </c>
      <c r="AZ16" s="238">
        <f t="shared" ref="AZ16:AZ18" si="15">AJ16-AP16</f>
        <v>0</v>
      </c>
      <c r="BA16" s="238">
        <f t="shared" ref="BA16:BA19" si="16">AK16-AQ16</f>
        <v>0</v>
      </c>
      <c r="BB16" s="238">
        <f t="shared" ref="BB16:BB19" si="17">AL16-AR16</f>
        <v>0</v>
      </c>
      <c r="BC16" s="238">
        <f t="shared" ref="BC16:BC19" si="18">AM16-AS16</f>
        <v>0</v>
      </c>
    </row>
    <row r="17" spans="1:56" ht="103.35" customHeight="1" outlineLevel="1" x14ac:dyDescent="0.35">
      <c r="A17" s="532">
        <v>3</v>
      </c>
      <c r="B17" s="533" t="s">
        <v>1305</v>
      </c>
      <c r="C17" s="537" t="s">
        <v>101</v>
      </c>
      <c r="D17" s="25">
        <v>2020</v>
      </c>
      <c r="E17" s="434">
        <f t="shared" ref="E17" si="19">SUM(F17:G17)</f>
        <v>0</v>
      </c>
      <c r="F17" s="435">
        <v>0</v>
      </c>
      <c r="G17" s="435">
        <v>0</v>
      </c>
      <c r="H17" s="435">
        <v>0</v>
      </c>
      <c r="I17" s="435">
        <v>0</v>
      </c>
      <c r="J17" s="434">
        <f t="shared" si="0"/>
        <v>0</v>
      </c>
      <c r="K17" s="436">
        <v>0</v>
      </c>
      <c r="L17" s="436">
        <v>0</v>
      </c>
      <c r="M17" s="436">
        <v>0</v>
      </c>
      <c r="N17" s="436">
        <v>0</v>
      </c>
      <c r="O17" s="434">
        <f t="shared" si="4"/>
        <v>0</v>
      </c>
      <c r="P17" s="436">
        <v>0</v>
      </c>
      <c r="Q17" s="436">
        <v>0</v>
      </c>
      <c r="R17" s="436">
        <v>0</v>
      </c>
      <c r="S17" s="436">
        <v>0</v>
      </c>
      <c r="T17" s="434">
        <f t="shared" si="5"/>
        <v>0</v>
      </c>
      <c r="U17" s="436">
        <v>0</v>
      </c>
      <c r="V17" s="436">
        <v>0</v>
      </c>
      <c r="W17" s="436">
        <v>0</v>
      </c>
      <c r="X17" s="436">
        <v>0</v>
      </c>
      <c r="Y17" s="434">
        <f t="shared" si="6"/>
        <v>0</v>
      </c>
      <c r="Z17" s="436">
        <v>0</v>
      </c>
      <c r="AA17" s="436">
        <v>0</v>
      </c>
      <c r="AB17" s="436">
        <v>0</v>
      </c>
      <c r="AC17" s="436">
        <v>0</v>
      </c>
      <c r="AD17" s="434">
        <f t="shared" si="7"/>
        <v>0</v>
      </c>
      <c r="AE17" s="436">
        <v>0</v>
      </c>
      <c r="AF17" s="436">
        <v>0</v>
      </c>
      <c r="AG17" s="436">
        <v>0</v>
      </c>
      <c r="AH17" s="436">
        <v>0</v>
      </c>
      <c r="AI17" s="437">
        <f t="shared" si="8"/>
        <v>0</v>
      </c>
      <c r="AJ17" s="436">
        <v>0</v>
      </c>
      <c r="AK17" s="438">
        <v>0</v>
      </c>
      <c r="AL17" s="438">
        <v>0</v>
      </c>
      <c r="AM17" s="436">
        <v>0</v>
      </c>
      <c r="AN17" s="474">
        <f t="shared" si="9"/>
        <v>0</v>
      </c>
      <c r="AO17" s="150">
        <f t="shared" si="10"/>
        <v>0</v>
      </c>
      <c r="AP17" s="150">
        <f t="shared" si="11"/>
        <v>0</v>
      </c>
      <c r="AQ17" s="150">
        <f t="shared" si="12"/>
        <v>0</v>
      </c>
      <c r="AR17" s="150">
        <f t="shared" si="13"/>
        <v>0</v>
      </c>
      <c r="AS17" s="150">
        <f t="shared" si="14"/>
        <v>0</v>
      </c>
      <c r="AT17" s="239"/>
      <c r="AU17" s="239"/>
      <c r="AV17" s="239"/>
      <c r="AW17" s="239"/>
      <c r="AX17" s="239"/>
      <c r="AY17" s="238">
        <f t="shared" si="2"/>
        <v>0</v>
      </c>
      <c r="AZ17" s="238">
        <f t="shared" si="15"/>
        <v>0</v>
      </c>
      <c r="BA17" s="238">
        <f t="shared" si="16"/>
        <v>0</v>
      </c>
      <c r="BB17" s="238">
        <f t="shared" si="17"/>
        <v>0</v>
      </c>
      <c r="BC17" s="238">
        <f t="shared" si="18"/>
        <v>0</v>
      </c>
    </row>
    <row r="18" spans="1:56" ht="104.25" customHeight="1" outlineLevel="1" x14ac:dyDescent="0.35">
      <c r="A18" s="532">
        <v>4</v>
      </c>
      <c r="B18" s="533" t="s">
        <v>167</v>
      </c>
      <c r="C18" s="537" t="s">
        <v>101</v>
      </c>
      <c r="D18" s="25">
        <v>2020</v>
      </c>
      <c r="E18" s="434">
        <f t="shared" ref="E18:E25" si="20">SUM(F18:I18)</f>
        <v>0</v>
      </c>
      <c r="F18" s="435">
        <v>0</v>
      </c>
      <c r="G18" s="435">
        <v>0</v>
      </c>
      <c r="H18" s="435">
        <v>0</v>
      </c>
      <c r="I18" s="435">
        <v>0</v>
      </c>
      <c r="J18" s="434">
        <f t="shared" si="0"/>
        <v>0</v>
      </c>
      <c r="K18" s="436">
        <v>0</v>
      </c>
      <c r="L18" s="436">
        <v>0</v>
      </c>
      <c r="M18" s="436">
        <v>0</v>
      </c>
      <c r="N18" s="436">
        <v>0</v>
      </c>
      <c r="O18" s="434">
        <f t="shared" si="4"/>
        <v>0</v>
      </c>
      <c r="P18" s="436">
        <v>0</v>
      </c>
      <c r="Q18" s="436">
        <v>0</v>
      </c>
      <c r="R18" s="436">
        <v>0</v>
      </c>
      <c r="S18" s="436">
        <v>0</v>
      </c>
      <c r="T18" s="434">
        <f t="shared" si="5"/>
        <v>0</v>
      </c>
      <c r="U18" s="436">
        <v>0</v>
      </c>
      <c r="V18" s="436">
        <v>0</v>
      </c>
      <c r="W18" s="436">
        <v>0</v>
      </c>
      <c r="X18" s="436">
        <v>0</v>
      </c>
      <c r="Y18" s="434">
        <f t="shared" si="6"/>
        <v>0</v>
      </c>
      <c r="Z18" s="436">
        <v>0</v>
      </c>
      <c r="AA18" s="436">
        <v>0</v>
      </c>
      <c r="AB18" s="436">
        <v>0</v>
      </c>
      <c r="AC18" s="436">
        <v>0</v>
      </c>
      <c r="AD18" s="434">
        <f t="shared" si="7"/>
        <v>0</v>
      </c>
      <c r="AE18" s="436">
        <v>0</v>
      </c>
      <c r="AF18" s="436">
        <v>0</v>
      </c>
      <c r="AG18" s="436">
        <v>0</v>
      </c>
      <c r="AH18" s="436">
        <v>0</v>
      </c>
      <c r="AI18" s="437">
        <f t="shared" si="8"/>
        <v>0</v>
      </c>
      <c r="AJ18" s="436">
        <v>0</v>
      </c>
      <c r="AK18" s="438">
        <v>0</v>
      </c>
      <c r="AL18" s="438">
        <v>0</v>
      </c>
      <c r="AM18" s="436">
        <v>0</v>
      </c>
      <c r="AN18" s="474">
        <f t="shared" si="9"/>
        <v>0</v>
      </c>
      <c r="AO18" s="150">
        <f t="shared" si="10"/>
        <v>0</v>
      </c>
      <c r="AP18" s="150">
        <f t="shared" si="11"/>
        <v>0</v>
      </c>
      <c r="AQ18" s="150">
        <f t="shared" si="12"/>
        <v>0</v>
      </c>
      <c r="AR18" s="150">
        <f t="shared" si="13"/>
        <v>0</v>
      </c>
      <c r="AS18" s="150">
        <f t="shared" si="14"/>
        <v>0</v>
      </c>
      <c r="AT18" s="239"/>
      <c r="AU18" s="239"/>
      <c r="AV18" s="239"/>
      <c r="AW18" s="239"/>
      <c r="AX18" s="239"/>
      <c r="AY18" s="238">
        <f t="shared" si="2"/>
        <v>0</v>
      </c>
      <c r="AZ18" s="238">
        <f t="shared" si="15"/>
        <v>0</v>
      </c>
      <c r="BA18" s="238">
        <f t="shared" si="16"/>
        <v>0</v>
      </c>
      <c r="BB18" s="238">
        <f t="shared" si="17"/>
        <v>0</v>
      </c>
      <c r="BC18" s="238">
        <f t="shared" si="18"/>
        <v>0</v>
      </c>
    </row>
    <row r="19" spans="1:56" ht="105.75" customHeight="1" outlineLevel="1" x14ac:dyDescent="0.35">
      <c r="A19" s="532">
        <v>5</v>
      </c>
      <c r="B19" s="533" t="s">
        <v>60</v>
      </c>
      <c r="C19" s="537" t="s">
        <v>102</v>
      </c>
      <c r="D19" s="25" t="s">
        <v>127</v>
      </c>
      <c r="E19" s="434">
        <f t="shared" si="20"/>
        <v>0</v>
      </c>
      <c r="F19" s="435">
        <v>0</v>
      </c>
      <c r="G19" s="435">
        <v>0</v>
      </c>
      <c r="H19" s="435">
        <v>0</v>
      </c>
      <c r="I19" s="435">
        <v>0</v>
      </c>
      <c r="J19" s="434">
        <f t="shared" si="0"/>
        <v>0</v>
      </c>
      <c r="K19" s="436">
        <v>0</v>
      </c>
      <c r="L19" s="436">
        <v>0</v>
      </c>
      <c r="M19" s="436">
        <v>0</v>
      </c>
      <c r="N19" s="436">
        <v>0</v>
      </c>
      <c r="O19" s="434">
        <f t="shared" si="4"/>
        <v>68</v>
      </c>
      <c r="P19" s="436">
        <v>68</v>
      </c>
      <c r="Q19" s="436">
        <v>0</v>
      </c>
      <c r="R19" s="436">
        <v>0</v>
      </c>
      <c r="S19" s="436">
        <v>0</v>
      </c>
      <c r="T19" s="434">
        <f t="shared" si="5"/>
        <v>0.6</v>
      </c>
      <c r="U19" s="436">
        <v>0.6</v>
      </c>
      <c r="V19" s="436">
        <v>0</v>
      </c>
      <c r="W19" s="436">
        <v>0</v>
      </c>
      <c r="X19" s="436">
        <v>0</v>
      </c>
      <c r="Y19" s="434">
        <f t="shared" si="6"/>
        <v>3</v>
      </c>
      <c r="Z19" s="436">
        <f>3</f>
        <v>3</v>
      </c>
      <c r="AA19" s="436">
        <v>0</v>
      </c>
      <c r="AB19" s="436">
        <v>0</v>
      </c>
      <c r="AC19" s="436">
        <v>0</v>
      </c>
      <c r="AD19" s="436">
        <f t="shared" si="7"/>
        <v>0</v>
      </c>
      <c r="AE19" s="436">
        <v>0</v>
      </c>
      <c r="AF19" s="436">
        <v>0</v>
      </c>
      <c r="AG19" s="436">
        <v>0</v>
      </c>
      <c r="AH19" s="436">
        <v>0</v>
      </c>
      <c r="AI19" s="437">
        <f t="shared" si="8"/>
        <v>0</v>
      </c>
      <c r="AJ19" s="436">
        <v>0</v>
      </c>
      <c r="AK19" s="438">
        <v>0</v>
      </c>
      <c r="AL19" s="438">
        <v>0</v>
      </c>
      <c r="AM19" s="436">
        <v>0</v>
      </c>
      <c r="AN19" s="474">
        <f t="shared" si="9"/>
        <v>71.599999999999994</v>
      </c>
      <c r="AO19" s="150">
        <f t="shared" si="10"/>
        <v>71.599999999999994</v>
      </c>
      <c r="AP19" s="150">
        <f t="shared" si="11"/>
        <v>71.599999999999994</v>
      </c>
      <c r="AQ19" s="150">
        <f t="shared" si="12"/>
        <v>0</v>
      </c>
      <c r="AR19" s="150">
        <f t="shared" si="13"/>
        <v>0</v>
      </c>
      <c r="AS19" s="150">
        <f t="shared" si="14"/>
        <v>0</v>
      </c>
      <c r="AT19" s="239"/>
      <c r="AU19" s="239"/>
      <c r="AV19" s="239"/>
      <c r="AW19" s="239"/>
      <c r="AX19" s="239"/>
      <c r="AY19" s="238"/>
      <c r="AZ19" s="238"/>
      <c r="BA19" s="238">
        <f t="shared" si="16"/>
        <v>0</v>
      </c>
      <c r="BB19" s="238">
        <f t="shared" si="17"/>
        <v>0</v>
      </c>
      <c r="BC19" s="238">
        <f t="shared" si="18"/>
        <v>0</v>
      </c>
    </row>
    <row r="20" spans="1:56" s="1" customFormat="1" ht="133.94999999999999" customHeight="1" outlineLevel="1" x14ac:dyDescent="0.35">
      <c r="A20" s="532">
        <v>6</v>
      </c>
      <c r="B20" s="533" t="s">
        <v>133</v>
      </c>
      <c r="C20" s="537" t="s">
        <v>103</v>
      </c>
      <c r="D20" s="26" t="s">
        <v>129</v>
      </c>
      <c r="E20" s="434">
        <f t="shared" si="20"/>
        <v>0</v>
      </c>
      <c r="F20" s="435">
        <v>0</v>
      </c>
      <c r="G20" s="435">
        <v>0</v>
      </c>
      <c r="H20" s="435">
        <v>0</v>
      </c>
      <c r="I20" s="435">
        <v>0</v>
      </c>
      <c r="J20" s="434">
        <f t="shared" si="0"/>
        <v>0</v>
      </c>
      <c r="K20" s="436">
        <v>0</v>
      </c>
      <c r="L20" s="439">
        <v>0</v>
      </c>
      <c r="M20" s="439">
        <v>0</v>
      </c>
      <c r="N20" s="439">
        <v>0</v>
      </c>
      <c r="O20" s="436">
        <f t="shared" si="4"/>
        <v>0</v>
      </c>
      <c r="P20" s="436">
        <v>0</v>
      </c>
      <c r="Q20" s="436">
        <v>0</v>
      </c>
      <c r="R20" s="436">
        <v>0</v>
      </c>
      <c r="S20" s="436">
        <v>0</v>
      </c>
      <c r="T20" s="434">
        <f t="shared" si="5"/>
        <v>0</v>
      </c>
      <c r="U20" s="436">
        <v>0</v>
      </c>
      <c r="V20" s="436">
        <v>0</v>
      </c>
      <c r="W20" s="439">
        <v>0</v>
      </c>
      <c r="X20" s="439">
        <v>0</v>
      </c>
      <c r="Y20" s="434">
        <f t="shared" si="6"/>
        <v>6464</v>
      </c>
      <c r="Z20" s="436">
        <v>6464</v>
      </c>
      <c r="AA20" s="436">
        <v>0</v>
      </c>
      <c r="AB20" s="439">
        <v>0</v>
      </c>
      <c r="AC20" s="436">
        <v>0</v>
      </c>
      <c r="AD20" s="434">
        <f t="shared" si="7"/>
        <v>5633</v>
      </c>
      <c r="AE20" s="436">
        <v>5633</v>
      </c>
      <c r="AF20" s="436">
        <v>0</v>
      </c>
      <c r="AG20" s="436">
        <v>0</v>
      </c>
      <c r="AH20" s="436">
        <v>0</v>
      </c>
      <c r="AI20" s="437">
        <f t="shared" si="8"/>
        <v>0</v>
      </c>
      <c r="AJ20" s="436">
        <v>0</v>
      </c>
      <c r="AK20" s="438">
        <v>0</v>
      </c>
      <c r="AL20" s="440">
        <v>0</v>
      </c>
      <c r="AM20" s="439">
        <v>0</v>
      </c>
      <c r="AN20" s="474">
        <f>SUM(E20,J20,O20,T20,Y20,AD20,AI20)</f>
        <v>12097</v>
      </c>
      <c r="AO20" s="150">
        <f t="shared" si="10"/>
        <v>12097</v>
      </c>
      <c r="AP20" s="150">
        <f t="shared" si="11"/>
        <v>12097</v>
      </c>
      <c r="AQ20" s="150">
        <f t="shared" si="12"/>
        <v>0</v>
      </c>
      <c r="AR20" s="150">
        <f t="shared" si="13"/>
        <v>0</v>
      </c>
      <c r="AS20" s="150">
        <f t="shared" si="14"/>
        <v>0</v>
      </c>
      <c r="AT20" s="239"/>
      <c r="AU20" s="239"/>
      <c r="AV20" s="239"/>
      <c r="AW20" s="239"/>
      <c r="AX20" s="239"/>
      <c r="AY20" s="238"/>
      <c r="AZ20" s="238"/>
      <c r="BA20" s="238">
        <f t="shared" ref="BA20:BA22" si="21">AK20-AQ20</f>
        <v>0</v>
      </c>
      <c r="BB20" s="238">
        <f t="shared" ref="BB20:BB22" si="22">AL20-AR20</f>
        <v>0</v>
      </c>
      <c r="BC20" s="238">
        <f t="shared" ref="BC20:BC22" si="23">AM20-AS20</f>
        <v>0</v>
      </c>
      <c r="BD20" s="217"/>
    </row>
    <row r="21" spans="1:56" s="425" customFormat="1" ht="102" customHeight="1" outlineLevel="1" x14ac:dyDescent="0.35">
      <c r="A21" s="532">
        <v>7</v>
      </c>
      <c r="B21" s="533" t="s">
        <v>99</v>
      </c>
      <c r="C21" s="537" t="s">
        <v>102</v>
      </c>
      <c r="D21" s="27" t="s">
        <v>130</v>
      </c>
      <c r="E21" s="434">
        <f t="shared" si="20"/>
        <v>0</v>
      </c>
      <c r="F21" s="435">
        <v>0</v>
      </c>
      <c r="G21" s="435">
        <v>0</v>
      </c>
      <c r="H21" s="435">
        <v>0</v>
      </c>
      <c r="I21" s="435">
        <v>0</v>
      </c>
      <c r="J21" s="434">
        <f t="shared" si="0"/>
        <v>0</v>
      </c>
      <c r="K21" s="436">
        <v>0</v>
      </c>
      <c r="L21" s="436">
        <v>0</v>
      </c>
      <c r="M21" s="436">
        <v>0</v>
      </c>
      <c r="N21" s="436">
        <v>0</v>
      </c>
      <c r="O21" s="434">
        <f t="shared" si="4"/>
        <v>16472</v>
      </c>
      <c r="P21" s="436">
        <f>16519+35-82</f>
        <v>16472</v>
      </c>
      <c r="Q21" s="436">
        <v>0</v>
      </c>
      <c r="R21" s="436">
        <v>0</v>
      </c>
      <c r="S21" s="436">
        <v>0</v>
      </c>
      <c r="T21" s="434">
        <f t="shared" si="5"/>
        <v>22318.400000000001</v>
      </c>
      <c r="U21" s="436">
        <v>22318.400000000001</v>
      </c>
      <c r="V21" s="436">
        <v>0</v>
      </c>
      <c r="W21" s="436">
        <v>0</v>
      </c>
      <c r="X21" s="436">
        <v>0</v>
      </c>
      <c r="Y21" s="434">
        <f t="shared" si="6"/>
        <v>7023</v>
      </c>
      <c r="Z21" s="436">
        <f>7299-276</f>
        <v>7023</v>
      </c>
      <c r="AA21" s="436">
        <v>0</v>
      </c>
      <c r="AB21" s="436">
        <v>0</v>
      </c>
      <c r="AC21" s="436">
        <v>0</v>
      </c>
      <c r="AD21" s="434">
        <f t="shared" si="7"/>
        <v>0</v>
      </c>
      <c r="AE21" s="436">
        <v>0</v>
      </c>
      <c r="AF21" s="436">
        <v>0</v>
      </c>
      <c r="AG21" s="436">
        <v>0</v>
      </c>
      <c r="AH21" s="436">
        <v>0</v>
      </c>
      <c r="AI21" s="437">
        <f t="shared" si="8"/>
        <v>20266</v>
      </c>
      <c r="AJ21" s="436">
        <f>29458-9192</f>
        <v>20266</v>
      </c>
      <c r="AK21" s="438">
        <v>0</v>
      </c>
      <c r="AL21" s="438">
        <v>0</v>
      </c>
      <c r="AM21" s="436">
        <v>0</v>
      </c>
      <c r="AN21" s="474">
        <f t="shared" si="9"/>
        <v>66079.399999999994</v>
      </c>
      <c r="AO21" s="150">
        <f t="shared" si="10"/>
        <v>66079.399999999994</v>
      </c>
      <c r="AP21" s="150">
        <f t="shared" si="11"/>
        <v>66079.399999999994</v>
      </c>
      <c r="AQ21" s="150">
        <f t="shared" si="12"/>
        <v>0</v>
      </c>
      <c r="AR21" s="150">
        <f t="shared" si="13"/>
        <v>0</v>
      </c>
      <c r="AS21" s="150">
        <f t="shared" si="14"/>
        <v>0</v>
      </c>
      <c r="AT21" s="239"/>
      <c r="AU21" s="239"/>
      <c r="AV21" s="239"/>
      <c r="AW21" s="239"/>
      <c r="AX21" s="239"/>
      <c r="AY21" s="238"/>
      <c r="AZ21" s="238"/>
      <c r="BA21" s="238">
        <f t="shared" si="21"/>
        <v>0</v>
      </c>
      <c r="BB21" s="238">
        <f t="shared" si="22"/>
        <v>0</v>
      </c>
      <c r="BC21" s="238">
        <f t="shared" si="23"/>
        <v>0</v>
      </c>
      <c r="BD21" s="240"/>
    </row>
    <row r="22" spans="1:56" ht="115.35" customHeight="1" outlineLevel="1" x14ac:dyDescent="0.35">
      <c r="A22" s="532">
        <v>8</v>
      </c>
      <c r="B22" s="533" t="s">
        <v>143</v>
      </c>
      <c r="C22" s="537" t="s">
        <v>104</v>
      </c>
      <c r="D22" s="27" t="s">
        <v>125</v>
      </c>
      <c r="E22" s="434">
        <f t="shared" si="20"/>
        <v>0</v>
      </c>
      <c r="F22" s="435">
        <v>0</v>
      </c>
      <c r="G22" s="435">
        <v>0</v>
      </c>
      <c r="H22" s="435">
        <v>0</v>
      </c>
      <c r="I22" s="435">
        <v>0</v>
      </c>
      <c r="J22" s="434">
        <f t="shared" si="0"/>
        <v>0</v>
      </c>
      <c r="K22" s="436">
        <v>0</v>
      </c>
      <c r="L22" s="436">
        <v>0</v>
      </c>
      <c r="M22" s="436">
        <v>0</v>
      </c>
      <c r="N22" s="436">
        <v>0</v>
      </c>
      <c r="O22" s="434">
        <f t="shared" si="4"/>
        <v>0</v>
      </c>
      <c r="P22" s="436">
        <v>0</v>
      </c>
      <c r="Q22" s="436">
        <v>0</v>
      </c>
      <c r="R22" s="436">
        <v>0</v>
      </c>
      <c r="S22" s="436">
        <v>0</v>
      </c>
      <c r="T22" s="434">
        <f t="shared" si="5"/>
        <v>517</v>
      </c>
      <c r="U22" s="436">
        <f>550-33</f>
        <v>517</v>
      </c>
      <c r="V22" s="436">
        <v>0</v>
      </c>
      <c r="W22" s="436">
        <v>0</v>
      </c>
      <c r="X22" s="436">
        <v>0</v>
      </c>
      <c r="Y22" s="434">
        <f t="shared" si="6"/>
        <v>484</v>
      </c>
      <c r="Z22" s="436">
        <v>484</v>
      </c>
      <c r="AA22" s="436">
        <v>0</v>
      </c>
      <c r="AB22" s="436">
        <v>0</v>
      </c>
      <c r="AC22" s="436">
        <v>0</v>
      </c>
      <c r="AD22" s="434">
        <f t="shared" si="7"/>
        <v>0</v>
      </c>
      <c r="AE22" s="436">
        <v>0</v>
      </c>
      <c r="AF22" s="436">
        <v>0</v>
      </c>
      <c r="AG22" s="436">
        <v>0</v>
      </c>
      <c r="AH22" s="436">
        <v>0</v>
      </c>
      <c r="AI22" s="437">
        <f t="shared" si="8"/>
        <v>0</v>
      </c>
      <c r="AJ22" s="436">
        <v>0</v>
      </c>
      <c r="AK22" s="438">
        <v>0</v>
      </c>
      <c r="AL22" s="438">
        <v>0</v>
      </c>
      <c r="AM22" s="436">
        <v>0</v>
      </c>
      <c r="AN22" s="474">
        <f t="shared" si="9"/>
        <v>1001</v>
      </c>
      <c r="AO22" s="150">
        <f t="shared" si="10"/>
        <v>1001</v>
      </c>
      <c r="AP22" s="150">
        <f t="shared" si="11"/>
        <v>1001</v>
      </c>
      <c r="AQ22" s="150">
        <f t="shared" si="12"/>
        <v>0</v>
      </c>
      <c r="AR22" s="150">
        <f t="shared" si="13"/>
        <v>0</v>
      </c>
      <c r="AS22" s="150">
        <f t="shared" si="14"/>
        <v>0</v>
      </c>
      <c r="AT22" s="239"/>
      <c r="AU22" s="239"/>
      <c r="AV22" s="239"/>
      <c r="AW22" s="239"/>
      <c r="AX22" s="239"/>
      <c r="AY22" s="238"/>
      <c r="AZ22" s="238"/>
      <c r="BA22" s="238">
        <f t="shared" si="21"/>
        <v>0</v>
      </c>
      <c r="BB22" s="238">
        <f t="shared" si="22"/>
        <v>0</v>
      </c>
      <c r="BC22" s="238">
        <f t="shared" si="23"/>
        <v>0</v>
      </c>
    </row>
    <row r="23" spans="1:56" ht="127.35" customHeight="1" outlineLevel="1" x14ac:dyDescent="0.35">
      <c r="A23" s="532">
        <v>9</v>
      </c>
      <c r="B23" s="533" t="s">
        <v>42</v>
      </c>
      <c r="C23" s="537" t="s">
        <v>105</v>
      </c>
      <c r="D23" s="26" t="s">
        <v>36</v>
      </c>
      <c r="E23" s="434">
        <f t="shared" si="20"/>
        <v>6385</v>
      </c>
      <c r="F23" s="435">
        <f>6099+2414-1064-1064</f>
        <v>6385</v>
      </c>
      <c r="G23" s="435">
        <v>0</v>
      </c>
      <c r="H23" s="435">
        <v>0</v>
      </c>
      <c r="I23" s="435">
        <v>0</v>
      </c>
      <c r="J23" s="434">
        <f>N23+M23+L23+K23</f>
        <v>10144</v>
      </c>
      <c r="K23" s="436">
        <f>1800-200+8544</f>
        <v>10144</v>
      </c>
      <c r="L23" s="436">
        <v>0</v>
      </c>
      <c r="M23" s="436">
        <v>0</v>
      </c>
      <c r="N23" s="436">
        <v>0</v>
      </c>
      <c r="O23" s="434">
        <f t="shared" si="4"/>
        <v>2549</v>
      </c>
      <c r="P23" s="436">
        <f>339+2213-2-1</f>
        <v>2549</v>
      </c>
      <c r="Q23" s="436">
        <v>0</v>
      </c>
      <c r="R23" s="436">
        <v>0</v>
      </c>
      <c r="S23" s="436">
        <v>0</v>
      </c>
      <c r="T23" s="434">
        <f t="shared" si="5"/>
        <v>8758</v>
      </c>
      <c r="U23" s="436">
        <f>8462+99+197</f>
        <v>8758</v>
      </c>
      <c r="V23" s="436">
        <v>0</v>
      </c>
      <c r="W23" s="436">
        <v>0</v>
      </c>
      <c r="X23" s="436">
        <v>0</v>
      </c>
      <c r="Y23" s="434">
        <f t="shared" si="6"/>
        <v>377</v>
      </c>
      <c r="Z23" s="436">
        <v>377</v>
      </c>
      <c r="AA23" s="436">
        <v>0</v>
      </c>
      <c r="AB23" s="436">
        <v>0</v>
      </c>
      <c r="AC23" s="436">
        <v>0</v>
      </c>
      <c r="AD23" s="434">
        <f t="shared" si="7"/>
        <v>7994</v>
      </c>
      <c r="AE23" s="436">
        <f>8019-25</f>
        <v>7994</v>
      </c>
      <c r="AF23" s="436">
        <v>0</v>
      </c>
      <c r="AG23" s="436">
        <v>0</v>
      </c>
      <c r="AH23" s="436">
        <v>0</v>
      </c>
      <c r="AI23" s="434">
        <f t="shared" si="8"/>
        <v>2847.4</v>
      </c>
      <c r="AJ23" s="436">
        <v>2847.4</v>
      </c>
      <c r="AK23" s="436">
        <v>0</v>
      </c>
      <c r="AL23" s="436">
        <v>0</v>
      </c>
      <c r="AM23" s="436">
        <v>0</v>
      </c>
      <c r="AN23" s="474">
        <f t="shared" si="9"/>
        <v>39054.400000000001</v>
      </c>
      <c r="AO23" s="150">
        <f t="shared" si="10"/>
        <v>39054.400000000001</v>
      </c>
      <c r="AP23" s="150">
        <f t="shared" si="11"/>
        <v>39054.400000000001</v>
      </c>
      <c r="AQ23" s="150">
        <f t="shared" si="12"/>
        <v>0</v>
      </c>
      <c r="AR23" s="150">
        <f t="shared" si="13"/>
        <v>0</v>
      </c>
      <c r="AS23" s="150">
        <f t="shared" si="14"/>
        <v>0</v>
      </c>
      <c r="AT23" s="239">
        <v>2913</v>
      </c>
      <c r="AU23" s="239">
        <v>2913</v>
      </c>
      <c r="AV23" s="239"/>
      <c r="AW23" s="239"/>
      <c r="AX23" s="239"/>
      <c r="AY23" s="238">
        <f>AI23-AT23</f>
        <v>-65.599999999999909</v>
      </c>
      <c r="AZ23" s="238">
        <f t="shared" ref="AZ23:BC23" si="24">AJ23-AU23</f>
        <v>-65.599999999999909</v>
      </c>
      <c r="BA23" s="238">
        <f t="shared" si="24"/>
        <v>0</v>
      </c>
      <c r="BB23" s="238">
        <f t="shared" si="24"/>
        <v>0</v>
      </c>
      <c r="BC23" s="238">
        <f t="shared" si="24"/>
        <v>0</v>
      </c>
    </row>
    <row r="24" spans="1:56" ht="96" customHeight="1" outlineLevel="1" x14ac:dyDescent="0.35">
      <c r="A24" s="532">
        <v>10</v>
      </c>
      <c r="B24" s="533" t="s">
        <v>1303</v>
      </c>
      <c r="C24" s="537" t="s">
        <v>102</v>
      </c>
      <c r="D24" s="26" t="s">
        <v>36</v>
      </c>
      <c r="E24" s="434">
        <f t="shared" si="20"/>
        <v>275</v>
      </c>
      <c r="F24" s="435">
        <v>275</v>
      </c>
      <c r="G24" s="435">
        <v>0</v>
      </c>
      <c r="H24" s="435">
        <v>0</v>
      </c>
      <c r="I24" s="435">
        <v>0</v>
      </c>
      <c r="J24" s="434">
        <f t="shared" ref="J24:J30" si="25">N24+M24+L24+K24</f>
        <v>649</v>
      </c>
      <c r="K24" s="436">
        <f>556+206-113</f>
        <v>649</v>
      </c>
      <c r="L24" s="436">
        <v>0</v>
      </c>
      <c r="M24" s="436">
        <v>0</v>
      </c>
      <c r="N24" s="436">
        <v>0</v>
      </c>
      <c r="O24" s="434">
        <f t="shared" si="4"/>
        <v>260</v>
      </c>
      <c r="P24" s="436">
        <v>260</v>
      </c>
      <c r="Q24" s="436">
        <v>0</v>
      </c>
      <c r="R24" s="436">
        <v>0</v>
      </c>
      <c r="S24" s="436">
        <v>0</v>
      </c>
      <c r="T24" s="434">
        <f t="shared" si="5"/>
        <v>3384</v>
      </c>
      <c r="U24" s="436">
        <v>3384</v>
      </c>
      <c r="V24" s="436">
        <v>0</v>
      </c>
      <c r="W24" s="436">
        <v>0</v>
      </c>
      <c r="X24" s="436">
        <v>0</v>
      </c>
      <c r="Y24" s="434">
        <f t="shared" si="6"/>
        <v>5336</v>
      </c>
      <c r="Z24" s="436">
        <v>5336</v>
      </c>
      <c r="AA24" s="436">
        <v>0</v>
      </c>
      <c r="AB24" s="436">
        <v>0</v>
      </c>
      <c r="AC24" s="436">
        <v>0</v>
      </c>
      <c r="AD24" s="434">
        <f t="shared" si="7"/>
        <v>1367</v>
      </c>
      <c r="AE24" s="436">
        <v>1367</v>
      </c>
      <c r="AF24" s="436">
        <v>0</v>
      </c>
      <c r="AG24" s="436">
        <v>0</v>
      </c>
      <c r="AH24" s="436">
        <v>0</v>
      </c>
      <c r="AI24" s="437">
        <f t="shared" si="8"/>
        <v>2254</v>
      </c>
      <c r="AJ24" s="436">
        <f>3197-943</f>
        <v>2254</v>
      </c>
      <c r="AK24" s="438">
        <v>0</v>
      </c>
      <c r="AL24" s="438">
        <v>0</v>
      </c>
      <c r="AM24" s="436">
        <v>0</v>
      </c>
      <c r="AN24" s="474">
        <f t="shared" si="9"/>
        <v>13525</v>
      </c>
      <c r="AO24" s="150">
        <f t="shared" si="10"/>
        <v>13525</v>
      </c>
      <c r="AP24" s="150">
        <f t="shared" si="11"/>
        <v>13525</v>
      </c>
      <c r="AQ24" s="150">
        <f t="shared" si="12"/>
        <v>0</v>
      </c>
      <c r="AR24" s="150">
        <f t="shared" si="13"/>
        <v>0</v>
      </c>
      <c r="AS24" s="150">
        <f t="shared" si="14"/>
        <v>0</v>
      </c>
      <c r="AT24" s="239"/>
      <c r="AU24" s="239"/>
      <c r="AV24" s="239"/>
      <c r="AW24" s="239"/>
      <c r="AX24" s="239"/>
      <c r="AY24" s="238"/>
      <c r="AZ24" s="238"/>
      <c r="BA24" s="238">
        <f t="shared" ref="BA24:BA87" si="26">AK24-AV24</f>
        <v>0</v>
      </c>
      <c r="BB24" s="238">
        <f t="shared" ref="BB24:BB87" si="27">AL24-AW24</f>
        <v>0</v>
      </c>
      <c r="BC24" s="238">
        <f t="shared" ref="BC24:BC87" si="28">AM24-AX24</f>
        <v>0</v>
      </c>
    </row>
    <row r="25" spans="1:56" ht="109.35" customHeight="1" outlineLevel="1" x14ac:dyDescent="0.35">
      <c r="A25" s="532">
        <v>11</v>
      </c>
      <c r="B25" s="533" t="s">
        <v>3</v>
      </c>
      <c r="C25" s="537" t="s">
        <v>106</v>
      </c>
      <c r="D25" s="25">
        <v>2020</v>
      </c>
      <c r="E25" s="434">
        <f t="shared" si="20"/>
        <v>0</v>
      </c>
      <c r="F25" s="435">
        <v>0</v>
      </c>
      <c r="G25" s="435">
        <v>0</v>
      </c>
      <c r="H25" s="435">
        <v>0</v>
      </c>
      <c r="I25" s="435">
        <v>0</v>
      </c>
      <c r="J25" s="434">
        <f t="shared" si="25"/>
        <v>0</v>
      </c>
      <c r="K25" s="436">
        <v>0</v>
      </c>
      <c r="L25" s="436">
        <v>0</v>
      </c>
      <c r="M25" s="436">
        <v>0</v>
      </c>
      <c r="N25" s="436">
        <v>0</v>
      </c>
      <c r="O25" s="434">
        <f t="shared" si="4"/>
        <v>0</v>
      </c>
      <c r="P25" s="436">
        <v>0</v>
      </c>
      <c r="Q25" s="436">
        <v>0</v>
      </c>
      <c r="R25" s="436">
        <v>0</v>
      </c>
      <c r="S25" s="436">
        <v>0</v>
      </c>
      <c r="T25" s="434">
        <f t="shared" si="5"/>
        <v>0</v>
      </c>
      <c r="U25" s="436">
        <v>0</v>
      </c>
      <c r="V25" s="436">
        <v>0</v>
      </c>
      <c r="W25" s="436">
        <v>0</v>
      </c>
      <c r="X25" s="436">
        <v>0</v>
      </c>
      <c r="Y25" s="434">
        <f t="shared" si="6"/>
        <v>0</v>
      </c>
      <c r="Z25" s="436">
        <v>0</v>
      </c>
      <c r="AA25" s="436">
        <v>0</v>
      </c>
      <c r="AB25" s="436">
        <v>0</v>
      </c>
      <c r="AC25" s="436">
        <v>0</v>
      </c>
      <c r="AD25" s="434">
        <f t="shared" si="7"/>
        <v>0</v>
      </c>
      <c r="AE25" s="436">
        <v>0</v>
      </c>
      <c r="AF25" s="436">
        <v>0</v>
      </c>
      <c r="AG25" s="436">
        <v>0</v>
      </c>
      <c r="AH25" s="436">
        <v>0</v>
      </c>
      <c r="AI25" s="437">
        <f t="shared" si="8"/>
        <v>0</v>
      </c>
      <c r="AJ25" s="436">
        <v>0</v>
      </c>
      <c r="AK25" s="438">
        <v>0</v>
      </c>
      <c r="AL25" s="438">
        <v>0</v>
      </c>
      <c r="AM25" s="436">
        <v>0</v>
      </c>
      <c r="AN25" s="474">
        <f t="shared" si="9"/>
        <v>0</v>
      </c>
      <c r="AO25" s="150">
        <f t="shared" si="10"/>
        <v>0</v>
      </c>
      <c r="AP25" s="150">
        <f t="shared" si="11"/>
        <v>0</v>
      </c>
      <c r="AQ25" s="150">
        <f t="shared" si="12"/>
        <v>0</v>
      </c>
      <c r="AR25" s="150">
        <f t="shared" si="13"/>
        <v>0</v>
      </c>
      <c r="AS25" s="150">
        <f t="shared" si="14"/>
        <v>0</v>
      </c>
      <c r="AT25" s="239"/>
      <c r="AU25" s="239"/>
      <c r="AV25" s="239"/>
      <c r="AW25" s="239"/>
      <c r="AX25" s="239"/>
      <c r="AY25" s="238">
        <f t="shared" ref="AY25:AY87" si="29">AI25-AT25</f>
        <v>0</v>
      </c>
      <c r="AZ25" s="238">
        <f t="shared" ref="AZ25:AZ87" si="30">AJ25-AU25</f>
        <v>0</v>
      </c>
      <c r="BA25" s="238">
        <f t="shared" si="26"/>
        <v>0</v>
      </c>
      <c r="BB25" s="238">
        <f t="shared" si="27"/>
        <v>0</v>
      </c>
      <c r="BC25" s="238">
        <f t="shared" si="28"/>
        <v>0</v>
      </c>
    </row>
    <row r="26" spans="1:56" ht="42" customHeight="1" outlineLevel="1" x14ac:dyDescent="0.35">
      <c r="A26" s="582">
        <v>12</v>
      </c>
      <c r="B26" s="543" t="s">
        <v>134</v>
      </c>
      <c r="C26" s="581" t="s">
        <v>106</v>
      </c>
      <c r="D26" s="27" t="s">
        <v>87</v>
      </c>
      <c r="E26" s="434">
        <f>SUM(F26:G26)</f>
        <v>1456</v>
      </c>
      <c r="F26" s="435">
        <f>1456</f>
        <v>1456</v>
      </c>
      <c r="G26" s="435">
        <v>0</v>
      </c>
      <c r="H26" s="435">
        <v>0</v>
      </c>
      <c r="I26" s="435">
        <v>0</v>
      </c>
      <c r="J26" s="434">
        <f t="shared" si="25"/>
        <v>48</v>
      </c>
      <c r="K26" s="436">
        <v>48</v>
      </c>
      <c r="L26" s="436">
        <v>0</v>
      </c>
      <c r="M26" s="436">
        <v>0</v>
      </c>
      <c r="N26" s="436">
        <v>0</v>
      </c>
      <c r="O26" s="434">
        <f t="shared" si="4"/>
        <v>0</v>
      </c>
      <c r="P26" s="436">
        <v>0</v>
      </c>
      <c r="Q26" s="436">
        <v>0</v>
      </c>
      <c r="R26" s="436">
        <v>0</v>
      </c>
      <c r="S26" s="436">
        <v>0</v>
      </c>
      <c r="T26" s="434">
        <f t="shared" si="5"/>
        <v>627</v>
      </c>
      <c r="U26" s="436">
        <f>724-48-49</f>
        <v>627</v>
      </c>
      <c r="V26" s="436">
        <v>0</v>
      </c>
      <c r="W26" s="436">
        <v>0</v>
      </c>
      <c r="X26" s="436">
        <v>0</v>
      </c>
      <c r="Y26" s="434">
        <f t="shared" si="6"/>
        <v>665</v>
      </c>
      <c r="Z26" s="436">
        <v>665</v>
      </c>
      <c r="AA26" s="436">
        <v>0</v>
      </c>
      <c r="AB26" s="436">
        <v>0</v>
      </c>
      <c r="AC26" s="436">
        <v>0</v>
      </c>
      <c r="AD26" s="434">
        <f t="shared" si="7"/>
        <v>0</v>
      </c>
      <c r="AE26" s="436">
        <v>0</v>
      </c>
      <c r="AF26" s="436">
        <v>0</v>
      </c>
      <c r="AG26" s="436">
        <v>0</v>
      </c>
      <c r="AH26" s="436">
        <v>0</v>
      </c>
      <c r="AI26" s="437">
        <f t="shared" si="8"/>
        <v>0</v>
      </c>
      <c r="AJ26" s="436">
        <v>0</v>
      </c>
      <c r="AK26" s="438">
        <v>0</v>
      </c>
      <c r="AL26" s="438">
        <v>0</v>
      </c>
      <c r="AM26" s="436">
        <v>0</v>
      </c>
      <c r="AN26" s="474">
        <f t="shared" ref="AN26:AN27" si="31">SUM(E26,J26,O26,T26,Y26,AD26,AI26)</f>
        <v>2796</v>
      </c>
      <c r="AO26" s="150">
        <f t="shared" si="10"/>
        <v>2796</v>
      </c>
      <c r="AP26" s="150">
        <f t="shared" si="11"/>
        <v>2796</v>
      </c>
      <c r="AQ26" s="150">
        <f t="shared" si="12"/>
        <v>0</v>
      </c>
      <c r="AR26" s="150">
        <f t="shared" si="13"/>
        <v>0</v>
      </c>
      <c r="AS26" s="150">
        <f t="shared" si="14"/>
        <v>0</v>
      </c>
      <c r="AT26" s="239"/>
      <c r="AU26" s="239"/>
      <c r="AV26" s="239"/>
      <c r="AW26" s="239"/>
      <c r="AX26" s="239"/>
      <c r="AY26" s="238">
        <f t="shared" si="29"/>
        <v>0</v>
      </c>
      <c r="AZ26" s="238">
        <f t="shared" si="30"/>
        <v>0</v>
      </c>
      <c r="BA26" s="238">
        <f t="shared" si="26"/>
        <v>0</v>
      </c>
      <c r="BB26" s="238">
        <f t="shared" si="27"/>
        <v>0</v>
      </c>
      <c r="BC26" s="238">
        <f t="shared" si="28"/>
        <v>0</v>
      </c>
    </row>
    <row r="27" spans="1:56" ht="79.95" customHeight="1" outlineLevel="1" x14ac:dyDescent="0.35">
      <c r="A27" s="582"/>
      <c r="B27" s="543"/>
      <c r="C27" s="581"/>
      <c r="D27" s="423" t="s">
        <v>1297</v>
      </c>
      <c r="E27" s="434">
        <f>SUM(F27:I27)</f>
        <v>0</v>
      </c>
      <c r="F27" s="435">
        <v>0</v>
      </c>
      <c r="G27" s="435">
        <v>0</v>
      </c>
      <c r="H27" s="435">
        <v>0</v>
      </c>
      <c r="I27" s="435">
        <v>0</v>
      </c>
      <c r="J27" s="434">
        <f t="shared" si="25"/>
        <v>0</v>
      </c>
      <c r="K27" s="436">
        <v>0</v>
      </c>
      <c r="L27" s="436">
        <v>0</v>
      </c>
      <c r="M27" s="436">
        <v>0</v>
      </c>
      <c r="N27" s="436">
        <v>0</v>
      </c>
      <c r="O27" s="434">
        <f t="shared" si="4"/>
        <v>48</v>
      </c>
      <c r="P27" s="436">
        <v>48</v>
      </c>
      <c r="Q27" s="436">
        <v>0</v>
      </c>
      <c r="R27" s="436">
        <v>0</v>
      </c>
      <c r="S27" s="436">
        <v>0</v>
      </c>
      <c r="T27" s="434">
        <f t="shared" si="5"/>
        <v>0</v>
      </c>
      <c r="U27" s="436">
        <v>0</v>
      </c>
      <c r="V27" s="436">
        <v>0</v>
      </c>
      <c r="W27" s="436">
        <v>0</v>
      </c>
      <c r="X27" s="436">
        <v>0</v>
      </c>
      <c r="Y27" s="434">
        <f t="shared" si="6"/>
        <v>0</v>
      </c>
      <c r="Z27" s="436">
        <v>0</v>
      </c>
      <c r="AA27" s="436">
        <v>0</v>
      </c>
      <c r="AB27" s="436">
        <v>0</v>
      </c>
      <c r="AC27" s="436">
        <v>0</v>
      </c>
      <c r="AD27" s="434">
        <f t="shared" si="7"/>
        <v>0</v>
      </c>
      <c r="AE27" s="436">
        <v>0</v>
      </c>
      <c r="AF27" s="436">
        <v>0</v>
      </c>
      <c r="AG27" s="436">
        <v>0</v>
      </c>
      <c r="AH27" s="436">
        <v>0</v>
      </c>
      <c r="AI27" s="437">
        <f t="shared" si="8"/>
        <v>0</v>
      </c>
      <c r="AJ27" s="436">
        <v>0</v>
      </c>
      <c r="AK27" s="438">
        <v>0</v>
      </c>
      <c r="AL27" s="438">
        <v>0</v>
      </c>
      <c r="AM27" s="436">
        <v>0</v>
      </c>
      <c r="AN27" s="474">
        <f t="shared" si="31"/>
        <v>48</v>
      </c>
      <c r="AO27" s="150">
        <f t="shared" si="10"/>
        <v>48</v>
      </c>
      <c r="AP27" s="150">
        <f t="shared" si="11"/>
        <v>48</v>
      </c>
      <c r="AQ27" s="150">
        <f t="shared" si="12"/>
        <v>0</v>
      </c>
      <c r="AR27" s="150">
        <f t="shared" si="13"/>
        <v>0</v>
      </c>
      <c r="AS27" s="150">
        <f t="shared" si="14"/>
        <v>0</v>
      </c>
      <c r="AT27" s="239"/>
      <c r="AU27" s="239"/>
      <c r="AV27" s="239"/>
      <c r="AW27" s="239"/>
      <c r="AX27" s="239"/>
      <c r="AY27" s="238">
        <f t="shared" si="29"/>
        <v>0</v>
      </c>
      <c r="AZ27" s="238">
        <f t="shared" si="30"/>
        <v>0</v>
      </c>
      <c r="BA27" s="238">
        <f t="shared" si="26"/>
        <v>0</v>
      </c>
      <c r="BB27" s="238">
        <f t="shared" si="27"/>
        <v>0</v>
      </c>
      <c r="BC27" s="238">
        <f t="shared" si="28"/>
        <v>0</v>
      </c>
    </row>
    <row r="28" spans="1:56" ht="42" customHeight="1" outlineLevel="1" x14ac:dyDescent="0.35">
      <c r="A28" s="582">
        <v>13</v>
      </c>
      <c r="B28" s="543" t="s">
        <v>17</v>
      </c>
      <c r="C28" s="581" t="s">
        <v>102</v>
      </c>
      <c r="D28" s="26" t="s">
        <v>36</v>
      </c>
      <c r="E28" s="434">
        <f>SUM(F28:I28)</f>
        <v>4000</v>
      </c>
      <c r="F28" s="435">
        <f>4544-272-117-155</f>
        <v>4000</v>
      </c>
      <c r="G28" s="435">
        <v>0</v>
      </c>
      <c r="H28" s="435">
        <v>0</v>
      </c>
      <c r="I28" s="435">
        <v>0</v>
      </c>
      <c r="J28" s="434">
        <f t="shared" si="25"/>
        <v>5156</v>
      </c>
      <c r="K28" s="436">
        <v>5156</v>
      </c>
      <c r="L28" s="436">
        <v>0</v>
      </c>
      <c r="M28" s="436">
        <v>0</v>
      </c>
      <c r="N28" s="436">
        <v>0</v>
      </c>
      <c r="O28" s="434">
        <f t="shared" si="4"/>
        <v>19477</v>
      </c>
      <c r="P28" s="436">
        <f>19776-68-98-125-8</f>
        <v>19477</v>
      </c>
      <c r="Q28" s="436">
        <v>0</v>
      </c>
      <c r="R28" s="436">
        <v>0</v>
      </c>
      <c r="S28" s="434">
        <v>0</v>
      </c>
      <c r="T28" s="434">
        <f t="shared" si="5"/>
        <v>40423</v>
      </c>
      <c r="U28" s="436">
        <f>19652+21720-949</f>
        <v>40423</v>
      </c>
      <c r="V28" s="436">
        <v>0</v>
      </c>
      <c r="W28" s="436">
        <v>0</v>
      </c>
      <c r="X28" s="436">
        <v>0</v>
      </c>
      <c r="Y28" s="434">
        <f t="shared" si="6"/>
        <v>656</v>
      </c>
      <c r="Z28" s="436">
        <v>656</v>
      </c>
      <c r="AA28" s="436">
        <v>0</v>
      </c>
      <c r="AB28" s="436">
        <v>0</v>
      </c>
      <c r="AC28" s="436">
        <v>0</v>
      </c>
      <c r="AD28" s="434">
        <f t="shared" si="7"/>
        <v>1590</v>
      </c>
      <c r="AE28" s="436">
        <v>1590</v>
      </c>
      <c r="AF28" s="436">
        <v>0</v>
      </c>
      <c r="AG28" s="436">
        <v>0</v>
      </c>
      <c r="AH28" s="436">
        <v>0</v>
      </c>
      <c r="AI28" s="437">
        <f t="shared" si="8"/>
        <v>18988</v>
      </c>
      <c r="AJ28" s="436">
        <f>18988</f>
        <v>18988</v>
      </c>
      <c r="AK28" s="438">
        <v>0</v>
      </c>
      <c r="AL28" s="438">
        <v>0</v>
      </c>
      <c r="AM28" s="436">
        <v>0</v>
      </c>
      <c r="AN28" s="446">
        <f>E28+J28+O28+T28+Y28+AD28+AI28</f>
        <v>90290</v>
      </c>
      <c r="AO28" s="150">
        <f t="shared" si="10"/>
        <v>90290</v>
      </c>
      <c r="AP28" s="150">
        <f t="shared" si="11"/>
        <v>90290</v>
      </c>
      <c r="AQ28" s="150">
        <f t="shared" si="12"/>
        <v>0</v>
      </c>
      <c r="AR28" s="150">
        <f t="shared" si="13"/>
        <v>0</v>
      </c>
      <c r="AS28" s="150">
        <f t="shared" si="14"/>
        <v>0</v>
      </c>
      <c r="AT28" s="239"/>
      <c r="AU28" s="239"/>
      <c r="AV28" s="239"/>
      <c r="AW28" s="239"/>
      <c r="AX28" s="239"/>
      <c r="AY28" s="238"/>
      <c r="AZ28" s="238"/>
      <c r="BA28" s="238">
        <f t="shared" si="26"/>
        <v>0</v>
      </c>
      <c r="BB28" s="238">
        <f t="shared" si="27"/>
        <v>0</v>
      </c>
      <c r="BC28" s="238">
        <f t="shared" si="28"/>
        <v>0</v>
      </c>
    </row>
    <row r="29" spans="1:56" ht="72.599999999999994" customHeight="1" outlineLevel="1" x14ac:dyDescent="0.35">
      <c r="A29" s="582"/>
      <c r="B29" s="543"/>
      <c r="C29" s="581"/>
      <c r="D29" s="423" t="s">
        <v>1297</v>
      </c>
      <c r="E29" s="435">
        <f t="shared" ref="E29:E62" si="32">SUM(F29:I29)</f>
        <v>0</v>
      </c>
      <c r="F29" s="435">
        <v>0</v>
      </c>
      <c r="G29" s="435">
        <v>0</v>
      </c>
      <c r="H29" s="435">
        <v>0</v>
      </c>
      <c r="I29" s="435">
        <v>0</v>
      </c>
      <c r="J29" s="435">
        <f t="shared" si="25"/>
        <v>0</v>
      </c>
      <c r="K29" s="435">
        <v>0</v>
      </c>
      <c r="L29" s="435">
        <v>0</v>
      </c>
      <c r="M29" s="435">
        <v>0</v>
      </c>
      <c r="N29" s="435">
        <v>0</v>
      </c>
      <c r="O29" s="434">
        <f t="shared" si="4"/>
        <v>5061</v>
      </c>
      <c r="P29" s="436">
        <v>5061</v>
      </c>
      <c r="Q29" s="436">
        <v>0</v>
      </c>
      <c r="R29" s="436">
        <v>0</v>
      </c>
      <c r="S29" s="436">
        <v>0</v>
      </c>
      <c r="T29" s="436">
        <f t="shared" si="5"/>
        <v>0</v>
      </c>
      <c r="U29" s="436">
        <v>0</v>
      </c>
      <c r="V29" s="436">
        <v>0</v>
      </c>
      <c r="W29" s="436">
        <v>0</v>
      </c>
      <c r="X29" s="436">
        <v>0</v>
      </c>
      <c r="Y29" s="436">
        <f t="shared" si="6"/>
        <v>0</v>
      </c>
      <c r="Z29" s="436">
        <v>0</v>
      </c>
      <c r="AA29" s="436">
        <v>0</v>
      </c>
      <c r="AB29" s="436">
        <v>0</v>
      </c>
      <c r="AC29" s="436">
        <v>0</v>
      </c>
      <c r="AD29" s="436">
        <f t="shared" si="7"/>
        <v>0</v>
      </c>
      <c r="AE29" s="436">
        <v>0</v>
      </c>
      <c r="AF29" s="436">
        <v>0</v>
      </c>
      <c r="AG29" s="436">
        <v>0</v>
      </c>
      <c r="AH29" s="436">
        <v>0</v>
      </c>
      <c r="AI29" s="437">
        <f t="shared" si="8"/>
        <v>0</v>
      </c>
      <c r="AJ29" s="436">
        <v>0</v>
      </c>
      <c r="AK29" s="438">
        <v>0</v>
      </c>
      <c r="AL29" s="438">
        <v>0</v>
      </c>
      <c r="AM29" s="436">
        <v>0</v>
      </c>
      <c r="AN29" s="446">
        <f>E29+J29+O29+T29+Y29+AD29+AI29</f>
        <v>5061</v>
      </c>
      <c r="AO29" s="150">
        <f t="shared" si="10"/>
        <v>5061</v>
      </c>
      <c r="AP29" s="150">
        <f t="shared" si="11"/>
        <v>5061</v>
      </c>
      <c r="AQ29" s="150">
        <f t="shared" si="12"/>
        <v>0</v>
      </c>
      <c r="AR29" s="150">
        <f t="shared" si="13"/>
        <v>0</v>
      </c>
      <c r="AS29" s="150">
        <f t="shared" si="14"/>
        <v>0</v>
      </c>
      <c r="AT29" s="239"/>
      <c r="AU29" s="239"/>
      <c r="AV29" s="239"/>
      <c r="AW29" s="239"/>
      <c r="AX29" s="239"/>
      <c r="AY29" s="238">
        <f t="shared" si="29"/>
        <v>0</v>
      </c>
      <c r="AZ29" s="238">
        <f t="shared" si="30"/>
        <v>0</v>
      </c>
      <c r="BA29" s="238">
        <f t="shared" si="26"/>
        <v>0</v>
      </c>
      <c r="BB29" s="238">
        <f t="shared" si="27"/>
        <v>0</v>
      </c>
      <c r="BC29" s="238">
        <f t="shared" si="28"/>
        <v>0</v>
      </c>
    </row>
    <row r="30" spans="1:56" ht="102" customHeight="1" outlineLevel="1" x14ac:dyDescent="0.35">
      <c r="A30" s="532">
        <v>14</v>
      </c>
      <c r="B30" s="533" t="s">
        <v>98</v>
      </c>
      <c r="C30" s="537" t="s">
        <v>102</v>
      </c>
      <c r="D30" s="25" t="s">
        <v>129</v>
      </c>
      <c r="E30" s="434">
        <f t="shared" si="32"/>
        <v>0</v>
      </c>
      <c r="F30" s="435">
        <v>0</v>
      </c>
      <c r="G30" s="435">
        <v>0</v>
      </c>
      <c r="H30" s="435">
        <v>0</v>
      </c>
      <c r="I30" s="435">
        <v>0</v>
      </c>
      <c r="J30" s="434">
        <f t="shared" si="25"/>
        <v>0</v>
      </c>
      <c r="K30" s="436">
        <v>0</v>
      </c>
      <c r="L30" s="436">
        <v>0</v>
      </c>
      <c r="M30" s="436">
        <v>0</v>
      </c>
      <c r="N30" s="436">
        <v>0</v>
      </c>
      <c r="O30" s="434">
        <f t="shared" si="4"/>
        <v>0</v>
      </c>
      <c r="P30" s="436">
        <v>0</v>
      </c>
      <c r="Q30" s="436">
        <v>0</v>
      </c>
      <c r="R30" s="436">
        <v>0</v>
      </c>
      <c r="S30" s="434">
        <v>0</v>
      </c>
      <c r="T30" s="434">
        <f t="shared" si="5"/>
        <v>0</v>
      </c>
      <c r="U30" s="436">
        <v>0</v>
      </c>
      <c r="V30" s="436">
        <v>0</v>
      </c>
      <c r="W30" s="436">
        <v>0</v>
      </c>
      <c r="X30" s="436">
        <v>0</v>
      </c>
      <c r="Y30" s="434">
        <f t="shared" si="6"/>
        <v>573</v>
      </c>
      <c r="Z30" s="436">
        <v>573</v>
      </c>
      <c r="AA30" s="436">
        <v>0</v>
      </c>
      <c r="AB30" s="436">
        <v>0</v>
      </c>
      <c r="AC30" s="436">
        <v>0</v>
      </c>
      <c r="AD30" s="434">
        <f t="shared" si="7"/>
        <v>346</v>
      </c>
      <c r="AE30" s="436">
        <v>346</v>
      </c>
      <c r="AF30" s="436">
        <v>0</v>
      </c>
      <c r="AG30" s="436">
        <v>0</v>
      </c>
      <c r="AH30" s="436">
        <v>0</v>
      </c>
      <c r="AI30" s="437">
        <f t="shared" si="8"/>
        <v>0</v>
      </c>
      <c r="AJ30" s="436">
        <v>0</v>
      </c>
      <c r="AK30" s="438">
        <v>0</v>
      </c>
      <c r="AL30" s="438">
        <v>0</v>
      </c>
      <c r="AM30" s="436">
        <v>0</v>
      </c>
      <c r="AN30" s="474">
        <f>SUM(E30,J30,O30,T30,Y30,AD30,AI30)</f>
        <v>919</v>
      </c>
      <c r="AO30" s="150">
        <f t="shared" si="10"/>
        <v>919</v>
      </c>
      <c r="AP30" s="150">
        <f t="shared" si="11"/>
        <v>919</v>
      </c>
      <c r="AQ30" s="150">
        <f t="shared" si="12"/>
        <v>0</v>
      </c>
      <c r="AR30" s="150">
        <f t="shared" si="13"/>
        <v>0</v>
      </c>
      <c r="AS30" s="150">
        <f t="shared" si="14"/>
        <v>0</v>
      </c>
      <c r="AT30" s="239"/>
      <c r="AU30" s="239"/>
      <c r="AV30" s="239"/>
      <c r="AW30" s="239"/>
      <c r="AX30" s="239"/>
      <c r="AY30" s="238">
        <f t="shared" si="29"/>
        <v>0</v>
      </c>
      <c r="AZ30" s="238">
        <f t="shared" si="30"/>
        <v>0</v>
      </c>
      <c r="BA30" s="238">
        <f t="shared" si="26"/>
        <v>0</v>
      </c>
      <c r="BB30" s="238">
        <f t="shared" si="27"/>
        <v>0</v>
      </c>
      <c r="BC30" s="238">
        <f t="shared" si="28"/>
        <v>0</v>
      </c>
    </row>
    <row r="31" spans="1:56" ht="30" customHeight="1" outlineLevel="1" x14ac:dyDescent="0.35">
      <c r="A31" s="561" t="s">
        <v>67</v>
      </c>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150">
        <f t="shared" si="10"/>
        <v>0</v>
      </c>
      <c r="AP31" s="150">
        <f t="shared" si="11"/>
        <v>0</v>
      </c>
      <c r="AQ31" s="150">
        <f t="shared" si="12"/>
        <v>0</v>
      </c>
      <c r="AR31" s="150">
        <f t="shared" si="13"/>
        <v>0</v>
      </c>
      <c r="AS31" s="150">
        <f t="shared" si="14"/>
        <v>0</v>
      </c>
      <c r="AT31" s="239"/>
      <c r="AU31" s="239"/>
      <c r="AV31" s="239"/>
      <c r="AW31" s="239"/>
      <c r="AX31" s="239"/>
      <c r="AY31" s="238">
        <f t="shared" si="29"/>
        <v>0</v>
      </c>
      <c r="AZ31" s="238">
        <f t="shared" si="30"/>
        <v>0</v>
      </c>
      <c r="BA31" s="238">
        <f t="shared" si="26"/>
        <v>0</v>
      </c>
      <c r="BB31" s="238">
        <f t="shared" si="27"/>
        <v>0</v>
      </c>
      <c r="BC31" s="238">
        <f t="shared" si="28"/>
        <v>0</v>
      </c>
    </row>
    <row r="32" spans="1:56" ht="102.6" customHeight="1" outlineLevel="1" x14ac:dyDescent="0.35">
      <c r="A32" s="532">
        <v>15</v>
      </c>
      <c r="B32" s="533" t="s">
        <v>12</v>
      </c>
      <c r="C32" s="537" t="s">
        <v>107</v>
      </c>
      <c r="D32" s="25">
        <v>2020</v>
      </c>
      <c r="E32" s="434">
        <f t="shared" si="32"/>
        <v>0</v>
      </c>
      <c r="F32" s="436">
        <v>0</v>
      </c>
      <c r="G32" s="436">
        <v>0</v>
      </c>
      <c r="H32" s="436">
        <v>0</v>
      </c>
      <c r="I32" s="436">
        <v>0</v>
      </c>
      <c r="J32" s="434">
        <f>N32+M32+L32+K32</f>
        <v>0</v>
      </c>
      <c r="K32" s="436">
        <v>0</v>
      </c>
      <c r="L32" s="436">
        <v>0</v>
      </c>
      <c r="M32" s="436">
        <v>0</v>
      </c>
      <c r="N32" s="436">
        <v>0</v>
      </c>
      <c r="O32" s="434">
        <f>P32+Q32+R32+S32</f>
        <v>0</v>
      </c>
      <c r="P32" s="436">
        <v>0</v>
      </c>
      <c r="Q32" s="436">
        <v>0</v>
      </c>
      <c r="R32" s="436">
        <v>0</v>
      </c>
      <c r="S32" s="436">
        <v>0</v>
      </c>
      <c r="T32" s="434">
        <f>U32+V32+W32+X32</f>
        <v>0</v>
      </c>
      <c r="U32" s="436">
        <v>0</v>
      </c>
      <c r="V32" s="436">
        <v>0</v>
      </c>
      <c r="W32" s="436">
        <v>0</v>
      </c>
      <c r="X32" s="436">
        <v>0</v>
      </c>
      <c r="Y32" s="434">
        <f>Z32+AA32+AB32+AC32</f>
        <v>0</v>
      </c>
      <c r="Z32" s="436">
        <v>0</v>
      </c>
      <c r="AA32" s="436">
        <v>0</v>
      </c>
      <c r="AB32" s="436">
        <v>0</v>
      </c>
      <c r="AC32" s="436">
        <v>0</v>
      </c>
      <c r="AD32" s="434">
        <f t="shared" si="7"/>
        <v>0</v>
      </c>
      <c r="AE32" s="436">
        <v>0</v>
      </c>
      <c r="AF32" s="436">
        <v>0</v>
      </c>
      <c r="AG32" s="436">
        <v>0</v>
      </c>
      <c r="AH32" s="436">
        <v>0</v>
      </c>
      <c r="AI32" s="437">
        <f t="shared" si="8"/>
        <v>0</v>
      </c>
      <c r="AJ32" s="436">
        <v>0</v>
      </c>
      <c r="AK32" s="438">
        <v>0</v>
      </c>
      <c r="AL32" s="438">
        <v>0</v>
      </c>
      <c r="AM32" s="436">
        <v>0</v>
      </c>
      <c r="AN32" s="474">
        <f t="shared" ref="AN32:AN43" si="33">SUM(E32,J32,O32,T32,Y32,AD32,AI32)</f>
        <v>0</v>
      </c>
      <c r="AO32" s="150">
        <f t="shared" si="10"/>
        <v>0</v>
      </c>
      <c r="AP32" s="150">
        <f t="shared" si="11"/>
        <v>0</v>
      </c>
      <c r="AQ32" s="150">
        <f t="shared" si="12"/>
        <v>0</v>
      </c>
      <c r="AR32" s="150">
        <f t="shared" si="13"/>
        <v>0</v>
      </c>
      <c r="AS32" s="150">
        <f t="shared" si="14"/>
        <v>0</v>
      </c>
      <c r="AT32" s="239"/>
      <c r="AU32" s="239"/>
      <c r="AV32" s="239"/>
      <c r="AW32" s="239"/>
      <c r="AX32" s="239"/>
      <c r="AY32" s="238">
        <f t="shared" si="29"/>
        <v>0</v>
      </c>
      <c r="AZ32" s="238">
        <f t="shared" si="30"/>
        <v>0</v>
      </c>
      <c r="BA32" s="238">
        <f t="shared" si="26"/>
        <v>0</v>
      </c>
      <c r="BB32" s="238">
        <f t="shared" si="27"/>
        <v>0</v>
      </c>
      <c r="BC32" s="238">
        <f t="shared" si="28"/>
        <v>0</v>
      </c>
    </row>
    <row r="33" spans="1:55" ht="213.6" customHeight="1" outlineLevel="1" x14ac:dyDescent="0.35">
      <c r="A33" s="532">
        <v>16</v>
      </c>
      <c r="B33" s="533" t="s">
        <v>11</v>
      </c>
      <c r="C33" s="537" t="s">
        <v>108</v>
      </c>
      <c r="D33" s="25">
        <v>2020</v>
      </c>
      <c r="E33" s="434">
        <f t="shared" si="32"/>
        <v>0</v>
      </c>
      <c r="F33" s="436">
        <v>0</v>
      </c>
      <c r="G33" s="436">
        <v>0</v>
      </c>
      <c r="H33" s="436">
        <v>0</v>
      </c>
      <c r="I33" s="436">
        <v>0</v>
      </c>
      <c r="J33" s="434">
        <v>0</v>
      </c>
      <c r="K33" s="436">
        <v>0</v>
      </c>
      <c r="L33" s="436">
        <v>0</v>
      </c>
      <c r="M33" s="436">
        <v>0</v>
      </c>
      <c r="N33" s="436">
        <v>0</v>
      </c>
      <c r="O33" s="434">
        <f t="shared" ref="O33:O43" si="34">P33+Q33+R33+S33</f>
        <v>0</v>
      </c>
      <c r="P33" s="436">
        <v>0</v>
      </c>
      <c r="Q33" s="436">
        <v>0</v>
      </c>
      <c r="R33" s="436">
        <v>0</v>
      </c>
      <c r="S33" s="436">
        <v>0</v>
      </c>
      <c r="T33" s="434">
        <f t="shared" ref="T33:T43" si="35">U33+V33+W33+X33</f>
        <v>0</v>
      </c>
      <c r="U33" s="436">
        <v>0</v>
      </c>
      <c r="V33" s="436">
        <v>0</v>
      </c>
      <c r="W33" s="436">
        <v>0</v>
      </c>
      <c r="X33" s="436">
        <v>0</v>
      </c>
      <c r="Y33" s="434">
        <f t="shared" ref="Y33:Y67" si="36">Z33+AA33+AB33+AC33</f>
        <v>0</v>
      </c>
      <c r="Z33" s="436">
        <v>0</v>
      </c>
      <c r="AA33" s="436">
        <v>0</v>
      </c>
      <c r="AB33" s="436">
        <v>0</v>
      </c>
      <c r="AC33" s="436">
        <v>0</v>
      </c>
      <c r="AD33" s="434">
        <f t="shared" si="7"/>
        <v>0</v>
      </c>
      <c r="AE33" s="436">
        <v>0</v>
      </c>
      <c r="AF33" s="436">
        <v>0</v>
      </c>
      <c r="AG33" s="436">
        <v>0</v>
      </c>
      <c r="AH33" s="436">
        <v>0</v>
      </c>
      <c r="AI33" s="437">
        <f t="shared" si="8"/>
        <v>0</v>
      </c>
      <c r="AJ33" s="436">
        <v>0</v>
      </c>
      <c r="AK33" s="438">
        <v>0</v>
      </c>
      <c r="AL33" s="438">
        <v>0</v>
      </c>
      <c r="AM33" s="436">
        <v>0</v>
      </c>
      <c r="AN33" s="474">
        <f t="shared" si="33"/>
        <v>0</v>
      </c>
      <c r="AO33" s="150">
        <f t="shared" si="10"/>
        <v>0</v>
      </c>
      <c r="AP33" s="150">
        <f t="shared" si="11"/>
        <v>0</v>
      </c>
      <c r="AQ33" s="150">
        <f t="shared" si="12"/>
        <v>0</v>
      </c>
      <c r="AR33" s="150">
        <f t="shared" si="13"/>
        <v>0</v>
      </c>
      <c r="AS33" s="150">
        <f t="shared" si="14"/>
        <v>0</v>
      </c>
      <c r="AT33" s="239"/>
      <c r="AU33" s="239"/>
      <c r="AV33" s="239"/>
      <c r="AW33" s="239"/>
      <c r="AX33" s="239"/>
      <c r="AY33" s="238">
        <f t="shared" si="29"/>
        <v>0</v>
      </c>
      <c r="AZ33" s="238">
        <f t="shared" si="30"/>
        <v>0</v>
      </c>
      <c r="BA33" s="238">
        <f t="shared" si="26"/>
        <v>0</v>
      </c>
      <c r="BB33" s="238">
        <f t="shared" si="27"/>
        <v>0</v>
      </c>
      <c r="BC33" s="238">
        <f t="shared" si="28"/>
        <v>0</v>
      </c>
    </row>
    <row r="34" spans="1:55" ht="136.94999999999999" customHeight="1" outlineLevel="1" x14ac:dyDescent="0.35">
      <c r="A34" s="532">
        <v>17</v>
      </c>
      <c r="B34" s="533" t="s">
        <v>63</v>
      </c>
      <c r="C34" s="537" t="s">
        <v>107</v>
      </c>
      <c r="D34" s="25">
        <v>2020</v>
      </c>
      <c r="E34" s="434">
        <f t="shared" si="32"/>
        <v>0</v>
      </c>
      <c r="F34" s="436">
        <v>0</v>
      </c>
      <c r="G34" s="436">
        <v>0</v>
      </c>
      <c r="H34" s="436">
        <v>0</v>
      </c>
      <c r="I34" s="436">
        <v>0</v>
      </c>
      <c r="J34" s="434">
        <v>0</v>
      </c>
      <c r="K34" s="436">
        <v>0</v>
      </c>
      <c r="L34" s="436">
        <v>0</v>
      </c>
      <c r="M34" s="436">
        <v>0</v>
      </c>
      <c r="N34" s="436">
        <v>0</v>
      </c>
      <c r="O34" s="434">
        <f t="shared" si="34"/>
        <v>0</v>
      </c>
      <c r="P34" s="436">
        <v>0</v>
      </c>
      <c r="Q34" s="436">
        <v>0</v>
      </c>
      <c r="R34" s="436">
        <v>0</v>
      </c>
      <c r="S34" s="436">
        <v>0</v>
      </c>
      <c r="T34" s="434">
        <f t="shared" si="35"/>
        <v>0</v>
      </c>
      <c r="U34" s="436">
        <v>0</v>
      </c>
      <c r="V34" s="436">
        <v>0</v>
      </c>
      <c r="W34" s="436">
        <v>0</v>
      </c>
      <c r="X34" s="436">
        <v>0</v>
      </c>
      <c r="Y34" s="434">
        <f t="shared" si="36"/>
        <v>0</v>
      </c>
      <c r="Z34" s="436">
        <v>0</v>
      </c>
      <c r="AA34" s="436">
        <v>0</v>
      </c>
      <c r="AB34" s="436">
        <v>0</v>
      </c>
      <c r="AC34" s="436">
        <v>0</v>
      </c>
      <c r="AD34" s="434">
        <f t="shared" si="7"/>
        <v>0</v>
      </c>
      <c r="AE34" s="436">
        <v>0</v>
      </c>
      <c r="AF34" s="436">
        <v>0</v>
      </c>
      <c r="AG34" s="436">
        <v>0</v>
      </c>
      <c r="AH34" s="436">
        <v>0</v>
      </c>
      <c r="AI34" s="437">
        <f t="shared" si="8"/>
        <v>0</v>
      </c>
      <c r="AJ34" s="436">
        <v>0</v>
      </c>
      <c r="AK34" s="438">
        <v>0</v>
      </c>
      <c r="AL34" s="438">
        <v>0</v>
      </c>
      <c r="AM34" s="436">
        <v>0</v>
      </c>
      <c r="AN34" s="474">
        <f t="shared" si="33"/>
        <v>0</v>
      </c>
      <c r="AO34" s="150">
        <f t="shared" si="10"/>
        <v>0</v>
      </c>
      <c r="AP34" s="150">
        <f t="shared" si="11"/>
        <v>0</v>
      </c>
      <c r="AQ34" s="150">
        <f t="shared" si="12"/>
        <v>0</v>
      </c>
      <c r="AR34" s="150">
        <f t="shared" si="13"/>
        <v>0</v>
      </c>
      <c r="AS34" s="150">
        <f t="shared" si="14"/>
        <v>0</v>
      </c>
      <c r="AT34" s="239"/>
      <c r="AU34" s="239"/>
      <c r="AV34" s="239"/>
      <c r="AW34" s="239"/>
      <c r="AX34" s="239"/>
      <c r="AY34" s="238">
        <f t="shared" si="29"/>
        <v>0</v>
      </c>
      <c r="AZ34" s="238">
        <f t="shared" si="30"/>
        <v>0</v>
      </c>
      <c r="BA34" s="238">
        <f t="shared" si="26"/>
        <v>0</v>
      </c>
      <c r="BB34" s="238">
        <f t="shared" si="27"/>
        <v>0</v>
      </c>
      <c r="BC34" s="238">
        <f t="shared" si="28"/>
        <v>0</v>
      </c>
    </row>
    <row r="35" spans="1:55" ht="158.4" customHeight="1" outlineLevel="1" x14ac:dyDescent="0.35">
      <c r="A35" s="532">
        <v>18</v>
      </c>
      <c r="B35" s="533" t="s">
        <v>16</v>
      </c>
      <c r="C35" s="537" t="s">
        <v>107</v>
      </c>
      <c r="D35" s="25">
        <v>2020</v>
      </c>
      <c r="E35" s="434">
        <f t="shared" si="32"/>
        <v>0</v>
      </c>
      <c r="F35" s="436">
        <v>0</v>
      </c>
      <c r="G35" s="436">
        <v>0</v>
      </c>
      <c r="H35" s="436">
        <v>0</v>
      </c>
      <c r="I35" s="436">
        <v>0</v>
      </c>
      <c r="J35" s="434">
        <v>0</v>
      </c>
      <c r="K35" s="436">
        <v>0</v>
      </c>
      <c r="L35" s="436">
        <v>0</v>
      </c>
      <c r="M35" s="436">
        <v>0</v>
      </c>
      <c r="N35" s="436">
        <v>0</v>
      </c>
      <c r="O35" s="434">
        <f t="shared" si="34"/>
        <v>0</v>
      </c>
      <c r="P35" s="436">
        <v>0</v>
      </c>
      <c r="Q35" s="436">
        <v>0</v>
      </c>
      <c r="R35" s="436">
        <v>0</v>
      </c>
      <c r="S35" s="436">
        <v>0</v>
      </c>
      <c r="T35" s="434">
        <f t="shared" si="35"/>
        <v>0</v>
      </c>
      <c r="U35" s="436">
        <v>0</v>
      </c>
      <c r="V35" s="436">
        <v>0</v>
      </c>
      <c r="W35" s="436">
        <v>0</v>
      </c>
      <c r="X35" s="436">
        <v>0</v>
      </c>
      <c r="Y35" s="434">
        <f t="shared" si="36"/>
        <v>0</v>
      </c>
      <c r="Z35" s="436">
        <v>0</v>
      </c>
      <c r="AA35" s="436">
        <v>0</v>
      </c>
      <c r="AB35" s="436">
        <v>0</v>
      </c>
      <c r="AC35" s="436">
        <v>0</v>
      </c>
      <c r="AD35" s="434">
        <f t="shared" si="7"/>
        <v>0</v>
      </c>
      <c r="AE35" s="436">
        <v>0</v>
      </c>
      <c r="AF35" s="436">
        <v>0</v>
      </c>
      <c r="AG35" s="436">
        <v>0</v>
      </c>
      <c r="AH35" s="436">
        <v>0</v>
      </c>
      <c r="AI35" s="437">
        <f t="shared" si="8"/>
        <v>0</v>
      </c>
      <c r="AJ35" s="436">
        <v>0</v>
      </c>
      <c r="AK35" s="438">
        <v>0</v>
      </c>
      <c r="AL35" s="438">
        <v>0</v>
      </c>
      <c r="AM35" s="436">
        <v>0</v>
      </c>
      <c r="AN35" s="474">
        <f t="shared" si="33"/>
        <v>0</v>
      </c>
      <c r="AO35" s="150">
        <f t="shared" si="10"/>
        <v>0</v>
      </c>
      <c r="AP35" s="150">
        <f t="shared" si="11"/>
        <v>0</v>
      </c>
      <c r="AQ35" s="150">
        <f t="shared" si="12"/>
        <v>0</v>
      </c>
      <c r="AR35" s="150">
        <f t="shared" si="13"/>
        <v>0</v>
      </c>
      <c r="AS35" s="150">
        <f t="shared" si="14"/>
        <v>0</v>
      </c>
      <c r="AT35" s="239"/>
      <c r="AU35" s="239"/>
      <c r="AV35" s="239"/>
      <c r="AW35" s="239"/>
      <c r="AX35" s="239"/>
      <c r="AY35" s="238">
        <f t="shared" si="29"/>
        <v>0</v>
      </c>
      <c r="AZ35" s="238">
        <f t="shared" si="30"/>
        <v>0</v>
      </c>
      <c r="BA35" s="238">
        <f t="shared" si="26"/>
        <v>0</v>
      </c>
      <c r="BB35" s="238">
        <f t="shared" si="27"/>
        <v>0</v>
      </c>
      <c r="BC35" s="238">
        <f t="shared" si="28"/>
        <v>0</v>
      </c>
    </row>
    <row r="36" spans="1:55" ht="87.6" customHeight="1" outlineLevel="1" x14ac:dyDescent="0.35">
      <c r="A36" s="532">
        <v>19</v>
      </c>
      <c r="B36" s="533" t="s">
        <v>10</v>
      </c>
      <c r="C36" s="537" t="s">
        <v>107</v>
      </c>
      <c r="D36" s="25">
        <v>2020</v>
      </c>
      <c r="E36" s="434">
        <f t="shared" si="32"/>
        <v>0</v>
      </c>
      <c r="F36" s="436">
        <v>0</v>
      </c>
      <c r="G36" s="436">
        <v>0</v>
      </c>
      <c r="H36" s="436">
        <v>0</v>
      </c>
      <c r="I36" s="436">
        <v>0</v>
      </c>
      <c r="J36" s="434">
        <v>0</v>
      </c>
      <c r="K36" s="436">
        <v>0</v>
      </c>
      <c r="L36" s="436">
        <v>0</v>
      </c>
      <c r="M36" s="436">
        <v>0</v>
      </c>
      <c r="N36" s="436">
        <v>0</v>
      </c>
      <c r="O36" s="434">
        <f t="shared" si="34"/>
        <v>0</v>
      </c>
      <c r="P36" s="436">
        <v>0</v>
      </c>
      <c r="Q36" s="436">
        <v>0</v>
      </c>
      <c r="R36" s="436">
        <v>0</v>
      </c>
      <c r="S36" s="436">
        <v>0</v>
      </c>
      <c r="T36" s="434">
        <f t="shared" si="35"/>
        <v>0</v>
      </c>
      <c r="U36" s="436">
        <v>0</v>
      </c>
      <c r="V36" s="436">
        <v>0</v>
      </c>
      <c r="W36" s="436">
        <v>0</v>
      </c>
      <c r="X36" s="436">
        <v>0</v>
      </c>
      <c r="Y36" s="434">
        <f t="shared" si="36"/>
        <v>0</v>
      </c>
      <c r="Z36" s="436">
        <v>0</v>
      </c>
      <c r="AA36" s="436">
        <v>0</v>
      </c>
      <c r="AB36" s="436">
        <v>0</v>
      </c>
      <c r="AC36" s="436">
        <v>0</v>
      </c>
      <c r="AD36" s="434">
        <f t="shared" si="7"/>
        <v>0</v>
      </c>
      <c r="AE36" s="436">
        <v>0</v>
      </c>
      <c r="AF36" s="436">
        <v>0</v>
      </c>
      <c r="AG36" s="436">
        <v>0</v>
      </c>
      <c r="AH36" s="436">
        <v>0</v>
      </c>
      <c r="AI36" s="437">
        <f t="shared" si="8"/>
        <v>0</v>
      </c>
      <c r="AJ36" s="436">
        <v>0</v>
      </c>
      <c r="AK36" s="438">
        <v>0</v>
      </c>
      <c r="AL36" s="438">
        <v>0</v>
      </c>
      <c r="AM36" s="436">
        <v>0</v>
      </c>
      <c r="AN36" s="474">
        <f t="shared" si="33"/>
        <v>0</v>
      </c>
      <c r="AO36" s="150">
        <f t="shared" si="10"/>
        <v>0</v>
      </c>
      <c r="AP36" s="150">
        <f t="shared" si="11"/>
        <v>0</v>
      </c>
      <c r="AQ36" s="150">
        <f t="shared" si="12"/>
        <v>0</v>
      </c>
      <c r="AR36" s="150">
        <f t="shared" si="13"/>
        <v>0</v>
      </c>
      <c r="AS36" s="150">
        <f t="shared" si="14"/>
        <v>0</v>
      </c>
      <c r="AT36" s="239"/>
      <c r="AU36" s="239"/>
      <c r="AV36" s="239"/>
      <c r="AW36" s="239"/>
      <c r="AX36" s="239"/>
      <c r="AY36" s="238">
        <f t="shared" si="29"/>
        <v>0</v>
      </c>
      <c r="AZ36" s="238">
        <f t="shared" si="30"/>
        <v>0</v>
      </c>
      <c r="BA36" s="238">
        <f t="shared" si="26"/>
        <v>0</v>
      </c>
      <c r="BB36" s="238">
        <f t="shared" si="27"/>
        <v>0</v>
      </c>
      <c r="BC36" s="238">
        <f t="shared" si="28"/>
        <v>0</v>
      </c>
    </row>
    <row r="37" spans="1:55" ht="136.65" customHeight="1" outlineLevel="1" x14ac:dyDescent="0.35">
      <c r="A37" s="532">
        <v>20</v>
      </c>
      <c r="B37" s="533" t="s">
        <v>9</v>
      </c>
      <c r="C37" s="537" t="s">
        <v>107</v>
      </c>
      <c r="D37" s="25">
        <v>2020</v>
      </c>
      <c r="E37" s="434">
        <f t="shared" si="32"/>
        <v>0</v>
      </c>
      <c r="F37" s="436">
        <v>0</v>
      </c>
      <c r="G37" s="436">
        <v>0</v>
      </c>
      <c r="H37" s="436">
        <v>0</v>
      </c>
      <c r="I37" s="436">
        <v>0</v>
      </c>
      <c r="J37" s="434">
        <v>0</v>
      </c>
      <c r="K37" s="436">
        <v>0</v>
      </c>
      <c r="L37" s="436">
        <v>0</v>
      </c>
      <c r="M37" s="436">
        <v>0</v>
      </c>
      <c r="N37" s="436">
        <v>0</v>
      </c>
      <c r="O37" s="434">
        <f t="shared" si="34"/>
        <v>0</v>
      </c>
      <c r="P37" s="436">
        <v>0</v>
      </c>
      <c r="Q37" s="436">
        <v>0</v>
      </c>
      <c r="R37" s="436">
        <v>0</v>
      </c>
      <c r="S37" s="436">
        <v>0</v>
      </c>
      <c r="T37" s="434">
        <f t="shared" si="35"/>
        <v>0</v>
      </c>
      <c r="U37" s="436">
        <v>0</v>
      </c>
      <c r="V37" s="436">
        <v>0</v>
      </c>
      <c r="W37" s="436">
        <v>0</v>
      </c>
      <c r="X37" s="436">
        <v>0</v>
      </c>
      <c r="Y37" s="434">
        <f t="shared" si="36"/>
        <v>0</v>
      </c>
      <c r="Z37" s="436">
        <v>0</v>
      </c>
      <c r="AA37" s="436">
        <v>0</v>
      </c>
      <c r="AB37" s="436">
        <v>0</v>
      </c>
      <c r="AC37" s="436">
        <v>0</v>
      </c>
      <c r="AD37" s="434">
        <f t="shared" si="7"/>
        <v>0</v>
      </c>
      <c r="AE37" s="436">
        <v>0</v>
      </c>
      <c r="AF37" s="436">
        <v>0</v>
      </c>
      <c r="AG37" s="436">
        <v>0</v>
      </c>
      <c r="AH37" s="436">
        <v>0</v>
      </c>
      <c r="AI37" s="437">
        <f t="shared" si="8"/>
        <v>0</v>
      </c>
      <c r="AJ37" s="436">
        <v>0</v>
      </c>
      <c r="AK37" s="438">
        <v>0</v>
      </c>
      <c r="AL37" s="438">
        <v>0</v>
      </c>
      <c r="AM37" s="436">
        <v>0</v>
      </c>
      <c r="AN37" s="474">
        <f t="shared" si="33"/>
        <v>0</v>
      </c>
      <c r="AO37" s="150">
        <f t="shared" si="10"/>
        <v>0</v>
      </c>
      <c r="AP37" s="150">
        <f t="shared" si="11"/>
        <v>0</v>
      </c>
      <c r="AQ37" s="150">
        <f t="shared" si="12"/>
        <v>0</v>
      </c>
      <c r="AR37" s="150">
        <f t="shared" si="13"/>
        <v>0</v>
      </c>
      <c r="AS37" s="150">
        <f t="shared" si="14"/>
        <v>0</v>
      </c>
      <c r="AT37" s="239"/>
      <c r="AU37" s="239"/>
      <c r="AV37" s="239"/>
      <c r="AW37" s="239"/>
      <c r="AX37" s="239"/>
      <c r="AY37" s="238">
        <f t="shared" si="29"/>
        <v>0</v>
      </c>
      <c r="AZ37" s="238">
        <f t="shared" si="30"/>
        <v>0</v>
      </c>
      <c r="BA37" s="238">
        <f t="shared" si="26"/>
        <v>0</v>
      </c>
      <c r="BB37" s="238">
        <f t="shared" si="27"/>
        <v>0</v>
      </c>
      <c r="BC37" s="238">
        <f t="shared" si="28"/>
        <v>0</v>
      </c>
    </row>
    <row r="38" spans="1:55" ht="159" customHeight="1" outlineLevel="1" x14ac:dyDescent="0.35">
      <c r="A38" s="532">
        <v>21</v>
      </c>
      <c r="B38" s="533" t="s">
        <v>15</v>
      </c>
      <c r="C38" s="537" t="s">
        <v>107</v>
      </c>
      <c r="D38" s="25">
        <v>2020</v>
      </c>
      <c r="E38" s="434">
        <f t="shared" si="32"/>
        <v>0</v>
      </c>
      <c r="F38" s="436">
        <v>0</v>
      </c>
      <c r="G38" s="436">
        <v>0</v>
      </c>
      <c r="H38" s="436">
        <v>0</v>
      </c>
      <c r="I38" s="436">
        <v>0</v>
      </c>
      <c r="J38" s="434">
        <v>0</v>
      </c>
      <c r="K38" s="436">
        <v>0</v>
      </c>
      <c r="L38" s="436">
        <v>0</v>
      </c>
      <c r="M38" s="436">
        <v>0</v>
      </c>
      <c r="N38" s="436">
        <v>0</v>
      </c>
      <c r="O38" s="434">
        <f t="shared" si="34"/>
        <v>0</v>
      </c>
      <c r="P38" s="436">
        <v>0</v>
      </c>
      <c r="Q38" s="436">
        <v>0</v>
      </c>
      <c r="R38" s="436">
        <v>0</v>
      </c>
      <c r="S38" s="436">
        <v>0</v>
      </c>
      <c r="T38" s="434">
        <f t="shared" si="35"/>
        <v>0</v>
      </c>
      <c r="U38" s="436">
        <v>0</v>
      </c>
      <c r="V38" s="436">
        <v>0</v>
      </c>
      <c r="W38" s="436">
        <v>0</v>
      </c>
      <c r="X38" s="436">
        <v>0</v>
      </c>
      <c r="Y38" s="434">
        <f t="shared" si="36"/>
        <v>0</v>
      </c>
      <c r="Z38" s="436">
        <v>0</v>
      </c>
      <c r="AA38" s="436">
        <v>0</v>
      </c>
      <c r="AB38" s="436">
        <v>0</v>
      </c>
      <c r="AC38" s="436">
        <v>0</v>
      </c>
      <c r="AD38" s="434">
        <f t="shared" si="7"/>
        <v>0</v>
      </c>
      <c r="AE38" s="436">
        <v>0</v>
      </c>
      <c r="AF38" s="436">
        <v>0</v>
      </c>
      <c r="AG38" s="436">
        <v>0</v>
      </c>
      <c r="AH38" s="436">
        <v>0</v>
      </c>
      <c r="AI38" s="437">
        <f t="shared" si="8"/>
        <v>0</v>
      </c>
      <c r="AJ38" s="436">
        <v>0</v>
      </c>
      <c r="AK38" s="438">
        <v>0</v>
      </c>
      <c r="AL38" s="438">
        <v>0</v>
      </c>
      <c r="AM38" s="436">
        <v>0</v>
      </c>
      <c r="AN38" s="474">
        <f t="shared" si="33"/>
        <v>0</v>
      </c>
      <c r="AO38" s="150">
        <f t="shared" si="10"/>
        <v>0</v>
      </c>
      <c r="AP38" s="150">
        <f t="shared" si="11"/>
        <v>0</v>
      </c>
      <c r="AQ38" s="150">
        <f t="shared" si="12"/>
        <v>0</v>
      </c>
      <c r="AR38" s="150">
        <f t="shared" si="13"/>
        <v>0</v>
      </c>
      <c r="AS38" s="150">
        <f t="shared" si="14"/>
        <v>0</v>
      </c>
      <c r="AT38" s="239"/>
      <c r="AU38" s="239"/>
      <c r="AV38" s="239"/>
      <c r="AW38" s="239"/>
      <c r="AX38" s="239"/>
      <c r="AY38" s="238">
        <f t="shared" si="29"/>
        <v>0</v>
      </c>
      <c r="AZ38" s="238">
        <f t="shared" si="30"/>
        <v>0</v>
      </c>
      <c r="BA38" s="238">
        <f t="shared" si="26"/>
        <v>0</v>
      </c>
      <c r="BB38" s="238">
        <f t="shared" si="27"/>
        <v>0</v>
      </c>
      <c r="BC38" s="238">
        <f t="shared" si="28"/>
        <v>0</v>
      </c>
    </row>
    <row r="39" spans="1:55" ht="228.6" customHeight="1" outlineLevel="1" x14ac:dyDescent="0.35">
      <c r="A39" s="532">
        <v>22</v>
      </c>
      <c r="B39" s="533" t="s">
        <v>1271</v>
      </c>
      <c r="C39" s="537" t="s">
        <v>109</v>
      </c>
      <c r="D39" s="25">
        <v>2020</v>
      </c>
      <c r="E39" s="434">
        <f t="shared" si="32"/>
        <v>0</v>
      </c>
      <c r="F39" s="436">
        <v>0</v>
      </c>
      <c r="G39" s="436">
        <v>0</v>
      </c>
      <c r="H39" s="436">
        <v>0</v>
      </c>
      <c r="I39" s="436">
        <v>0</v>
      </c>
      <c r="J39" s="434">
        <v>0</v>
      </c>
      <c r="K39" s="436">
        <v>0</v>
      </c>
      <c r="L39" s="436">
        <v>0</v>
      </c>
      <c r="M39" s="436">
        <v>0</v>
      </c>
      <c r="N39" s="436">
        <v>0</v>
      </c>
      <c r="O39" s="434">
        <f t="shared" si="34"/>
        <v>0</v>
      </c>
      <c r="P39" s="436">
        <v>0</v>
      </c>
      <c r="Q39" s="436">
        <v>0</v>
      </c>
      <c r="R39" s="436">
        <v>0</v>
      </c>
      <c r="S39" s="436">
        <v>0</v>
      </c>
      <c r="T39" s="434">
        <f t="shared" si="35"/>
        <v>0</v>
      </c>
      <c r="U39" s="436">
        <v>0</v>
      </c>
      <c r="V39" s="436">
        <v>0</v>
      </c>
      <c r="W39" s="436">
        <v>0</v>
      </c>
      <c r="X39" s="436">
        <v>0</v>
      </c>
      <c r="Y39" s="434">
        <f t="shared" si="36"/>
        <v>0</v>
      </c>
      <c r="Z39" s="436">
        <v>0</v>
      </c>
      <c r="AA39" s="436">
        <v>0</v>
      </c>
      <c r="AB39" s="436">
        <v>0</v>
      </c>
      <c r="AC39" s="436">
        <v>0</v>
      </c>
      <c r="AD39" s="434">
        <f t="shared" si="7"/>
        <v>0</v>
      </c>
      <c r="AE39" s="436">
        <v>0</v>
      </c>
      <c r="AF39" s="436">
        <v>0</v>
      </c>
      <c r="AG39" s="436">
        <v>0</v>
      </c>
      <c r="AH39" s="436">
        <v>0</v>
      </c>
      <c r="AI39" s="437">
        <f t="shared" si="8"/>
        <v>0</v>
      </c>
      <c r="AJ39" s="436">
        <v>0</v>
      </c>
      <c r="AK39" s="438">
        <v>0</v>
      </c>
      <c r="AL39" s="438">
        <v>0</v>
      </c>
      <c r="AM39" s="436">
        <v>0</v>
      </c>
      <c r="AN39" s="474">
        <f t="shared" si="33"/>
        <v>0</v>
      </c>
      <c r="AO39" s="150">
        <f t="shared" si="10"/>
        <v>0</v>
      </c>
      <c r="AP39" s="150">
        <f t="shared" si="11"/>
        <v>0</v>
      </c>
      <c r="AQ39" s="150">
        <f t="shared" si="12"/>
        <v>0</v>
      </c>
      <c r="AR39" s="150">
        <f t="shared" si="13"/>
        <v>0</v>
      </c>
      <c r="AS39" s="150">
        <f t="shared" si="14"/>
        <v>0</v>
      </c>
      <c r="AT39" s="239"/>
      <c r="AU39" s="239"/>
      <c r="AV39" s="239"/>
      <c r="AW39" s="239"/>
      <c r="AX39" s="239"/>
      <c r="AY39" s="238">
        <f t="shared" si="29"/>
        <v>0</v>
      </c>
      <c r="AZ39" s="238">
        <f t="shared" si="30"/>
        <v>0</v>
      </c>
      <c r="BA39" s="238">
        <f t="shared" si="26"/>
        <v>0</v>
      </c>
      <c r="BB39" s="238">
        <f t="shared" si="27"/>
        <v>0</v>
      </c>
      <c r="BC39" s="238">
        <f t="shared" si="28"/>
        <v>0</v>
      </c>
    </row>
    <row r="40" spans="1:55" ht="125.4" customHeight="1" outlineLevel="1" x14ac:dyDescent="0.35">
      <c r="A40" s="532">
        <v>23</v>
      </c>
      <c r="B40" s="533" t="s">
        <v>13</v>
      </c>
      <c r="C40" s="537" t="s">
        <v>110</v>
      </c>
      <c r="D40" s="25">
        <v>2020</v>
      </c>
      <c r="E40" s="434">
        <f t="shared" si="32"/>
        <v>0</v>
      </c>
      <c r="F40" s="436">
        <v>0</v>
      </c>
      <c r="G40" s="436">
        <v>0</v>
      </c>
      <c r="H40" s="436">
        <v>0</v>
      </c>
      <c r="I40" s="436">
        <v>0</v>
      </c>
      <c r="J40" s="434">
        <v>0</v>
      </c>
      <c r="K40" s="436">
        <v>0</v>
      </c>
      <c r="L40" s="436">
        <v>0</v>
      </c>
      <c r="M40" s="436">
        <v>0</v>
      </c>
      <c r="N40" s="436">
        <v>0</v>
      </c>
      <c r="O40" s="434">
        <f t="shared" si="34"/>
        <v>0</v>
      </c>
      <c r="P40" s="436">
        <v>0</v>
      </c>
      <c r="Q40" s="436">
        <v>0</v>
      </c>
      <c r="R40" s="436">
        <v>0</v>
      </c>
      <c r="S40" s="436">
        <v>0</v>
      </c>
      <c r="T40" s="434">
        <f t="shared" si="35"/>
        <v>0</v>
      </c>
      <c r="U40" s="436">
        <v>0</v>
      </c>
      <c r="V40" s="436">
        <v>0</v>
      </c>
      <c r="W40" s="436">
        <v>0</v>
      </c>
      <c r="X40" s="436">
        <v>0</v>
      </c>
      <c r="Y40" s="434">
        <f t="shared" si="36"/>
        <v>0</v>
      </c>
      <c r="Z40" s="436">
        <v>0</v>
      </c>
      <c r="AA40" s="436">
        <v>0</v>
      </c>
      <c r="AB40" s="436">
        <v>0</v>
      </c>
      <c r="AC40" s="436">
        <v>0</v>
      </c>
      <c r="AD40" s="434">
        <f t="shared" si="7"/>
        <v>0</v>
      </c>
      <c r="AE40" s="436">
        <v>0</v>
      </c>
      <c r="AF40" s="436">
        <v>0</v>
      </c>
      <c r="AG40" s="436">
        <v>0</v>
      </c>
      <c r="AH40" s="436">
        <v>0</v>
      </c>
      <c r="AI40" s="437">
        <f t="shared" si="8"/>
        <v>0</v>
      </c>
      <c r="AJ40" s="436">
        <v>0</v>
      </c>
      <c r="AK40" s="438">
        <v>0</v>
      </c>
      <c r="AL40" s="438">
        <v>0</v>
      </c>
      <c r="AM40" s="436">
        <v>0</v>
      </c>
      <c r="AN40" s="474">
        <f t="shared" si="33"/>
        <v>0</v>
      </c>
      <c r="AO40" s="150">
        <f t="shared" si="10"/>
        <v>0</v>
      </c>
      <c r="AP40" s="150">
        <f t="shared" si="11"/>
        <v>0</v>
      </c>
      <c r="AQ40" s="150">
        <f t="shared" si="12"/>
        <v>0</v>
      </c>
      <c r="AR40" s="150">
        <f t="shared" si="13"/>
        <v>0</v>
      </c>
      <c r="AS40" s="150">
        <f t="shared" si="14"/>
        <v>0</v>
      </c>
      <c r="AT40" s="239"/>
      <c r="AU40" s="239"/>
      <c r="AV40" s="239"/>
      <c r="AW40" s="239"/>
      <c r="AX40" s="239"/>
      <c r="AY40" s="238">
        <f t="shared" si="29"/>
        <v>0</v>
      </c>
      <c r="AZ40" s="238">
        <f t="shared" si="30"/>
        <v>0</v>
      </c>
      <c r="BA40" s="238">
        <f t="shared" si="26"/>
        <v>0</v>
      </c>
      <c r="BB40" s="238">
        <f t="shared" si="27"/>
        <v>0</v>
      </c>
      <c r="BC40" s="238">
        <f t="shared" si="28"/>
        <v>0</v>
      </c>
    </row>
    <row r="41" spans="1:55" ht="119.25" customHeight="1" outlineLevel="1" x14ac:dyDescent="0.35">
      <c r="A41" s="532">
        <v>24</v>
      </c>
      <c r="B41" s="533" t="s">
        <v>1306</v>
      </c>
      <c r="C41" s="537" t="s">
        <v>111</v>
      </c>
      <c r="D41" s="25">
        <v>2020</v>
      </c>
      <c r="E41" s="434">
        <f t="shared" si="32"/>
        <v>0</v>
      </c>
      <c r="F41" s="436">
        <v>0</v>
      </c>
      <c r="G41" s="436">
        <v>0</v>
      </c>
      <c r="H41" s="436">
        <v>0</v>
      </c>
      <c r="I41" s="436">
        <v>0</v>
      </c>
      <c r="J41" s="434">
        <v>0</v>
      </c>
      <c r="K41" s="436">
        <v>0</v>
      </c>
      <c r="L41" s="436">
        <v>0</v>
      </c>
      <c r="M41" s="436">
        <v>0</v>
      </c>
      <c r="N41" s="436">
        <v>0</v>
      </c>
      <c r="O41" s="434">
        <f t="shared" si="34"/>
        <v>0</v>
      </c>
      <c r="P41" s="436">
        <v>0</v>
      </c>
      <c r="Q41" s="436">
        <v>0</v>
      </c>
      <c r="R41" s="436">
        <v>0</v>
      </c>
      <c r="S41" s="436">
        <v>0</v>
      </c>
      <c r="T41" s="434">
        <f t="shared" si="35"/>
        <v>0</v>
      </c>
      <c r="U41" s="436">
        <v>0</v>
      </c>
      <c r="V41" s="436">
        <v>0</v>
      </c>
      <c r="W41" s="436">
        <v>0</v>
      </c>
      <c r="X41" s="436">
        <v>0</v>
      </c>
      <c r="Y41" s="434">
        <f t="shared" si="36"/>
        <v>0</v>
      </c>
      <c r="Z41" s="436">
        <v>0</v>
      </c>
      <c r="AA41" s="436">
        <v>0</v>
      </c>
      <c r="AB41" s="436">
        <v>0</v>
      </c>
      <c r="AC41" s="436">
        <v>0</v>
      </c>
      <c r="AD41" s="434">
        <f t="shared" si="7"/>
        <v>0</v>
      </c>
      <c r="AE41" s="436">
        <v>0</v>
      </c>
      <c r="AF41" s="436">
        <v>0</v>
      </c>
      <c r="AG41" s="436">
        <v>0</v>
      </c>
      <c r="AH41" s="436">
        <v>0</v>
      </c>
      <c r="AI41" s="437">
        <f t="shared" si="8"/>
        <v>0</v>
      </c>
      <c r="AJ41" s="436">
        <v>0</v>
      </c>
      <c r="AK41" s="438">
        <v>0</v>
      </c>
      <c r="AL41" s="438">
        <v>0</v>
      </c>
      <c r="AM41" s="436">
        <v>0</v>
      </c>
      <c r="AN41" s="474">
        <f t="shared" si="33"/>
        <v>0</v>
      </c>
      <c r="AO41" s="150">
        <f t="shared" si="10"/>
        <v>0</v>
      </c>
      <c r="AP41" s="150">
        <f t="shared" si="11"/>
        <v>0</v>
      </c>
      <c r="AQ41" s="150">
        <f t="shared" si="12"/>
        <v>0</v>
      </c>
      <c r="AR41" s="150">
        <f t="shared" si="13"/>
        <v>0</v>
      </c>
      <c r="AS41" s="150">
        <f t="shared" si="14"/>
        <v>0</v>
      </c>
      <c r="AT41" s="239"/>
      <c r="AU41" s="239"/>
      <c r="AV41" s="239"/>
      <c r="AW41" s="239"/>
      <c r="AX41" s="239"/>
      <c r="AY41" s="238">
        <f t="shared" si="29"/>
        <v>0</v>
      </c>
      <c r="AZ41" s="238">
        <f t="shared" si="30"/>
        <v>0</v>
      </c>
      <c r="BA41" s="238">
        <f t="shared" si="26"/>
        <v>0</v>
      </c>
      <c r="BB41" s="238">
        <f t="shared" si="27"/>
        <v>0</v>
      </c>
      <c r="BC41" s="238">
        <f t="shared" si="28"/>
        <v>0</v>
      </c>
    </row>
    <row r="42" spans="1:55" ht="111" customHeight="1" outlineLevel="1" x14ac:dyDescent="0.35">
      <c r="A42" s="532">
        <v>25</v>
      </c>
      <c r="B42" s="533" t="s">
        <v>1</v>
      </c>
      <c r="C42" s="537" t="s">
        <v>1272</v>
      </c>
      <c r="D42" s="25">
        <v>2020</v>
      </c>
      <c r="E42" s="434">
        <f t="shared" si="32"/>
        <v>0</v>
      </c>
      <c r="F42" s="436">
        <v>0</v>
      </c>
      <c r="G42" s="436">
        <v>0</v>
      </c>
      <c r="H42" s="436">
        <v>0</v>
      </c>
      <c r="I42" s="436">
        <v>0</v>
      </c>
      <c r="J42" s="434">
        <v>0</v>
      </c>
      <c r="K42" s="436">
        <v>0</v>
      </c>
      <c r="L42" s="436">
        <v>0</v>
      </c>
      <c r="M42" s="436">
        <v>0</v>
      </c>
      <c r="N42" s="436">
        <v>0</v>
      </c>
      <c r="O42" s="434">
        <f t="shared" si="34"/>
        <v>0</v>
      </c>
      <c r="P42" s="436">
        <v>0</v>
      </c>
      <c r="Q42" s="436">
        <v>0</v>
      </c>
      <c r="R42" s="436">
        <v>0</v>
      </c>
      <c r="S42" s="436">
        <v>0</v>
      </c>
      <c r="T42" s="434">
        <f t="shared" si="35"/>
        <v>0</v>
      </c>
      <c r="U42" s="436">
        <v>0</v>
      </c>
      <c r="V42" s="436">
        <v>0</v>
      </c>
      <c r="W42" s="436">
        <v>0</v>
      </c>
      <c r="X42" s="436">
        <v>0</v>
      </c>
      <c r="Y42" s="434">
        <f t="shared" si="36"/>
        <v>0</v>
      </c>
      <c r="Z42" s="436">
        <v>0</v>
      </c>
      <c r="AA42" s="436">
        <v>0</v>
      </c>
      <c r="AB42" s="436">
        <v>0</v>
      </c>
      <c r="AC42" s="436">
        <v>0</v>
      </c>
      <c r="AD42" s="434">
        <f t="shared" si="7"/>
        <v>0</v>
      </c>
      <c r="AE42" s="436">
        <v>0</v>
      </c>
      <c r="AF42" s="436">
        <v>0</v>
      </c>
      <c r="AG42" s="436">
        <v>0</v>
      </c>
      <c r="AH42" s="436">
        <v>0</v>
      </c>
      <c r="AI42" s="437">
        <f t="shared" si="8"/>
        <v>0</v>
      </c>
      <c r="AJ42" s="436">
        <v>0</v>
      </c>
      <c r="AK42" s="438">
        <v>0</v>
      </c>
      <c r="AL42" s="438">
        <v>0</v>
      </c>
      <c r="AM42" s="436">
        <v>0</v>
      </c>
      <c r="AN42" s="474">
        <f t="shared" si="33"/>
        <v>0</v>
      </c>
      <c r="AO42" s="150">
        <f t="shared" si="10"/>
        <v>0</v>
      </c>
      <c r="AP42" s="150">
        <f t="shared" si="11"/>
        <v>0</v>
      </c>
      <c r="AQ42" s="150">
        <f t="shared" si="12"/>
        <v>0</v>
      </c>
      <c r="AR42" s="150">
        <f t="shared" si="13"/>
        <v>0</v>
      </c>
      <c r="AS42" s="150">
        <f t="shared" si="14"/>
        <v>0</v>
      </c>
      <c r="AT42" s="239"/>
      <c r="AU42" s="239"/>
      <c r="AV42" s="239"/>
      <c r="AW42" s="239"/>
      <c r="AX42" s="239"/>
      <c r="AY42" s="238">
        <f t="shared" si="29"/>
        <v>0</v>
      </c>
      <c r="AZ42" s="238">
        <f t="shared" si="30"/>
        <v>0</v>
      </c>
      <c r="BA42" s="238">
        <f t="shared" si="26"/>
        <v>0</v>
      </c>
      <c r="BB42" s="238">
        <f t="shared" si="27"/>
        <v>0</v>
      </c>
      <c r="BC42" s="238">
        <f t="shared" si="28"/>
        <v>0</v>
      </c>
    </row>
    <row r="43" spans="1:55" ht="95.1" customHeight="1" outlineLevel="1" x14ac:dyDescent="0.35">
      <c r="A43" s="532">
        <v>26</v>
      </c>
      <c r="B43" s="533" t="s">
        <v>7</v>
      </c>
      <c r="C43" s="537" t="s">
        <v>102</v>
      </c>
      <c r="D43" s="25">
        <v>2020</v>
      </c>
      <c r="E43" s="434">
        <f t="shared" si="32"/>
        <v>0</v>
      </c>
      <c r="F43" s="436">
        <v>0</v>
      </c>
      <c r="G43" s="436">
        <v>0</v>
      </c>
      <c r="H43" s="436">
        <v>0</v>
      </c>
      <c r="I43" s="436">
        <v>0</v>
      </c>
      <c r="J43" s="434">
        <v>0</v>
      </c>
      <c r="K43" s="436">
        <v>0</v>
      </c>
      <c r="L43" s="436">
        <v>0</v>
      </c>
      <c r="M43" s="436">
        <v>0</v>
      </c>
      <c r="N43" s="436">
        <v>0</v>
      </c>
      <c r="O43" s="434">
        <f t="shared" si="34"/>
        <v>0</v>
      </c>
      <c r="P43" s="436">
        <v>0</v>
      </c>
      <c r="Q43" s="436">
        <v>0</v>
      </c>
      <c r="R43" s="436">
        <v>0</v>
      </c>
      <c r="S43" s="436">
        <v>0</v>
      </c>
      <c r="T43" s="434">
        <f t="shared" si="35"/>
        <v>0</v>
      </c>
      <c r="U43" s="436">
        <v>0</v>
      </c>
      <c r="V43" s="436">
        <v>0</v>
      </c>
      <c r="W43" s="436">
        <v>0</v>
      </c>
      <c r="X43" s="436">
        <v>0</v>
      </c>
      <c r="Y43" s="434">
        <f t="shared" si="36"/>
        <v>0</v>
      </c>
      <c r="Z43" s="436">
        <v>0</v>
      </c>
      <c r="AA43" s="436">
        <v>0</v>
      </c>
      <c r="AB43" s="436">
        <v>0</v>
      </c>
      <c r="AC43" s="436">
        <v>0</v>
      </c>
      <c r="AD43" s="434">
        <f t="shared" si="7"/>
        <v>0</v>
      </c>
      <c r="AE43" s="436">
        <v>0</v>
      </c>
      <c r="AF43" s="436">
        <v>0</v>
      </c>
      <c r="AG43" s="436">
        <v>0</v>
      </c>
      <c r="AH43" s="436">
        <v>0</v>
      </c>
      <c r="AI43" s="437">
        <f t="shared" si="8"/>
        <v>0</v>
      </c>
      <c r="AJ43" s="436">
        <v>0</v>
      </c>
      <c r="AK43" s="438">
        <v>0</v>
      </c>
      <c r="AL43" s="438">
        <v>0</v>
      </c>
      <c r="AM43" s="436">
        <v>0</v>
      </c>
      <c r="AN43" s="474">
        <f t="shared" si="33"/>
        <v>0</v>
      </c>
      <c r="AO43" s="150">
        <f t="shared" si="10"/>
        <v>0</v>
      </c>
      <c r="AP43" s="150">
        <f t="shared" si="11"/>
        <v>0</v>
      </c>
      <c r="AQ43" s="150">
        <f t="shared" si="12"/>
        <v>0</v>
      </c>
      <c r="AR43" s="150">
        <f t="shared" si="13"/>
        <v>0</v>
      </c>
      <c r="AS43" s="150">
        <f t="shared" si="14"/>
        <v>0</v>
      </c>
      <c r="AT43" s="239"/>
      <c r="AU43" s="239"/>
      <c r="AV43" s="239"/>
      <c r="AW43" s="239"/>
      <c r="AX43" s="239"/>
      <c r="AY43" s="238">
        <f t="shared" si="29"/>
        <v>0</v>
      </c>
      <c r="AZ43" s="238">
        <f t="shared" si="30"/>
        <v>0</v>
      </c>
      <c r="BA43" s="238">
        <f t="shared" si="26"/>
        <v>0</v>
      </c>
      <c r="BB43" s="238">
        <f t="shared" si="27"/>
        <v>0</v>
      </c>
      <c r="BC43" s="238">
        <f t="shared" si="28"/>
        <v>0</v>
      </c>
    </row>
    <row r="44" spans="1:55" ht="28.2" customHeight="1" outlineLevel="1" x14ac:dyDescent="0.35">
      <c r="A44" s="561" t="s">
        <v>76</v>
      </c>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79"/>
      <c r="AO44" s="150">
        <f t="shared" si="10"/>
        <v>0</v>
      </c>
      <c r="AP44" s="150">
        <f t="shared" si="11"/>
        <v>0</v>
      </c>
      <c r="AQ44" s="150">
        <f t="shared" si="12"/>
        <v>0</v>
      </c>
      <c r="AR44" s="150">
        <f t="shared" si="13"/>
        <v>0</v>
      </c>
      <c r="AS44" s="150">
        <f t="shared" si="14"/>
        <v>0</v>
      </c>
      <c r="AT44" s="239"/>
      <c r="AU44" s="239"/>
      <c r="AV44" s="239"/>
      <c r="AW44" s="239"/>
      <c r="AX44" s="239"/>
      <c r="AY44" s="238">
        <f t="shared" si="29"/>
        <v>0</v>
      </c>
      <c r="AZ44" s="238">
        <f t="shared" si="30"/>
        <v>0</v>
      </c>
      <c r="BA44" s="238">
        <f t="shared" si="26"/>
        <v>0</v>
      </c>
      <c r="BB44" s="238">
        <f t="shared" si="27"/>
        <v>0</v>
      </c>
      <c r="BC44" s="238">
        <f t="shared" si="28"/>
        <v>0</v>
      </c>
    </row>
    <row r="45" spans="1:55" ht="97.35" customHeight="1" outlineLevel="1" x14ac:dyDescent="0.35">
      <c r="A45" s="532">
        <v>27</v>
      </c>
      <c r="B45" s="533" t="s">
        <v>18</v>
      </c>
      <c r="C45" s="537" t="s">
        <v>102</v>
      </c>
      <c r="D45" s="25">
        <v>2020</v>
      </c>
      <c r="E45" s="434">
        <f t="shared" si="32"/>
        <v>0</v>
      </c>
      <c r="F45" s="436">
        <v>0</v>
      </c>
      <c r="G45" s="436">
        <v>0</v>
      </c>
      <c r="H45" s="436">
        <v>0</v>
      </c>
      <c r="I45" s="436">
        <v>0</v>
      </c>
      <c r="J45" s="434">
        <f>K45+L45+M45+N45</f>
        <v>0</v>
      </c>
      <c r="K45" s="436">
        <v>0</v>
      </c>
      <c r="L45" s="436">
        <v>0</v>
      </c>
      <c r="M45" s="436">
        <v>0</v>
      </c>
      <c r="N45" s="436">
        <v>0</v>
      </c>
      <c r="O45" s="434">
        <f>P45+Q45+R45+S45</f>
        <v>0</v>
      </c>
      <c r="P45" s="436">
        <v>0</v>
      </c>
      <c r="Q45" s="436">
        <v>0</v>
      </c>
      <c r="R45" s="436">
        <v>0</v>
      </c>
      <c r="S45" s="436">
        <v>0</v>
      </c>
      <c r="T45" s="434">
        <f>U45+V45+W45+X45</f>
        <v>0</v>
      </c>
      <c r="U45" s="436">
        <v>0</v>
      </c>
      <c r="V45" s="436">
        <v>0</v>
      </c>
      <c r="W45" s="436">
        <v>0</v>
      </c>
      <c r="X45" s="436">
        <v>0</v>
      </c>
      <c r="Y45" s="434">
        <f t="shared" si="36"/>
        <v>0</v>
      </c>
      <c r="Z45" s="436">
        <v>0</v>
      </c>
      <c r="AA45" s="436">
        <v>0</v>
      </c>
      <c r="AB45" s="436">
        <v>0</v>
      </c>
      <c r="AC45" s="436">
        <v>0</v>
      </c>
      <c r="AD45" s="434">
        <f t="shared" si="7"/>
        <v>0</v>
      </c>
      <c r="AE45" s="436">
        <v>0</v>
      </c>
      <c r="AF45" s="436">
        <v>0</v>
      </c>
      <c r="AG45" s="436">
        <v>0</v>
      </c>
      <c r="AH45" s="436">
        <v>0</v>
      </c>
      <c r="AI45" s="437">
        <f t="shared" si="8"/>
        <v>0</v>
      </c>
      <c r="AJ45" s="436">
        <v>0</v>
      </c>
      <c r="AK45" s="438">
        <v>0</v>
      </c>
      <c r="AL45" s="438">
        <v>0</v>
      </c>
      <c r="AM45" s="436">
        <v>0</v>
      </c>
      <c r="AN45" s="474">
        <f t="shared" ref="AN45:AN60" si="37">SUM(E45,J45,O45,T45,Y45,AD45,AI45)</f>
        <v>0</v>
      </c>
      <c r="AO45" s="150">
        <f t="shared" si="10"/>
        <v>0</v>
      </c>
      <c r="AP45" s="150">
        <f t="shared" si="11"/>
        <v>0</v>
      </c>
      <c r="AQ45" s="150">
        <f t="shared" si="12"/>
        <v>0</v>
      </c>
      <c r="AR45" s="150">
        <f t="shared" si="13"/>
        <v>0</v>
      </c>
      <c r="AS45" s="150">
        <f t="shared" si="14"/>
        <v>0</v>
      </c>
      <c r="AT45" s="239"/>
      <c r="AU45" s="239"/>
      <c r="AV45" s="239"/>
      <c r="AW45" s="239"/>
      <c r="AX45" s="239"/>
      <c r="AY45" s="238">
        <f t="shared" si="29"/>
        <v>0</v>
      </c>
      <c r="AZ45" s="238">
        <f t="shared" si="30"/>
        <v>0</v>
      </c>
      <c r="BA45" s="238">
        <f t="shared" si="26"/>
        <v>0</v>
      </c>
      <c r="BB45" s="238">
        <f t="shared" si="27"/>
        <v>0</v>
      </c>
      <c r="BC45" s="238">
        <f t="shared" si="28"/>
        <v>0</v>
      </c>
    </row>
    <row r="46" spans="1:55" ht="116.4" customHeight="1" outlineLevel="1" x14ac:dyDescent="0.35">
      <c r="A46" s="532">
        <v>28</v>
      </c>
      <c r="B46" s="533" t="s">
        <v>1290</v>
      </c>
      <c r="C46" s="537" t="s">
        <v>102</v>
      </c>
      <c r="D46" s="26" t="s">
        <v>37</v>
      </c>
      <c r="E46" s="434">
        <f t="shared" si="32"/>
        <v>0</v>
      </c>
      <c r="F46" s="436">
        <v>0</v>
      </c>
      <c r="G46" s="436">
        <v>0</v>
      </c>
      <c r="H46" s="436">
        <v>0</v>
      </c>
      <c r="I46" s="436">
        <v>0</v>
      </c>
      <c r="J46" s="434">
        <f>K46+L46+M46+N46</f>
        <v>8026</v>
      </c>
      <c r="K46" s="436">
        <v>8026</v>
      </c>
      <c r="L46" s="436">
        <v>0</v>
      </c>
      <c r="M46" s="436">
        <v>0</v>
      </c>
      <c r="N46" s="436">
        <v>0</v>
      </c>
      <c r="O46" s="434">
        <f>P46+Q46+R46+S46</f>
        <v>9950</v>
      </c>
      <c r="P46" s="436">
        <f>10000-25-25</f>
        <v>9950</v>
      </c>
      <c r="Q46" s="436">
        <v>0</v>
      </c>
      <c r="R46" s="436">
        <v>0</v>
      </c>
      <c r="S46" s="436">
        <v>0</v>
      </c>
      <c r="T46" s="434">
        <f t="shared" ref="T46:T62" si="38">U46+V46+W46+X46</f>
        <v>19173.3</v>
      </c>
      <c r="U46" s="436">
        <f>19399.3-226</f>
        <v>19173.3</v>
      </c>
      <c r="V46" s="436">
        <v>0</v>
      </c>
      <c r="W46" s="436">
        <v>0</v>
      </c>
      <c r="X46" s="436">
        <v>0</v>
      </c>
      <c r="Y46" s="434">
        <f t="shared" si="36"/>
        <v>26614</v>
      </c>
      <c r="Z46" s="436">
        <v>26614</v>
      </c>
      <c r="AA46" s="436">
        <v>0</v>
      </c>
      <c r="AB46" s="436">
        <v>0</v>
      </c>
      <c r="AC46" s="436">
        <v>0</v>
      </c>
      <c r="AD46" s="434">
        <f t="shared" si="7"/>
        <v>29148</v>
      </c>
      <c r="AE46" s="436">
        <v>29148</v>
      </c>
      <c r="AF46" s="436">
        <v>0</v>
      </c>
      <c r="AG46" s="436">
        <v>0</v>
      </c>
      <c r="AH46" s="436">
        <v>0</v>
      </c>
      <c r="AI46" s="434">
        <f t="shared" si="8"/>
        <v>15950</v>
      </c>
      <c r="AJ46" s="436">
        <v>15950</v>
      </c>
      <c r="AK46" s="436">
        <v>0</v>
      </c>
      <c r="AL46" s="436">
        <v>0</v>
      </c>
      <c r="AM46" s="436">
        <v>0</v>
      </c>
      <c r="AN46" s="474">
        <f t="shared" si="37"/>
        <v>108861.3</v>
      </c>
      <c r="AO46" s="150">
        <f t="shared" si="10"/>
        <v>108861.3</v>
      </c>
      <c r="AP46" s="150">
        <f t="shared" si="11"/>
        <v>108861.3</v>
      </c>
      <c r="AQ46" s="150">
        <f t="shared" si="12"/>
        <v>0</v>
      </c>
      <c r="AR46" s="150">
        <f t="shared" si="13"/>
        <v>0</v>
      </c>
      <c r="AS46" s="150">
        <f t="shared" si="14"/>
        <v>0</v>
      </c>
      <c r="AT46" s="239">
        <v>16207</v>
      </c>
      <c r="AU46" s="239">
        <v>16207</v>
      </c>
      <c r="AV46" s="239"/>
      <c r="AW46" s="239"/>
      <c r="AX46" s="239"/>
      <c r="AY46" s="238">
        <f t="shared" si="29"/>
        <v>-257</v>
      </c>
      <c r="AZ46" s="238">
        <f t="shared" si="30"/>
        <v>-257</v>
      </c>
      <c r="BA46" s="238">
        <f t="shared" si="26"/>
        <v>0</v>
      </c>
      <c r="BB46" s="238">
        <f t="shared" si="27"/>
        <v>0</v>
      </c>
      <c r="BC46" s="238">
        <f t="shared" si="28"/>
        <v>0</v>
      </c>
    </row>
    <row r="47" spans="1:55" ht="109.35" customHeight="1" outlineLevel="1" x14ac:dyDescent="0.35">
      <c r="A47" s="532">
        <v>29</v>
      </c>
      <c r="B47" s="533" t="s">
        <v>49</v>
      </c>
      <c r="C47" s="537" t="s">
        <v>112</v>
      </c>
      <c r="D47" s="26" t="s">
        <v>131</v>
      </c>
      <c r="E47" s="434">
        <f t="shared" si="32"/>
        <v>4700</v>
      </c>
      <c r="F47" s="436">
        <v>4700</v>
      </c>
      <c r="G47" s="436">
        <v>0</v>
      </c>
      <c r="H47" s="436">
        <v>0</v>
      </c>
      <c r="I47" s="436">
        <v>0</v>
      </c>
      <c r="J47" s="434">
        <f t="shared" ref="J47:J62" si="39">K47+L47+M47+N47</f>
        <v>0</v>
      </c>
      <c r="K47" s="436">
        <v>0</v>
      </c>
      <c r="L47" s="436">
        <v>0</v>
      </c>
      <c r="M47" s="436">
        <v>0</v>
      </c>
      <c r="N47" s="436">
        <v>0</v>
      </c>
      <c r="O47" s="434">
        <f t="shared" ref="O47:O64" si="40">P47+Q47+R47+S47</f>
        <v>1215</v>
      </c>
      <c r="P47" s="436">
        <f>1455-120-120</f>
        <v>1215</v>
      </c>
      <c r="Q47" s="436">
        <v>0</v>
      </c>
      <c r="R47" s="436">
        <v>0</v>
      </c>
      <c r="S47" s="436">
        <v>0</v>
      </c>
      <c r="T47" s="434">
        <f t="shared" si="38"/>
        <v>0</v>
      </c>
      <c r="U47" s="436">
        <v>0</v>
      </c>
      <c r="V47" s="436">
        <v>0</v>
      </c>
      <c r="W47" s="436">
        <v>0</v>
      </c>
      <c r="X47" s="436">
        <v>0</v>
      </c>
      <c r="Y47" s="434">
        <f t="shared" si="36"/>
        <v>0</v>
      </c>
      <c r="Z47" s="436">
        <v>0</v>
      </c>
      <c r="AA47" s="436">
        <v>0</v>
      </c>
      <c r="AB47" s="436">
        <v>0</v>
      </c>
      <c r="AC47" s="436">
        <v>0</v>
      </c>
      <c r="AD47" s="434">
        <f t="shared" si="7"/>
        <v>0</v>
      </c>
      <c r="AE47" s="436">
        <v>0</v>
      </c>
      <c r="AF47" s="436">
        <v>0</v>
      </c>
      <c r="AG47" s="436">
        <v>0</v>
      </c>
      <c r="AH47" s="436">
        <v>0</v>
      </c>
      <c r="AI47" s="437">
        <f t="shared" si="8"/>
        <v>0</v>
      </c>
      <c r="AJ47" s="436">
        <v>0</v>
      </c>
      <c r="AK47" s="438">
        <v>0</v>
      </c>
      <c r="AL47" s="438">
        <v>0</v>
      </c>
      <c r="AM47" s="436">
        <v>0</v>
      </c>
      <c r="AN47" s="474">
        <f>SUM(E47,J47,O47,T47,Y47,AD47,AI47)</f>
        <v>5915</v>
      </c>
      <c r="AO47" s="150">
        <f t="shared" si="10"/>
        <v>5915</v>
      </c>
      <c r="AP47" s="150">
        <f t="shared" si="11"/>
        <v>5915</v>
      </c>
      <c r="AQ47" s="150">
        <f t="shared" si="12"/>
        <v>0</v>
      </c>
      <c r="AR47" s="150">
        <f t="shared" si="13"/>
        <v>0</v>
      </c>
      <c r="AS47" s="150">
        <f t="shared" si="14"/>
        <v>0</v>
      </c>
      <c r="AT47" s="239"/>
      <c r="AU47" s="239"/>
      <c r="AV47" s="239"/>
      <c r="AW47" s="239"/>
      <c r="AX47" s="239"/>
      <c r="AY47" s="238">
        <f t="shared" si="29"/>
        <v>0</v>
      </c>
      <c r="AZ47" s="238">
        <f t="shared" si="30"/>
        <v>0</v>
      </c>
      <c r="BA47" s="238">
        <f t="shared" si="26"/>
        <v>0</v>
      </c>
      <c r="BB47" s="238">
        <f t="shared" si="27"/>
        <v>0</v>
      </c>
      <c r="BC47" s="238">
        <f t="shared" si="28"/>
        <v>0</v>
      </c>
    </row>
    <row r="48" spans="1:55" ht="98.4" customHeight="1" outlineLevel="1" x14ac:dyDescent="0.35">
      <c r="A48" s="532">
        <v>30</v>
      </c>
      <c r="B48" s="533" t="s">
        <v>0</v>
      </c>
      <c r="C48" s="537" t="s">
        <v>102</v>
      </c>
      <c r="D48" s="25">
        <v>2020</v>
      </c>
      <c r="E48" s="434">
        <f t="shared" si="32"/>
        <v>0</v>
      </c>
      <c r="F48" s="436">
        <v>0</v>
      </c>
      <c r="G48" s="436">
        <v>0</v>
      </c>
      <c r="H48" s="436">
        <v>0</v>
      </c>
      <c r="I48" s="436">
        <v>0</v>
      </c>
      <c r="J48" s="434">
        <f t="shared" si="39"/>
        <v>0</v>
      </c>
      <c r="K48" s="436">
        <v>0</v>
      </c>
      <c r="L48" s="436">
        <v>0</v>
      </c>
      <c r="M48" s="436">
        <v>0</v>
      </c>
      <c r="N48" s="436">
        <v>0</v>
      </c>
      <c r="O48" s="434">
        <f t="shared" si="40"/>
        <v>0</v>
      </c>
      <c r="P48" s="436">
        <v>0</v>
      </c>
      <c r="Q48" s="436">
        <v>0</v>
      </c>
      <c r="R48" s="436">
        <v>0</v>
      </c>
      <c r="S48" s="436">
        <v>0</v>
      </c>
      <c r="T48" s="434">
        <f t="shared" si="38"/>
        <v>0</v>
      </c>
      <c r="U48" s="436">
        <v>0</v>
      </c>
      <c r="V48" s="436">
        <v>0</v>
      </c>
      <c r="W48" s="436">
        <v>0</v>
      </c>
      <c r="X48" s="436">
        <v>0</v>
      </c>
      <c r="Y48" s="434">
        <f t="shared" si="36"/>
        <v>0</v>
      </c>
      <c r="Z48" s="436">
        <v>0</v>
      </c>
      <c r="AA48" s="436">
        <v>0</v>
      </c>
      <c r="AB48" s="436">
        <v>0</v>
      </c>
      <c r="AC48" s="436">
        <v>0</v>
      </c>
      <c r="AD48" s="434">
        <f t="shared" si="7"/>
        <v>0</v>
      </c>
      <c r="AE48" s="436">
        <v>0</v>
      </c>
      <c r="AF48" s="436">
        <v>0</v>
      </c>
      <c r="AG48" s="436">
        <v>0</v>
      </c>
      <c r="AH48" s="436">
        <v>0</v>
      </c>
      <c r="AI48" s="437">
        <f t="shared" si="8"/>
        <v>0</v>
      </c>
      <c r="AJ48" s="436">
        <v>0</v>
      </c>
      <c r="AK48" s="438">
        <v>0</v>
      </c>
      <c r="AL48" s="438">
        <v>0</v>
      </c>
      <c r="AM48" s="436">
        <v>0</v>
      </c>
      <c r="AN48" s="474">
        <f t="shared" si="37"/>
        <v>0</v>
      </c>
      <c r="AO48" s="150">
        <f t="shared" si="10"/>
        <v>0</v>
      </c>
      <c r="AP48" s="150">
        <f t="shared" si="11"/>
        <v>0</v>
      </c>
      <c r="AQ48" s="150">
        <f t="shared" si="12"/>
        <v>0</v>
      </c>
      <c r="AR48" s="150">
        <f t="shared" si="13"/>
        <v>0</v>
      </c>
      <c r="AS48" s="150">
        <f t="shared" si="14"/>
        <v>0</v>
      </c>
      <c r="AT48" s="239"/>
      <c r="AU48" s="239"/>
      <c r="AV48" s="239"/>
      <c r="AW48" s="239"/>
      <c r="AX48" s="239"/>
      <c r="AY48" s="238">
        <f t="shared" si="29"/>
        <v>0</v>
      </c>
      <c r="AZ48" s="238">
        <f t="shared" si="30"/>
        <v>0</v>
      </c>
      <c r="BA48" s="238">
        <f t="shared" si="26"/>
        <v>0</v>
      </c>
      <c r="BB48" s="238">
        <f t="shared" si="27"/>
        <v>0</v>
      </c>
      <c r="BC48" s="238">
        <f t="shared" si="28"/>
        <v>0</v>
      </c>
    </row>
    <row r="49" spans="1:56" s="1" customFormat="1" ht="108.6" customHeight="1" outlineLevel="1" x14ac:dyDescent="0.35">
      <c r="A49" s="535">
        <v>31</v>
      </c>
      <c r="B49" s="533" t="s">
        <v>136</v>
      </c>
      <c r="C49" s="537" t="s">
        <v>102</v>
      </c>
      <c r="D49" s="26" t="s">
        <v>41</v>
      </c>
      <c r="E49" s="434">
        <f t="shared" si="32"/>
        <v>297</v>
      </c>
      <c r="F49" s="435">
        <v>297</v>
      </c>
      <c r="G49" s="436">
        <v>0</v>
      </c>
      <c r="H49" s="436">
        <v>0</v>
      </c>
      <c r="I49" s="436">
        <v>0</v>
      </c>
      <c r="J49" s="434">
        <f t="shared" si="39"/>
        <v>1888</v>
      </c>
      <c r="K49" s="435">
        <f>2300-206-206</f>
        <v>1888</v>
      </c>
      <c r="L49" s="436">
        <v>0</v>
      </c>
      <c r="M49" s="436">
        <v>0</v>
      </c>
      <c r="N49" s="436">
        <v>0</v>
      </c>
      <c r="O49" s="434">
        <f t="shared" si="40"/>
        <v>0</v>
      </c>
      <c r="P49" s="436">
        <v>0</v>
      </c>
      <c r="Q49" s="436">
        <v>0</v>
      </c>
      <c r="R49" s="436">
        <v>0</v>
      </c>
      <c r="S49" s="436">
        <v>0</v>
      </c>
      <c r="T49" s="442">
        <f t="shared" si="38"/>
        <v>2202</v>
      </c>
      <c r="U49" s="436">
        <f>2203-1</f>
        <v>2202</v>
      </c>
      <c r="V49" s="436">
        <v>0</v>
      </c>
      <c r="W49" s="436">
        <v>0</v>
      </c>
      <c r="X49" s="436">
        <v>0</v>
      </c>
      <c r="Y49" s="434">
        <f t="shared" si="36"/>
        <v>22</v>
      </c>
      <c r="Z49" s="436">
        <v>22</v>
      </c>
      <c r="AA49" s="436">
        <v>0</v>
      </c>
      <c r="AB49" s="436">
        <v>0</v>
      </c>
      <c r="AC49" s="436">
        <v>0</v>
      </c>
      <c r="AD49" s="434">
        <f t="shared" si="7"/>
        <v>0</v>
      </c>
      <c r="AE49" s="436">
        <v>0</v>
      </c>
      <c r="AF49" s="436">
        <v>0</v>
      </c>
      <c r="AG49" s="436">
        <v>0</v>
      </c>
      <c r="AH49" s="436">
        <v>0</v>
      </c>
      <c r="AI49" s="437">
        <f t="shared" si="8"/>
        <v>843</v>
      </c>
      <c r="AJ49" s="436">
        <v>843</v>
      </c>
      <c r="AK49" s="438">
        <v>0</v>
      </c>
      <c r="AL49" s="438">
        <v>0</v>
      </c>
      <c r="AM49" s="436">
        <v>0</v>
      </c>
      <c r="AN49" s="474">
        <f t="shared" si="37"/>
        <v>5252</v>
      </c>
      <c r="AO49" s="150">
        <f t="shared" si="10"/>
        <v>5252</v>
      </c>
      <c r="AP49" s="150">
        <f t="shared" si="11"/>
        <v>5252</v>
      </c>
      <c r="AQ49" s="150">
        <f t="shared" si="12"/>
        <v>0</v>
      </c>
      <c r="AR49" s="150">
        <f t="shared" si="13"/>
        <v>0</v>
      </c>
      <c r="AS49" s="150">
        <f t="shared" si="14"/>
        <v>0</v>
      </c>
      <c r="AT49" s="239"/>
      <c r="AU49" s="239"/>
      <c r="AV49" s="239"/>
      <c r="AW49" s="239"/>
      <c r="AX49" s="239"/>
      <c r="AY49" s="238"/>
      <c r="AZ49" s="238"/>
      <c r="BA49" s="238"/>
      <c r="BB49" s="238"/>
      <c r="BC49" s="238"/>
      <c r="BD49" s="217"/>
    </row>
    <row r="50" spans="1:56" ht="52.2" customHeight="1" outlineLevel="1" x14ac:dyDescent="0.35">
      <c r="A50" s="544">
        <v>32</v>
      </c>
      <c r="B50" s="565" t="s">
        <v>135</v>
      </c>
      <c r="C50" s="567" t="s">
        <v>102</v>
      </c>
      <c r="D50" s="26" t="s">
        <v>137</v>
      </c>
      <c r="E50" s="434">
        <f t="shared" si="32"/>
        <v>1458</v>
      </c>
      <c r="F50" s="435">
        <f>5267-3802-4-3</f>
        <v>1458</v>
      </c>
      <c r="G50" s="436">
        <v>0</v>
      </c>
      <c r="H50" s="436">
        <v>0</v>
      </c>
      <c r="I50" s="436">
        <v>0</v>
      </c>
      <c r="J50" s="434">
        <f t="shared" si="39"/>
        <v>0</v>
      </c>
      <c r="K50" s="435">
        <v>0</v>
      </c>
      <c r="L50" s="436">
        <v>0</v>
      </c>
      <c r="M50" s="436">
        <v>0</v>
      </c>
      <c r="N50" s="436">
        <v>0</v>
      </c>
      <c r="O50" s="434">
        <f t="shared" si="40"/>
        <v>0</v>
      </c>
      <c r="P50" s="436">
        <v>0</v>
      </c>
      <c r="Q50" s="436">
        <v>0</v>
      </c>
      <c r="R50" s="436">
        <v>0</v>
      </c>
      <c r="S50" s="436">
        <v>0</v>
      </c>
      <c r="T50" s="442">
        <f t="shared" si="38"/>
        <v>22073</v>
      </c>
      <c r="U50" s="436">
        <v>22073</v>
      </c>
      <c r="V50" s="436">
        <v>0</v>
      </c>
      <c r="W50" s="436">
        <v>0</v>
      </c>
      <c r="X50" s="436">
        <v>0</v>
      </c>
      <c r="Y50" s="434">
        <f t="shared" si="36"/>
        <v>20299</v>
      </c>
      <c r="Z50" s="436">
        <f>20321-22</f>
        <v>20299</v>
      </c>
      <c r="AA50" s="436">
        <v>0</v>
      </c>
      <c r="AB50" s="436">
        <v>0</v>
      </c>
      <c r="AC50" s="436">
        <v>0</v>
      </c>
      <c r="AD50" s="434">
        <f t="shared" si="7"/>
        <v>12265</v>
      </c>
      <c r="AE50" s="436">
        <f>7813+4452</f>
        <v>12265</v>
      </c>
      <c r="AF50" s="436">
        <v>0</v>
      </c>
      <c r="AG50" s="436">
        <v>0</v>
      </c>
      <c r="AH50" s="436">
        <v>0</v>
      </c>
      <c r="AI50" s="437">
        <f t="shared" si="8"/>
        <v>20349</v>
      </c>
      <c r="AJ50" s="436">
        <v>20349</v>
      </c>
      <c r="AK50" s="438">
        <v>0</v>
      </c>
      <c r="AL50" s="438">
        <v>0</v>
      </c>
      <c r="AM50" s="436">
        <v>0</v>
      </c>
      <c r="AN50" s="474">
        <f t="shared" si="37"/>
        <v>76444</v>
      </c>
      <c r="AO50" s="150">
        <f t="shared" si="10"/>
        <v>76444</v>
      </c>
      <c r="AP50" s="150">
        <f t="shared" si="11"/>
        <v>76444</v>
      </c>
      <c r="AQ50" s="150">
        <f t="shared" si="12"/>
        <v>0</v>
      </c>
      <c r="AR50" s="150">
        <f t="shared" si="13"/>
        <v>0</v>
      </c>
      <c r="AS50" s="150">
        <f t="shared" si="14"/>
        <v>0</v>
      </c>
      <c r="AT50" s="239"/>
      <c r="AU50" s="239"/>
      <c r="AV50" s="239"/>
      <c r="AW50" s="239"/>
      <c r="AX50" s="239"/>
      <c r="AY50" s="238"/>
      <c r="AZ50" s="238"/>
      <c r="BA50" s="238"/>
      <c r="BB50" s="238"/>
      <c r="BC50" s="238"/>
    </row>
    <row r="51" spans="1:56" ht="76.95" customHeight="1" outlineLevel="1" x14ac:dyDescent="0.35">
      <c r="A51" s="545"/>
      <c r="B51" s="566"/>
      <c r="C51" s="568"/>
      <c r="D51" s="423" t="s">
        <v>1302</v>
      </c>
      <c r="E51" s="434"/>
      <c r="F51" s="435"/>
      <c r="G51" s="436"/>
      <c r="H51" s="436"/>
      <c r="I51" s="436"/>
      <c r="J51" s="434"/>
      <c r="K51" s="435"/>
      <c r="L51" s="436"/>
      <c r="M51" s="436"/>
      <c r="N51" s="436"/>
      <c r="O51" s="434"/>
      <c r="P51" s="436"/>
      <c r="Q51" s="436"/>
      <c r="R51" s="436"/>
      <c r="S51" s="436"/>
      <c r="T51" s="442"/>
      <c r="U51" s="436"/>
      <c r="V51" s="436"/>
      <c r="W51" s="436"/>
      <c r="X51" s="436"/>
      <c r="Y51" s="434"/>
      <c r="Z51" s="436"/>
      <c r="AA51" s="436"/>
      <c r="AB51" s="436"/>
      <c r="AC51" s="436"/>
      <c r="AD51" s="434"/>
      <c r="AE51" s="436"/>
      <c r="AF51" s="436"/>
      <c r="AG51" s="436"/>
      <c r="AH51" s="436"/>
      <c r="AI51" s="437">
        <f t="shared" si="8"/>
        <v>2366</v>
      </c>
      <c r="AJ51" s="436">
        <v>2366</v>
      </c>
      <c r="AK51" s="438"/>
      <c r="AL51" s="438"/>
      <c r="AM51" s="436"/>
      <c r="AN51" s="474">
        <f t="shared" si="37"/>
        <v>2366</v>
      </c>
      <c r="AO51" s="150">
        <f t="shared" si="10"/>
        <v>2366</v>
      </c>
      <c r="AP51" s="150">
        <f t="shared" si="11"/>
        <v>2366</v>
      </c>
      <c r="AQ51" s="150">
        <f t="shared" si="12"/>
        <v>0</v>
      </c>
      <c r="AR51" s="150">
        <f t="shared" si="13"/>
        <v>0</v>
      </c>
      <c r="AS51" s="150">
        <f t="shared" si="14"/>
        <v>0</v>
      </c>
      <c r="AT51" s="239"/>
      <c r="AU51" s="239"/>
      <c r="AV51" s="239"/>
      <c r="AW51" s="239"/>
      <c r="AX51" s="239"/>
      <c r="AY51" s="238"/>
      <c r="AZ51" s="238"/>
      <c r="BA51" s="238"/>
      <c r="BB51" s="238"/>
      <c r="BC51" s="238"/>
    </row>
    <row r="52" spans="1:56" ht="103.35" customHeight="1" outlineLevel="1" x14ac:dyDescent="0.35">
      <c r="A52" s="532">
        <v>33</v>
      </c>
      <c r="B52" s="533" t="s">
        <v>142</v>
      </c>
      <c r="C52" s="537" t="s">
        <v>102</v>
      </c>
      <c r="D52" s="26" t="s">
        <v>140</v>
      </c>
      <c r="E52" s="434">
        <f t="shared" si="32"/>
        <v>170</v>
      </c>
      <c r="F52" s="436">
        <v>170</v>
      </c>
      <c r="G52" s="436">
        <v>0</v>
      </c>
      <c r="H52" s="436">
        <v>0</v>
      </c>
      <c r="I52" s="436">
        <v>0</v>
      </c>
      <c r="J52" s="434">
        <f t="shared" si="39"/>
        <v>0</v>
      </c>
      <c r="K52" s="436">
        <v>0</v>
      </c>
      <c r="L52" s="436">
        <v>0</v>
      </c>
      <c r="M52" s="436">
        <v>0</v>
      </c>
      <c r="N52" s="436">
        <v>0</v>
      </c>
      <c r="O52" s="434">
        <f t="shared" si="40"/>
        <v>0</v>
      </c>
      <c r="P52" s="436">
        <v>0</v>
      </c>
      <c r="Q52" s="436">
        <v>0</v>
      </c>
      <c r="R52" s="436">
        <v>0</v>
      </c>
      <c r="S52" s="436">
        <v>0</v>
      </c>
      <c r="T52" s="434">
        <f t="shared" si="38"/>
        <v>352</v>
      </c>
      <c r="U52" s="436">
        <f>372-10-10</f>
        <v>352</v>
      </c>
      <c r="V52" s="436">
        <v>0</v>
      </c>
      <c r="W52" s="436">
        <v>0</v>
      </c>
      <c r="X52" s="436">
        <v>0</v>
      </c>
      <c r="Y52" s="434">
        <f t="shared" si="36"/>
        <v>0</v>
      </c>
      <c r="Z52" s="436">
        <v>0</v>
      </c>
      <c r="AA52" s="436">
        <v>0</v>
      </c>
      <c r="AB52" s="436">
        <v>0</v>
      </c>
      <c r="AC52" s="436">
        <v>0</v>
      </c>
      <c r="AD52" s="434">
        <f t="shared" si="7"/>
        <v>230</v>
      </c>
      <c r="AE52" s="436">
        <v>230</v>
      </c>
      <c r="AF52" s="436">
        <v>0</v>
      </c>
      <c r="AG52" s="436">
        <v>0</v>
      </c>
      <c r="AH52" s="436">
        <v>0</v>
      </c>
      <c r="AI52" s="437">
        <f t="shared" si="8"/>
        <v>0</v>
      </c>
      <c r="AJ52" s="436">
        <v>0</v>
      </c>
      <c r="AK52" s="438">
        <v>0</v>
      </c>
      <c r="AL52" s="438">
        <v>0</v>
      </c>
      <c r="AM52" s="436">
        <v>0</v>
      </c>
      <c r="AN52" s="474">
        <f t="shared" si="37"/>
        <v>752</v>
      </c>
      <c r="AO52" s="150">
        <f t="shared" si="10"/>
        <v>752</v>
      </c>
      <c r="AP52" s="150">
        <f t="shared" si="11"/>
        <v>752</v>
      </c>
      <c r="AQ52" s="150">
        <f t="shared" si="12"/>
        <v>0</v>
      </c>
      <c r="AR52" s="150">
        <f t="shared" si="13"/>
        <v>0</v>
      </c>
      <c r="AS52" s="150">
        <f t="shared" si="14"/>
        <v>0</v>
      </c>
      <c r="AT52" s="239"/>
      <c r="AU52" s="239"/>
      <c r="AV52" s="239"/>
      <c r="AW52" s="239"/>
      <c r="AX52" s="239"/>
      <c r="AY52" s="238">
        <f t="shared" si="29"/>
        <v>0</v>
      </c>
      <c r="AZ52" s="238">
        <f t="shared" si="30"/>
        <v>0</v>
      </c>
      <c r="BA52" s="238">
        <f t="shared" si="26"/>
        <v>0</v>
      </c>
      <c r="BB52" s="238">
        <f t="shared" si="27"/>
        <v>0</v>
      </c>
      <c r="BC52" s="238">
        <f t="shared" si="28"/>
        <v>0</v>
      </c>
    </row>
    <row r="53" spans="1:56" s="1" customFormat="1" ht="98.4" customHeight="1" outlineLevel="1" x14ac:dyDescent="0.35">
      <c r="A53" s="532">
        <v>34</v>
      </c>
      <c r="B53" s="533" t="s">
        <v>50</v>
      </c>
      <c r="C53" s="537" t="s">
        <v>102</v>
      </c>
      <c r="D53" s="25">
        <v>2015</v>
      </c>
      <c r="E53" s="434">
        <f t="shared" si="32"/>
        <v>0</v>
      </c>
      <c r="F53" s="436">
        <f>3162-3162</f>
        <v>0</v>
      </c>
      <c r="G53" s="436">
        <v>0</v>
      </c>
      <c r="H53" s="436">
        <v>0</v>
      </c>
      <c r="I53" s="436">
        <v>0</v>
      </c>
      <c r="J53" s="434">
        <f t="shared" si="39"/>
        <v>2018</v>
      </c>
      <c r="K53" s="436">
        <f>3277-344-343-31-541</f>
        <v>2018</v>
      </c>
      <c r="L53" s="436">
        <v>0</v>
      </c>
      <c r="M53" s="436">
        <v>0</v>
      </c>
      <c r="N53" s="436">
        <v>0</v>
      </c>
      <c r="O53" s="434">
        <f t="shared" si="40"/>
        <v>0</v>
      </c>
      <c r="P53" s="436">
        <v>0</v>
      </c>
      <c r="Q53" s="436">
        <v>0</v>
      </c>
      <c r="R53" s="436">
        <v>0</v>
      </c>
      <c r="S53" s="436">
        <v>0</v>
      </c>
      <c r="T53" s="434">
        <f t="shared" si="38"/>
        <v>0</v>
      </c>
      <c r="U53" s="436">
        <v>0</v>
      </c>
      <c r="V53" s="436">
        <v>0</v>
      </c>
      <c r="W53" s="436">
        <v>0</v>
      </c>
      <c r="X53" s="436">
        <v>0</v>
      </c>
      <c r="Y53" s="434">
        <f t="shared" si="36"/>
        <v>0</v>
      </c>
      <c r="Z53" s="436">
        <v>0</v>
      </c>
      <c r="AA53" s="436">
        <v>0</v>
      </c>
      <c r="AB53" s="436">
        <v>0</v>
      </c>
      <c r="AC53" s="436">
        <v>0</v>
      </c>
      <c r="AD53" s="434">
        <f t="shared" si="7"/>
        <v>0</v>
      </c>
      <c r="AE53" s="436">
        <v>0</v>
      </c>
      <c r="AF53" s="436">
        <v>0</v>
      </c>
      <c r="AG53" s="436">
        <v>0</v>
      </c>
      <c r="AH53" s="436">
        <v>0</v>
      </c>
      <c r="AI53" s="437">
        <f t="shared" si="8"/>
        <v>0</v>
      </c>
      <c r="AJ53" s="436">
        <v>0</v>
      </c>
      <c r="AK53" s="438">
        <v>0</v>
      </c>
      <c r="AL53" s="438">
        <v>0</v>
      </c>
      <c r="AM53" s="436">
        <v>0</v>
      </c>
      <c r="AN53" s="474">
        <f t="shared" si="37"/>
        <v>2018</v>
      </c>
      <c r="AO53" s="150">
        <f t="shared" si="10"/>
        <v>2018</v>
      </c>
      <c r="AP53" s="150">
        <f t="shared" si="11"/>
        <v>2018</v>
      </c>
      <c r="AQ53" s="150">
        <f t="shared" si="12"/>
        <v>0</v>
      </c>
      <c r="AR53" s="150">
        <f t="shared" si="13"/>
        <v>0</v>
      </c>
      <c r="AS53" s="150">
        <f t="shared" si="14"/>
        <v>0</v>
      </c>
      <c r="AT53" s="239"/>
      <c r="AU53" s="239"/>
      <c r="AV53" s="239"/>
      <c r="AW53" s="239"/>
      <c r="AX53" s="239"/>
      <c r="AY53" s="238">
        <f t="shared" si="29"/>
        <v>0</v>
      </c>
      <c r="AZ53" s="238">
        <f t="shared" si="30"/>
        <v>0</v>
      </c>
      <c r="BA53" s="238">
        <f t="shared" si="26"/>
        <v>0</v>
      </c>
      <c r="BB53" s="238">
        <f t="shared" si="27"/>
        <v>0</v>
      </c>
      <c r="BC53" s="238">
        <f t="shared" si="28"/>
        <v>0</v>
      </c>
      <c r="BD53" s="217"/>
    </row>
    <row r="54" spans="1:56" ht="96" customHeight="1" outlineLevel="1" x14ac:dyDescent="0.35">
      <c r="A54" s="532">
        <v>35</v>
      </c>
      <c r="B54" s="533" t="s">
        <v>54</v>
      </c>
      <c r="C54" s="537" t="s">
        <v>101</v>
      </c>
      <c r="D54" s="25">
        <v>2020</v>
      </c>
      <c r="E54" s="434">
        <f t="shared" si="32"/>
        <v>0</v>
      </c>
      <c r="F54" s="436">
        <v>0</v>
      </c>
      <c r="G54" s="436">
        <v>0</v>
      </c>
      <c r="H54" s="436">
        <v>0</v>
      </c>
      <c r="I54" s="436">
        <v>0</v>
      </c>
      <c r="J54" s="434">
        <f t="shared" si="39"/>
        <v>0</v>
      </c>
      <c r="K54" s="436">
        <v>0</v>
      </c>
      <c r="L54" s="436">
        <v>0</v>
      </c>
      <c r="M54" s="436">
        <v>0</v>
      </c>
      <c r="N54" s="436">
        <v>0</v>
      </c>
      <c r="O54" s="434">
        <f t="shared" si="40"/>
        <v>0</v>
      </c>
      <c r="P54" s="436">
        <v>0</v>
      </c>
      <c r="Q54" s="436">
        <v>0</v>
      </c>
      <c r="R54" s="436">
        <v>0</v>
      </c>
      <c r="S54" s="436">
        <v>0</v>
      </c>
      <c r="T54" s="434">
        <f t="shared" si="38"/>
        <v>0</v>
      </c>
      <c r="U54" s="436">
        <v>0</v>
      </c>
      <c r="V54" s="436">
        <v>0</v>
      </c>
      <c r="W54" s="436">
        <v>0</v>
      </c>
      <c r="X54" s="436">
        <v>0</v>
      </c>
      <c r="Y54" s="434">
        <f t="shared" si="36"/>
        <v>0</v>
      </c>
      <c r="Z54" s="436">
        <v>0</v>
      </c>
      <c r="AA54" s="436">
        <v>0</v>
      </c>
      <c r="AB54" s="436">
        <v>0</v>
      </c>
      <c r="AC54" s="436">
        <v>0</v>
      </c>
      <c r="AD54" s="434">
        <f t="shared" si="7"/>
        <v>0</v>
      </c>
      <c r="AE54" s="436">
        <v>0</v>
      </c>
      <c r="AF54" s="436">
        <v>0</v>
      </c>
      <c r="AG54" s="436">
        <v>0</v>
      </c>
      <c r="AH54" s="436">
        <v>0</v>
      </c>
      <c r="AI54" s="437">
        <f t="shared" si="8"/>
        <v>0</v>
      </c>
      <c r="AJ54" s="436">
        <v>0</v>
      </c>
      <c r="AK54" s="438">
        <v>0</v>
      </c>
      <c r="AL54" s="438">
        <v>0</v>
      </c>
      <c r="AM54" s="436">
        <v>0</v>
      </c>
      <c r="AN54" s="474">
        <f t="shared" si="37"/>
        <v>0</v>
      </c>
      <c r="AO54" s="150">
        <f t="shared" si="10"/>
        <v>0</v>
      </c>
      <c r="AP54" s="150">
        <f t="shared" si="11"/>
        <v>0</v>
      </c>
      <c r="AQ54" s="150">
        <f t="shared" si="12"/>
        <v>0</v>
      </c>
      <c r="AR54" s="150">
        <f t="shared" si="13"/>
        <v>0</v>
      </c>
      <c r="AS54" s="150">
        <f t="shared" si="14"/>
        <v>0</v>
      </c>
      <c r="AT54" s="239"/>
      <c r="AU54" s="239"/>
      <c r="AV54" s="239"/>
      <c r="AW54" s="239"/>
      <c r="AX54" s="239"/>
      <c r="AY54" s="238">
        <f t="shared" si="29"/>
        <v>0</v>
      </c>
      <c r="AZ54" s="238">
        <f t="shared" si="30"/>
        <v>0</v>
      </c>
      <c r="BA54" s="238">
        <f t="shared" si="26"/>
        <v>0</v>
      </c>
      <c r="BB54" s="238">
        <f t="shared" si="27"/>
        <v>0</v>
      </c>
      <c r="BC54" s="238">
        <f t="shared" si="28"/>
        <v>0</v>
      </c>
    </row>
    <row r="55" spans="1:56" ht="93.6" customHeight="1" outlineLevel="1" x14ac:dyDescent="0.35">
      <c r="A55" s="532">
        <v>36</v>
      </c>
      <c r="B55" s="533" t="s">
        <v>19</v>
      </c>
      <c r="C55" s="537" t="s">
        <v>102</v>
      </c>
      <c r="D55" s="25">
        <v>2020</v>
      </c>
      <c r="E55" s="434">
        <f t="shared" si="32"/>
        <v>0</v>
      </c>
      <c r="F55" s="436">
        <v>0</v>
      </c>
      <c r="G55" s="436">
        <v>0</v>
      </c>
      <c r="H55" s="436">
        <v>0</v>
      </c>
      <c r="I55" s="436">
        <v>0</v>
      </c>
      <c r="J55" s="434">
        <f t="shared" si="39"/>
        <v>0</v>
      </c>
      <c r="K55" s="436">
        <v>0</v>
      </c>
      <c r="L55" s="436">
        <v>0</v>
      </c>
      <c r="M55" s="436">
        <v>0</v>
      </c>
      <c r="N55" s="436">
        <v>0</v>
      </c>
      <c r="O55" s="434">
        <f t="shared" si="40"/>
        <v>0</v>
      </c>
      <c r="P55" s="436">
        <v>0</v>
      </c>
      <c r="Q55" s="436">
        <v>0</v>
      </c>
      <c r="R55" s="436">
        <v>0</v>
      </c>
      <c r="S55" s="436">
        <v>0</v>
      </c>
      <c r="T55" s="434">
        <f t="shared" si="38"/>
        <v>0</v>
      </c>
      <c r="U55" s="436">
        <v>0</v>
      </c>
      <c r="V55" s="436">
        <v>0</v>
      </c>
      <c r="W55" s="436">
        <v>0</v>
      </c>
      <c r="X55" s="436">
        <v>0</v>
      </c>
      <c r="Y55" s="434">
        <f t="shared" si="36"/>
        <v>0</v>
      </c>
      <c r="Z55" s="436">
        <v>0</v>
      </c>
      <c r="AA55" s="436">
        <v>0</v>
      </c>
      <c r="AB55" s="436">
        <v>0</v>
      </c>
      <c r="AC55" s="436">
        <v>0</v>
      </c>
      <c r="AD55" s="434">
        <f t="shared" si="7"/>
        <v>0</v>
      </c>
      <c r="AE55" s="436">
        <v>0</v>
      </c>
      <c r="AF55" s="436">
        <v>0</v>
      </c>
      <c r="AG55" s="436">
        <v>0</v>
      </c>
      <c r="AH55" s="436">
        <v>0</v>
      </c>
      <c r="AI55" s="437">
        <f t="shared" si="8"/>
        <v>0</v>
      </c>
      <c r="AJ55" s="436">
        <v>0</v>
      </c>
      <c r="AK55" s="438">
        <v>0</v>
      </c>
      <c r="AL55" s="438">
        <v>0</v>
      </c>
      <c r="AM55" s="436">
        <v>0</v>
      </c>
      <c r="AN55" s="474">
        <f t="shared" si="37"/>
        <v>0</v>
      </c>
      <c r="AO55" s="150">
        <f t="shared" si="10"/>
        <v>0</v>
      </c>
      <c r="AP55" s="150">
        <f t="shared" si="11"/>
        <v>0</v>
      </c>
      <c r="AQ55" s="150">
        <f t="shared" si="12"/>
        <v>0</v>
      </c>
      <c r="AR55" s="150">
        <f t="shared" si="13"/>
        <v>0</v>
      </c>
      <c r="AS55" s="150">
        <f t="shared" si="14"/>
        <v>0</v>
      </c>
      <c r="AT55" s="239"/>
      <c r="AU55" s="239"/>
      <c r="AV55" s="239"/>
      <c r="AW55" s="239"/>
      <c r="AX55" s="239"/>
      <c r="AY55" s="238">
        <f t="shared" si="29"/>
        <v>0</v>
      </c>
      <c r="AZ55" s="238">
        <f t="shared" si="30"/>
        <v>0</v>
      </c>
      <c r="BA55" s="238">
        <f t="shared" si="26"/>
        <v>0</v>
      </c>
      <c r="BB55" s="238">
        <f t="shared" si="27"/>
        <v>0</v>
      </c>
      <c r="BC55" s="238">
        <f t="shared" si="28"/>
        <v>0</v>
      </c>
    </row>
    <row r="56" spans="1:56" ht="117.6" customHeight="1" outlineLevel="1" x14ac:dyDescent="0.35">
      <c r="A56" s="532">
        <v>37</v>
      </c>
      <c r="B56" s="533" t="s">
        <v>45</v>
      </c>
      <c r="C56" s="537" t="s">
        <v>113</v>
      </c>
      <c r="D56" s="27" t="s">
        <v>36</v>
      </c>
      <c r="E56" s="434">
        <f t="shared" si="32"/>
        <v>1597</v>
      </c>
      <c r="F56" s="436">
        <f>3500+117-2020</f>
        <v>1597</v>
      </c>
      <c r="G56" s="436">
        <v>0</v>
      </c>
      <c r="H56" s="436">
        <v>0</v>
      </c>
      <c r="I56" s="436">
        <v>0</v>
      </c>
      <c r="J56" s="434">
        <f t="shared" si="39"/>
        <v>5766.6</v>
      </c>
      <c r="K56" s="436">
        <f>1180+4138-320+520+40-124+332.6</f>
        <v>5766.6</v>
      </c>
      <c r="L56" s="436">
        <v>0</v>
      </c>
      <c r="M56" s="436">
        <v>0</v>
      </c>
      <c r="N56" s="436">
        <v>0</v>
      </c>
      <c r="O56" s="434">
        <f t="shared" si="40"/>
        <v>0</v>
      </c>
      <c r="P56" s="436">
        <v>0</v>
      </c>
      <c r="Q56" s="436">
        <v>0</v>
      </c>
      <c r="R56" s="436">
        <v>0</v>
      </c>
      <c r="S56" s="436">
        <v>0</v>
      </c>
      <c r="T56" s="434">
        <f t="shared" si="38"/>
        <v>2661.4</v>
      </c>
      <c r="U56" s="436">
        <f>2940.4-131-148</f>
        <v>2661.4</v>
      </c>
      <c r="V56" s="436">
        <v>0</v>
      </c>
      <c r="W56" s="436">
        <v>0</v>
      </c>
      <c r="X56" s="436">
        <v>0</v>
      </c>
      <c r="Y56" s="434">
        <f t="shared" si="36"/>
        <v>4183</v>
      </c>
      <c r="Z56" s="436">
        <v>4183</v>
      </c>
      <c r="AA56" s="436">
        <v>0</v>
      </c>
      <c r="AB56" s="436">
        <v>0</v>
      </c>
      <c r="AC56" s="436">
        <v>0</v>
      </c>
      <c r="AD56" s="434">
        <f t="shared" si="7"/>
        <v>1351</v>
      </c>
      <c r="AE56" s="436">
        <v>1351</v>
      </c>
      <c r="AF56" s="436">
        <v>0</v>
      </c>
      <c r="AG56" s="436">
        <v>0</v>
      </c>
      <c r="AH56" s="436">
        <v>0</v>
      </c>
      <c r="AI56" s="434">
        <f t="shared" si="8"/>
        <v>1730.2</v>
      </c>
      <c r="AJ56" s="436">
        <v>1730.2</v>
      </c>
      <c r="AK56" s="436">
        <v>0</v>
      </c>
      <c r="AL56" s="436">
        <v>0</v>
      </c>
      <c r="AM56" s="436">
        <v>0</v>
      </c>
      <c r="AN56" s="474">
        <f t="shared" si="37"/>
        <v>17289.2</v>
      </c>
      <c r="AO56" s="150">
        <f t="shared" si="10"/>
        <v>17289.2</v>
      </c>
      <c r="AP56" s="150">
        <f t="shared" si="11"/>
        <v>17289.2</v>
      </c>
      <c r="AQ56" s="150">
        <f t="shared" si="12"/>
        <v>0</v>
      </c>
      <c r="AR56" s="150">
        <f t="shared" si="13"/>
        <v>0</v>
      </c>
      <c r="AS56" s="150">
        <f t="shared" si="14"/>
        <v>0</v>
      </c>
      <c r="AT56" s="239">
        <v>1283</v>
      </c>
      <c r="AU56" s="239">
        <v>1283</v>
      </c>
      <c r="AV56" s="239"/>
      <c r="AW56" s="239"/>
      <c r="AX56" s="239"/>
      <c r="AY56" s="238">
        <f t="shared" si="29"/>
        <v>447.20000000000005</v>
      </c>
      <c r="AZ56" s="238">
        <f t="shared" si="30"/>
        <v>447.20000000000005</v>
      </c>
      <c r="BA56" s="238">
        <f t="shared" si="26"/>
        <v>0</v>
      </c>
      <c r="BB56" s="238">
        <f t="shared" si="27"/>
        <v>0</v>
      </c>
      <c r="BC56" s="238">
        <f t="shared" si="28"/>
        <v>0</v>
      </c>
    </row>
    <row r="57" spans="1:56" ht="123.6" customHeight="1" outlineLevel="1" x14ac:dyDescent="0.35">
      <c r="A57" s="532">
        <v>38</v>
      </c>
      <c r="B57" s="534" t="s">
        <v>46</v>
      </c>
      <c r="C57" s="537" t="s">
        <v>114</v>
      </c>
      <c r="D57" s="535">
        <v>2018</v>
      </c>
      <c r="E57" s="434">
        <f t="shared" si="32"/>
        <v>0</v>
      </c>
      <c r="F57" s="436">
        <v>0</v>
      </c>
      <c r="G57" s="436">
        <v>0</v>
      </c>
      <c r="H57" s="436">
        <v>0</v>
      </c>
      <c r="I57" s="436">
        <v>0</v>
      </c>
      <c r="J57" s="434">
        <f t="shared" si="39"/>
        <v>0</v>
      </c>
      <c r="K57" s="436">
        <v>0</v>
      </c>
      <c r="L57" s="436">
        <v>0</v>
      </c>
      <c r="M57" s="436">
        <v>0</v>
      </c>
      <c r="N57" s="436">
        <v>0</v>
      </c>
      <c r="O57" s="434">
        <f t="shared" si="40"/>
        <v>0</v>
      </c>
      <c r="P57" s="436">
        <v>0</v>
      </c>
      <c r="Q57" s="436">
        <v>0</v>
      </c>
      <c r="R57" s="436">
        <v>0</v>
      </c>
      <c r="S57" s="436">
        <v>0</v>
      </c>
      <c r="T57" s="434">
        <f t="shared" si="38"/>
        <v>0</v>
      </c>
      <c r="U57" s="436">
        <v>0</v>
      </c>
      <c r="V57" s="436">
        <v>0</v>
      </c>
      <c r="W57" s="436">
        <v>0</v>
      </c>
      <c r="X57" s="436">
        <v>0</v>
      </c>
      <c r="Y57" s="434">
        <f t="shared" si="36"/>
        <v>1786</v>
      </c>
      <c r="Z57" s="436">
        <v>1786</v>
      </c>
      <c r="AA57" s="436">
        <v>0</v>
      </c>
      <c r="AB57" s="436">
        <v>0</v>
      </c>
      <c r="AC57" s="436">
        <v>0</v>
      </c>
      <c r="AD57" s="434">
        <f t="shared" si="7"/>
        <v>0</v>
      </c>
      <c r="AE57" s="436">
        <v>0</v>
      </c>
      <c r="AF57" s="436">
        <v>0</v>
      </c>
      <c r="AG57" s="436">
        <v>0</v>
      </c>
      <c r="AH57" s="436">
        <v>0</v>
      </c>
      <c r="AI57" s="437">
        <f t="shared" si="8"/>
        <v>0</v>
      </c>
      <c r="AJ57" s="436">
        <v>0</v>
      </c>
      <c r="AK57" s="438">
        <v>0</v>
      </c>
      <c r="AL57" s="438">
        <v>0</v>
      </c>
      <c r="AM57" s="436">
        <v>0</v>
      </c>
      <c r="AN57" s="474">
        <f t="shared" si="37"/>
        <v>1786</v>
      </c>
      <c r="AO57" s="150">
        <f t="shared" si="10"/>
        <v>1786</v>
      </c>
      <c r="AP57" s="150">
        <f t="shared" si="11"/>
        <v>1786</v>
      </c>
      <c r="AQ57" s="150">
        <f t="shared" si="12"/>
        <v>0</v>
      </c>
      <c r="AR57" s="150">
        <f t="shared" si="13"/>
        <v>0</v>
      </c>
      <c r="AS57" s="150">
        <f t="shared" si="14"/>
        <v>0</v>
      </c>
      <c r="AT57" s="239"/>
      <c r="AU57" s="239"/>
      <c r="AV57" s="239"/>
      <c r="AW57" s="239"/>
      <c r="AX57" s="239"/>
      <c r="AY57" s="238">
        <f t="shared" si="29"/>
        <v>0</v>
      </c>
      <c r="AZ57" s="238">
        <f t="shared" si="30"/>
        <v>0</v>
      </c>
      <c r="BA57" s="238">
        <f t="shared" si="26"/>
        <v>0</v>
      </c>
      <c r="BB57" s="238">
        <f t="shared" si="27"/>
        <v>0</v>
      </c>
      <c r="BC57" s="238">
        <f t="shared" si="28"/>
        <v>0</v>
      </c>
    </row>
    <row r="58" spans="1:56" s="241" customFormat="1" ht="111.6" customHeight="1" outlineLevel="1" x14ac:dyDescent="0.35">
      <c r="A58" s="532">
        <v>39</v>
      </c>
      <c r="B58" s="533" t="s">
        <v>1273</v>
      </c>
      <c r="C58" s="537" t="s">
        <v>115</v>
      </c>
      <c r="D58" s="25">
        <v>2014</v>
      </c>
      <c r="E58" s="434">
        <f t="shared" si="32"/>
        <v>250</v>
      </c>
      <c r="F58" s="436">
        <v>250</v>
      </c>
      <c r="G58" s="436">
        <v>0</v>
      </c>
      <c r="H58" s="436">
        <v>0</v>
      </c>
      <c r="I58" s="436">
        <v>0</v>
      </c>
      <c r="J58" s="434">
        <f t="shared" si="39"/>
        <v>0</v>
      </c>
      <c r="K58" s="436">
        <v>0</v>
      </c>
      <c r="L58" s="436">
        <v>0</v>
      </c>
      <c r="M58" s="436">
        <v>0</v>
      </c>
      <c r="N58" s="436">
        <v>0</v>
      </c>
      <c r="O58" s="434">
        <f t="shared" si="40"/>
        <v>0</v>
      </c>
      <c r="P58" s="436">
        <v>0</v>
      </c>
      <c r="Q58" s="436">
        <v>0</v>
      </c>
      <c r="R58" s="436">
        <v>0</v>
      </c>
      <c r="S58" s="436">
        <v>0</v>
      </c>
      <c r="T58" s="434">
        <f t="shared" si="38"/>
        <v>0</v>
      </c>
      <c r="U58" s="436">
        <v>0</v>
      </c>
      <c r="V58" s="436">
        <v>0</v>
      </c>
      <c r="W58" s="436">
        <v>0</v>
      </c>
      <c r="X58" s="436">
        <v>0</v>
      </c>
      <c r="Y58" s="434">
        <f t="shared" si="36"/>
        <v>0</v>
      </c>
      <c r="Z58" s="436">
        <v>0</v>
      </c>
      <c r="AA58" s="436">
        <v>0</v>
      </c>
      <c r="AB58" s="436">
        <v>0</v>
      </c>
      <c r="AC58" s="436">
        <v>0</v>
      </c>
      <c r="AD58" s="434">
        <f t="shared" si="7"/>
        <v>0</v>
      </c>
      <c r="AE58" s="436">
        <v>0</v>
      </c>
      <c r="AF58" s="436">
        <v>0</v>
      </c>
      <c r="AG58" s="436">
        <v>0</v>
      </c>
      <c r="AH58" s="436">
        <v>0</v>
      </c>
      <c r="AI58" s="437">
        <f t="shared" si="8"/>
        <v>0</v>
      </c>
      <c r="AJ58" s="436">
        <v>0</v>
      </c>
      <c r="AK58" s="438">
        <v>0</v>
      </c>
      <c r="AL58" s="438">
        <v>0</v>
      </c>
      <c r="AM58" s="436">
        <v>0</v>
      </c>
      <c r="AN58" s="474">
        <f t="shared" si="37"/>
        <v>250</v>
      </c>
      <c r="AO58" s="150">
        <f t="shared" si="10"/>
        <v>250</v>
      </c>
      <c r="AP58" s="150">
        <f t="shared" si="11"/>
        <v>250</v>
      </c>
      <c r="AQ58" s="150">
        <f t="shared" si="12"/>
        <v>0</v>
      </c>
      <c r="AR58" s="150">
        <f t="shared" si="13"/>
        <v>0</v>
      </c>
      <c r="AS58" s="150">
        <f t="shared" si="14"/>
        <v>0</v>
      </c>
      <c r="AT58" s="239"/>
      <c r="AU58" s="239"/>
      <c r="AV58" s="239"/>
      <c r="AW58" s="239"/>
      <c r="AX58" s="239"/>
      <c r="AY58" s="238">
        <f t="shared" si="29"/>
        <v>0</v>
      </c>
      <c r="AZ58" s="238">
        <f t="shared" si="30"/>
        <v>0</v>
      </c>
      <c r="BA58" s="238">
        <f t="shared" si="26"/>
        <v>0</v>
      </c>
      <c r="BB58" s="238">
        <f t="shared" si="27"/>
        <v>0</v>
      </c>
      <c r="BC58" s="238">
        <f t="shared" si="28"/>
        <v>0</v>
      </c>
      <c r="BD58" s="240"/>
    </row>
    <row r="59" spans="1:56" s="241" customFormat="1" ht="119.1" customHeight="1" outlineLevel="1" x14ac:dyDescent="0.35">
      <c r="A59" s="532">
        <v>40</v>
      </c>
      <c r="B59" s="533" t="s">
        <v>48</v>
      </c>
      <c r="C59" s="537" t="s">
        <v>116</v>
      </c>
      <c r="D59" s="27" t="s">
        <v>36</v>
      </c>
      <c r="E59" s="434">
        <f t="shared" si="32"/>
        <v>13669</v>
      </c>
      <c r="F59" s="436">
        <f>6351+6964+354</f>
        <v>13669</v>
      </c>
      <c r="G59" s="436">
        <v>0</v>
      </c>
      <c r="H59" s="436">
        <v>0</v>
      </c>
      <c r="I59" s="436">
        <v>0</v>
      </c>
      <c r="J59" s="434">
        <f t="shared" si="39"/>
        <v>5002</v>
      </c>
      <c r="K59" s="436">
        <v>5002</v>
      </c>
      <c r="L59" s="436">
        <v>0</v>
      </c>
      <c r="M59" s="436">
        <v>0</v>
      </c>
      <c r="N59" s="436">
        <v>0</v>
      </c>
      <c r="O59" s="434">
        <f t="shared" si="40"/>
        <v>4076</v>
      </c>
      <c r="P59" s="436">
        <v>4076</v>
      </c>
      <c r="Q59" s="436">
        <v>0</v>
      </c>
      <c r="R59" s="436">
        <v>0</v>
      </c>
      <c r="S59" s="436">
        <v>0</v>
      </c>
      <c r="T59" s="434">
        <f t="shared" si="38"/>
        <v>4028</v>
      </c>
      <c r="U59" s="436">
        <f>3880+148</f>
        <v>4028</v>
      </c>
      <c r="V59" s="436">
        <v>0</v>
      </c>
      <c r="W59" s="436">
        <v>0</v>
      </c>
      <c r="X59" s="436">
        <v>0</v>
      </c>
      <c r="Y59" s="434">
        <f t="shared" si="36"/>
        <v>5356</v>
      </c>
      <c r="Z59" s="436">
        <v>5356</v>
      </c>
      <c r="AA59" s="436">
        <v>0</v>
      </c>
      <c r="AB59" s="436">
        <v>0</v>
      </c>
      <c r="AC59" s="436">
        <v>0</v>
      </c>
      <c r="AD59" s="434">
        <f t="shared" si="7"/>
        <v>4042</v>
      </c>
      <c r="AE59" s="436">
        <v>4042</v>
      </c>
      <c r="AF59" s="436">
        <v>0</v>
      </c>
      <c r="AG59" s="436">
        <v>0</v>
      </c>
      <c r="AH59" s="436">
        <v>0</v>
      </c>
      <c r="AI59" s="434">
        <f t="shared" si="8"/>
        <v>494.8</v>
      </c>
      <c r="AJ59" s="436">
        <v>494.8</v>
      </c>
      <c r="AK59" s="436">
        <v>0</v>
      </c>
      <c r="AL59" s="436">
        <v>0</v>
      </c>
      <c r="AM59" s="436">
        <v>0</v>
      </c>
      <c r="AN59" s="474">
        <f t="shared" si="37"/>
        <v>36667.800000000003</v>
      </c>
      <c r="AO59" s="150">
        <f t="shared" si="10"/>
        <v>36667.800000000003</v>
      </c>
      <c r="AP59" s="150">
        <f t="shared" si="11"/>
        <v>36667.800000000003</v>
      </c>
      <c r="AQ59" s="150">
        <f t="shared" si="12"/>
        <v>0</v>
      </c>
      <c r="AR59" s="150">
        <f t="shared" si="13"/>
        <v>0</v>
      </c>
      <c r="AS59" s="150">
        <f t="shared" si="14"/>
        <v>0</v>
      </c>
      <c r="AT59" s="239">
        <v>0</v>
      </c>
      <c r="AU59" s="239">
        <v>0</v>
      </c>
      <c r="AV59" s="239"/>
      <c r="AW59" s="239"/>
      <c r="AX59" s="239"/>
      <c r="AY59" s="238">
        <f t="shared" si="29"/>
        <v>494.8</v>
      </c>
      <c r="AZ59" s="238">
        <f t="shared" si="30"/>
        <v>494.8</v>
      </c>
      <c r="BA59" s="238">
        <f t="shared" si="26"/>
        <v>0</v>
      </c>
      <c r="BB59" s="238">
        <f t="shared" si="27"/>
        <v>0</v>
      </c>
      <c r="BC59" s="238">
        <f t="shared" si="28"/>
        <v>0</v>
      </c>
      <c r="BD59" s="240"/>
    </row>
    <row r="60" spans="1:56" s="241" customFormat="1" ht="42" customHeight="1" outlineLevel="1" x14ac:dyDescent="0.35">
      <c r="A60" s="582">
        <v>41</v>
      </c>
      <c r="B60" s="543" t="s">
        <v>59</v>
      </c>
      <c r="C60" s="580" t="s">
        <v>116</v>
      </c>
      <c r="D60" s="27" t="s">
        <v>37</v>
      </c>
      <c r="E60" s="434">
        <f t="shared" si="32"/>
        <v>0</v>
      </c>
      <c r="F60" s="436">
        <v>0</v>
      </c>
      <c r="G60" s="436">
        <v>0</v>
      </c>
      <c r="H60" s="436">
        <v>0</v>
      </c>
      <c r="I60" s="436">
        <v>0</v>
      </c>
      <c r="J60" s="434">
        <f t="shared" si="39"/>
        <v>2277</v>
      </c>
      <c r="K60" s="436">
        <v>2277</v>
      </c>
      <c r="L60" s="436">
        <v>0</v>
      </c>
      <c r="M60" s="436">
        <v>0</v>
      </c>
      <c r="N60" s="436">
        <v>0</v>
      </c>
      <c r="O60" s="434">
        <f t="shared" si="40"/>
        <v>5681</v>
      </c>
      <c r="P60" s="436">
        <f>3431+4534-2277-4-3</f>
        <v>5681</v>
      </c>
      <c r="Q60" s="436">
        <v>0</v>
      </c>
      <c r="R60" s="436">
        <v>0</v>
      </c>
      <c r="S60" s="436">
        <v>0</v>
      </c>
      <c r="T60" s="434">
        <f t="shared" si="38"/>
        <v>5709.3</v>
      </c>
      <c r="U60" s="436">
        <v>5709.3</v>
      </c>
      <c r="V60" s="436">
        <v>0</v>
      </c>
      <c r="W60" s="436">
        <v>0</v>
      </c>
      <c r="X60" s="436">
        <v>0</v>
      </c>
      <c r="Y60" s="443">
        <f t="shared" si="36"/>
        <v>12634.7</v>
      </c>
      <c r="Z60" s="436">
        <f>12634+0.7</f>
        <v>12634.7</v>
      </c>
      <c r="AA60" s="436">
        <v>0</v>
      </c>
      <c r="AB60" s="436">
        <v>0</v>
      </c>
      <c r="AC60" s="436">
        <v>0</v>
      </c>
      <c r="AD60" s="434">
        <f t="shared" si="7"/>
        <v>10536</v>
      </c>
      <c r="AE60" s="436">
        <v>10536</v>
      </c>
      <c r="AF60" s="436">
        <v>0</v>
      </c>
      <c r="AG60" s="436">
        <v>0</v>
      </c>
      <c r="AH60" s="436">
        <v>0</v>
      </c>
      <c r="AI60" s="438">
        <f t="shared" si="8"/>
        <v>0</v>
      </c>
      <c r="AJ60" s="436">
        <v>0</v>
      </c>
      <c r="AK60" s="438">
        <v>0</v>
      </c>
      <c r="AL60" s="438">
        <v>0</v>
      </c>
      <c r="AM60" s="436">
        <v>0</v>
      </c>
      <c r="AN60" s="474">
        <f t="shared" si="37"/>
        <v>36838</v>
      </c>
      <c r="AO60" s="150">
        <f t="shared" si="10"/>
        <v>36838</v>
      </c>
      <c r="AP60" s="150">
        <f t="shared" si="11"/>
        <v>36838</v>
      </c>
      <c r="AQ60" s="150">
        <f t="shared" si="12"/>
        <v>0</v>
      </c>
      <c r="AR60" s="150">
        <f t="shared" si="13"/>
        <v>0</v>
      </c>
      <c r="AS60" s="150">
        <f t="shared" si="14"/>
        <v>0</v>
      </c>
      <c r="AT60" s="239"/>
      <c r="AU60" s="239"/>
      <c r="AV60" s="239"/>
      <c r="AW60" s="239"/>
      <c r="AX60" s="239"/>
      <c r="AY60" s="238">
        <f t="shared" si="29"/>
        <v>0</v>
      </c>
      <c r="AZ60" s="238">
        <f t="shared" si="30"/>
        <v>0</v>
      </c>
      <c r="BA60" s="238">
        <f t="shared" si="26"/>
        <v>0</v>
      </c>
      <c r="BB60" s="238">
        <f t="shared" si="27"/>
        <v>0</v>
      </c>
      <c r="BC60" s="238">
        <f t="shared" si="28"/>
        <v>0</v>
      </c>
      <c r="BD60" s="240"/>
    </row>
    <row r="61" spans="1:56" s="246" customFormat="1" ht="87" customHeight="1" outlineLevel="1" x14ac:dyDescent="0.35">
      <c r="A61" s="582"/>
      <c r="B61" s="543"/>
      <c r="C61" s="580"/>
      <c r="D61" s="423" t="s">
        <v>1297</v>
      </c>
      <c r="E61" s="436">
        <f t="shared" si="32"/>
        <v>0</v>
      </c>
      <c r="F61" s="436">
        <v>0</v>
      </c>
      <c r="G61" s="436">
        <v>0</v>
      </c>
      <c r="H61" s="436">
        <v>0</v>
      </c>
      <c r="I61" s="436">
        <v>0</v>
      </c>
      <c r="J61" s="436">
        <f t="shared" si="39"/>
        <v>0</v>
      </c>
      <c r="K61" s="436">
        <v>0</v>
      </c>
      <c r="L61" s="436">
        <v>0</v>
      </c>
      <c r="M61" s="436">
        <v>0</v>
      </c>
      <c r="N61" s="436">
        <v>0</v>
      </c>
      <c r="O61" s="434">
        <f t="shared" si="40"/>
        <v>2277</v>
      </c>
      <c r="P61" s="436">
        <v>2277</v>
      </c>
      <c r="Q61" s="436">
        <v>0</v>
      </c>
      <c r="R61" s="436">
        <v>0</v>
      </c>
      <c r="S61" s="436">
        <v>0</v>
      </c>
      <c r="T61" s="436">
        <f t="shared" si="38"/>
        <v>0</v>
      </c>
      <c r="U61" s="436">
        <v>0</v>
      </c>
      <c r="V61" s="436">
        <v>0</v>
      </c>
      <c r="W61" s="436">
        <v>0</v>
      </c>
      <c r="X61" s="436">
        <v>0</v>
      </c>
      <c r="Y61" s="436">
        <f t="shared" si="36"/>
        <v>0</v>
      </c>
      <c r="Z61" s="436">
        <v>0</v>
      </c>
      <c r="AA61" s="436">
        <v>0</v>
      </c>
      <c r="AB61" s="436">
        <v>0</v>
      </c>
      <c r="AC61" s="436">
        <v>0</v>
      </c>
      <c r="AD61" s="436">
        <f t="shared" si="7"/>
        <v>0</v>
      </c>
      <c r="AE61" s="436">
        <v>0</v>
      </c>
      <c r="AF61" s="436">
        <v>0</v>
      </c>
      <c r="AG61" s="436">
        <v>0</v>
      </c>
      <c r="AH61" s="436">
        <v>0</v>
      </c>
      <c r="AI61" s="437">
        <f t="shared" si="8"/>
        <v>0</v>
      </c>
      <c r="AJ61" s="436">
        <v>0</v>
      </c>
      <c r="AK61" s="438">
        <v>0</v>
      </c>
      <c r="AL61" s="438">
        <v>0</v>
      </c>
      <c r="AM61" s="436">
        <v>0</v>
      </c>
      <c r="AN61" s="474">
        <f t="shared" ref="AN61" si="41">SUM(E61,J61,O61,T61,Y61,AD61,AI61)</f>
        <v>2277</v>
      </c>
      <c r="AO61" s="150">
        <f t="shared" si="10"/>
        <v>2277</v>
      </c>
      <c r="AP61" s="150">
        <f t="shared" si="11"/>
        <v>2277</v>
      </c>
      <c r="AQ61" s="150">
        <f t="shared" si="12"/>
        <v>0</v>
      </c>
      <c r="AR61" s="150">
        <f t="shared" si="13"/>
        <v>0</v>
      </c>
      <c r="AS61" s="150">
        <f t="shared" si="14"/>
        <v>0</v>
      </c>
      <c r="AT61" s="239"/>
      <c r="AU61" s="239"/>
      <c r="AV61" s="239"/>
      <c r="AW61" s="239"/>
      <c r="AX61" s="239"/>
      <c r="AY61" s="238">
        <f t="shared" si="29"/>
        <v>0</v>
      </c>
      <c r="AZ61" s="238">
        <f t="shared" si="30"/>
        <v>0</v>
      </c>
      <c r="BA61" s="238">
        <f t="shared" si="26"/>
        <v>0</v>
      </c>
      <c r="BB61" s="238">
        <f t="shared" si="27"/>
        <v>0</v>
      </c>
      <c r="BC61" s="238">
        <f t="shared" si="28"/>
        <v>0</v>
      </c>
      <c r="BD61" s="245"/>
    </row>
    <row r="62" spans="1:56" s="241" customFormat="1" ht="102" customHeight="1" outlineLevel="1" x14ac:dyDescent="0.35">
      <c r="A62" s="532">
        <v>42</v>
      </c>
      <c r="B62" s="533" t="s">
        <v>8</v>
      </c>
      <c r="C62" s="537" t="s">
        <v>109</v>
      </c>
      <c r="D62" s="535">
        <v>2020</v>
      </c>
      <c r="E62" s="434">
        <f t="shared" si="32"/>
        <v>0</v>
      </c>
      <c r="F62" s="436">
        <v>0</v>
      </c>
      <c r="G62" s="436">
        <v>0</v>
      </c>
      <c r="H62" s="436">
        <v>0</v>
      </c>
      <c r="I62" s="436">
        <v>0</v>
      </c>
      <c r="J62" s="434">
        <f t="shared" si="39"/>
        <v>0</v>
      </c>
      <c r="K62" s="436">
        <v>0</v>
      </c>
      <c r="L62" s="436">
        <v>0</v>
      </c>
      <c r="M62" s="436">
        <v>0</v>
      </c>
      <c r="N62" s="436">
        <v>0</v>
      </c>
      <c r="O62" s="434">
        <f t="shared" si="40"/>
        <v>0</v>
      </c>
      <c r="P62" s="436">
        <v>0</v>
      </c>
      <c r="Q62" s="436">
        <v>0</v>
      </c>
      <c r="R62" s="436">
        <v>0</v>
      </c>
      <c r="S62" s="436">
        <v>0</v>
      </c>
      <c r="T62" s="434">
        <f t="shared" si="38"/>
        <v>0</v>
      </c>
      <c r="U62" s="436">
        <v>0</v>
      </c>
      <c r="V62" s="436">
        <v>0</v>
      </c>
      <c r="W62" s="436">
        <v>0</v>
      </c>
      <c r="X62" s="436">
        <v>0</v>
      </c>
      <c r="Y62" s="434">
        <f t="shared" si="36"/>
        <v>0</v>
      </c>
      <c r="Z62" s="436">
        <v>0</v>
      </c>
      <c r="AA62" s="436">
        <v>0</v>
      </c>
      <c r="AB62" s="436">
        <v>0</v>
      </c>
      <c r="AC62" s="436">
        <v>0</v>
      </c>
      <c r="AD62" s="434">
        <f t="shared" si="7"/>
        <v>0</v>
      </c>
      <c r="AE62" s="436">
        <v>0</v>
      </c>
      <c r="AF62" s="436">
        <v>0</v>
      </c>
      <c r="AG62" s="436">
        <v>0</v>
      </c>
      <c r="AH62" s="436">
        <v>0</v>
      </c>
      <c r="AI62" s="437">
        <f t="shared" si="8"/>
        <v>0</v>
      </c>
      <c r="AJ62" s="436">
        <v>0</v>
      </c>
      <c r="AK62" s="438">
        <v>0</v>
      </c>
      <c r="AL62" s="438">
        <v>0</v>
      </c>
      <c r="AM62" s="436">
        <v>0</v>
      </c>
      <c r="AN62" s="474">
        <f>SUM(E62,J62,O62,T62,Y62,AD62,AI62)</f>
        <v>0</v>
      </c>
      <c r="AO62" s="150">
        <f t="shared" si="10"/>
        <v>0</v>
      </c>
      <c r="AP62" s="150">
        <f t="shared" si="11"/>
        <v>0</v>
      </c>
      <c r="AQ62" s="150">
        <f t="shared" si="12"/>
        <v>0</v>
      </c>
      <c r="AR62" s="150">
        <f t="shared" si="13"/>
        <v>0</v>
      </c>
      <c r="AS62" s="150">
        <f t="shared" si="14"/>
        <v>0</v>
      </c>
      <c r="AT62" s="239"/>
      <c r="AU62" s="239"/>
      <c r="AV62" s="239"/>
      <c r="AW62" s="239"/>
      <c r="AX62" s="239"/>
      <c r="AY62" s="238">
        <f t="shared" si="29"/>
        <v>0</v>
      </c>
      <c r="AZ62" s="238">
        <f t="shared" si="30"/>
        <v>0</v>
      </c>
      <c r="BA62" s="238">
        <f t="shared" si="26"/>
        <v>0</v>
      </c>
      <c r="BB62" s="238">
        <f t="shared" si="27"/>
        <v>0</v>
      </c>
      <c r="BC62" s="238">
        <f t="shared" si="28"/>
        <v>0</v>
      </c>
      <c r="BD62" s="240"/>
    </row>
    <row r="63" spans="1:56" s="241" customFormat="1" ht="42" customHeight="1" outlineLevel="1" x14ac:dyDescent="0.35">
      <c r="A63" s="561" t="s">
        <v>68</v>
      </c>
      <c r="B63" s="579"/>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150">
        <f t="shared" si="10"/>
        <v>0</v>
      </c>
      <c r="AP63" s="150">
        <f t="shared" si="11"/>
        <v>0</v>
      </c>
      <c r="AQ63" s="150">
        <f t="shared" si="12"/>
        <v>0</v>
      </c>
      <c r="AR63" s="150">
        <f t="shared" si="13"/>
        <v>0</v>
      </c>
      <c r="AS63" s="150">
        <f t="shared" si="14"/>
        <v>0</v>
      </c>
      <c r="AT63" s="239"/>
      <c r="AU63" s="239"/>
      <c r="AV63" s="239"/>
      <c r="AW63" s="239"/>
      <c r="AX63" s="239"/>
      <c r="AY63" s="238">
        <f t="shared" si="29"/>
        <v>0</v>
      </c>
      <c r="AZ63" s="238">
        <f t="shared" si="30"/>
        <v>0</v>
      </c>
      <c r="BA63" s="238">
        <f t="shared" si="26"/>
        <v>0</v>
      </c>
      <c r="BB63" s="238">
        <f t="shared" si="27"/>
        <v>0</v>
      </c>
      <c r="BC63" s="238">
        <f t="shared" si="28"/>
        <v>0</v>
      </c>
      <c r="BD63" s="240"/>
    </row>
    <row r="64" spans="1:56" s="241" customFormat="1" ht="118.95" customHeight="1" outlineLevel="1" x14ac:dyDescent="0.35">
      <c r="A64" s="532">
        <v>43</v>
      </c>
      <c r="B64" s="533" t="s">
        <v>2</v>
      </c>
      <c r="C64" s="537" t="s">
        <v>117</v>
      </c>
      <c r="D64" s="535">
        <v>2020</v>
      </c>
      <c r="E64" s="434">
        <f>SUM(F64:I64)</f>
        <v>0</v>
      </c>
      <c r="F64" s="436">
        <v>0</v>
      </c>
      <c r="G64" s="436">
        <v>0</v>
      </c>
      <c r="H64" s="436">
        <v>0</v>
      </c>
      <c r="I64" s="436">
        <v>0</v>
      </c>
      <c r="J64" s="434">
        <f>N64+M64+L64+K64</f>
        <v>0</v>
      </c>
      <c r="K64" s="436">
        <v>0</v>
      </c>
      <c r="L64" s="436">
        <v>0</v>
      </c>
      <c r="M64" s="436">
        <v>0</v>
      </c>
      <c r="N64" s="436">
        <v>0</v>
      </c>
      <c r="O64" s="434">
        <f t="shared" si="40"/>
        <v>0</v>
      </c>
      <c r="P64" s="436">
        <v>0</v>
      </c>
      <c r="Q64" s="436">
        <v>0</v>
      </c>
      <c r="R64" s="436">
        <v>0</v>
      </c>
      <c r="S64" s="436">
        <v>0</v>
      </c>
      <c r="T64" s="434">
        <f>U64+V64+W64+X64</f>
        <v>0</v>
      </c>
      <c r="U64" s="436">
        <v>0</v>
      </c>
      <c r="V64" s="436">
        <v>0</v>
      </c>
      <c r="W64" s="436">
        <v>0</v>
      </c>
      <c r="X64" s="436">
        <v>0</v>
      </c>
      <c r="Y64" s="434">
        <f t="shared" si="36"/>
        <v>0</v>
      </c>
      <c r="Z64" s="436">
        <v>0</v>
      </c>
      <c r="AA64" s="436">
        <v>0</v>
      </c>
      <c r="AB64" s="436">
        <v>0</v>
      </c>
      <c r="AC64" s="436">
        <v>0</v>
      </c>
      <c r="AD64" s="434">
        <f t="shared" si="7"/>
        <v>0</v>
      </c>
      <c r="AE64" s="436">
        <v>0</v>
      </c>
      <c r="AF64" s="436">
        <v>0</v>
      </c>
      <c r="AG64" s="436">
        <v>0</v>
      </c>
      <c r="AH64" s="436">
        <v>0</v>
      </c>
      <c r="AI64" s="437">
        <f t="shared" si="8"/>
        <v>0</v>
      </c>
      <c r="AJ64" s="436">
        <v>0</v>
      </c>
      <c r="AK64" s="438">
        <v>0</v>
      </c>
      <c r="AL64" s="438">
        <v>0</v>
      </c>
      <c r="AM64" s="436">
        <v>0</v>
      </c>
      <c r="AN64" s="474">
        <f>SUM(E64,J64,O64,T64,Y64,AD64,AI64)</f>
        <v>0</v>
      </c>
      <c r="AO64" s="150">
        <f t="shared" si="10"/>
        <v>0</v>
      </c>
      <c r="AP64" s="150">
        <f t="shared" si="11"/>
        <v>0</v>
      </c>
      <c r="AQ64" s="150">
        <f t="shared" si="12"/>
        <v>0</v>
      </c>
      <c r="AR64" s="150">
        <f t="shared" si="13"/>
        <v>0</v>
      </c>
      <c r="AS64" s="150">
        <f t="shared" si="14"/>
        <v>0</v>
      </c>
      <c r="AT64" s="239"/>
      <c r="AU64" s="239"/>
      <c r="AV64" s="239"/>
      <c r="AW64" s="239"/>
      <c r="AX64" s="239"/>
      <c r="AY64" s="238">
        <f t="shared" si="29"/>
        <v>0</v>
      </c>
      <c r="AZ64" s="238">
        <f t="shared" si="30"/>
        <v>0</v>
      </c>
      <c r="BA64" s="238">
        <f t="shared" si="26"/>
        <v>0</v>
      </c>
      <c r="BB64" s="238">
        <f t="shared" si="27"/>
        <v>0</v>
      </c>
      <c r="BC64" s="238">
        <f t="shared" si="28"/>
        <v>0</v>
      </c>
      <c r="BD64" s="240"/>
    </row>
    <row r="65" spans="1:56" s="241" customFormat="1" ht="42" customHeight="1" outlineLevel="1" x14ac:dyDescent="0.35">
      <c r="A65" s="561" t="s">
        <v>74</v>
      </c>
      <c r="B65" s="561"/>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150">
        <f t="shared" si="10"/>
        <v>0</v>
      </c>
      <c r="AP65" s="150">
        <f t="shared" si="11"/>
        <v>0</v>
      </c>
      <c r="AQ65" s="150">
        <f t="shared" si="12"/>
        <v>0</v>
      </c>
      <c r="AR65" s="150">
        <f t="shared" si="13"/>
        <v>0</v>
      </c>
      <c r="AS65" s="150">
        <f t="shared" si="14"/>
        <v>0</v>
      </c>
      <c r="AT65" s="239"/>
      <c r="AU65" s="239"/>
      <c r="AV65" s="239"/>
      <c r="AW65" s="239"/>
      <c r="AX65" s="239"/>
      <c r="AY65" s="238">
        <f t="shared" si="29"/>
        <v>0</v>
      </c>
      <c r="AZ65" s="238">
        <f t="shared" si="30"/>
        <v>0</v>
      </c>
      <c r="BA65" s="238">
        <f t="shared" si="26"/>
        <v>0</v>
      </c>
      <c r="BB65" s="238">
        <f t="shared" si="27"/>
        <v>0</v>
      </c>
      <c r="BC65" s="238">
        <f t="shared" si="28"/>
        <v>0</v>
      </c>
      <c r="BD65" s="240"/>
    </row>
    <row r="66" spans="1:56" s="241" customFormat="1" ht="42" customHeight="1" outlineLevel="1" x14ac:dyDescent="0.35">
      <c r="A66" s="582">
        <v>44</v>
      </c>
      <c r="B66" s="543" t="s">
        <v>1304</v>
      </c>
      <c r="C66" s="580" t="s">
        <v>102</v>
      </c>
      <c r="D66" s="26" t="s">
        <v>37</v>
      </c>
      <c r="E66" s="434">
        <f>SUM(F66:I66)</f>
        <v>0</v>
      </c>
      <c r="F66" s="436">
        <v>0</v>
      </c>
      <c r="G66" s="436">
        <v>0</v>
      </c>
      <c r="H66" s="436">
        <v>0</v>
      </c>
      <c r="I66" s="436">
        <v>0</v>
      </c>
      <c r="J66" s="434">
        <f>K66+L66+M66+N66</f>
        <v>23833</v>
      </c>
      <c r="K66" s="436">
        <v>23833</v>
      </c>
      <c r="L66" s="436">
        <v>0</v>
      </c>
      <c r="M66" s="436">
        <v>0</v>
      </c>
      <c r="N66" s="436">
        <v>0</v>
      </c>
      <c r="O66" s="434">
        <f>P66+Q66+R66+S66</f>
        <v>23147</v>
      </c>
      <c r="P66" s="436">
        <f>24313-1870-66+210+585-25</f>
        <v>23147</v>
      </c>
      <c r="Q66" s="436">
        <v>0</v>
      </c>
      <c r="R66" s="436">
        <v>0</v>
      </c>
      <c r="S66" s="436">
        <v>0</v>
      </c>
      <c r="T66" s="434">
        <f>U66+V66+W66+X66</f>
        <v>24768</v>
      </c>
      <c r="U66" s="436">
        <f>25026-258</f>
        <v>24768</v>
      </c>
      <c r="V66" s="436">
        <v>0</v>
      </c>
      <c r="W66" s="436">
        <v>0</v>
      </c>
      <c r="X66" s="436">
        <v>0</v>
      </c>
      <c r="Y66" s="436">
        <f t="shared" si="36"/>
        <v>26662.3</v>
      </c>
      <c r="Z66" s="436">
        <v>26662.3</v>
      </c>
      <c r="AA66" s="436">
        <v>0</v>
      </c>
      <c r="AB66" s="436">
        <v>0</v>
      </c>
      <c r="AC66" s="436">
        <v>0</v>
      </c>
      <c r="AD66" s="434">
        <f t="shared" si="7"/>
        <v>26400</v>
      </c>
      <c r="AE66" s="436">
        <f>26400</f>
        <v>26400</v>
      </c>
      <c r="AF66" s="436">
        <v>0</v>
      </c>
      <c r="AG66" s="436">
        <v>0</v>
      </c>
      <c r="AH66" s="436">
        <v>0</v>
      </c>
      <c r="AI66" s="434">
        <f t="shared" si="8"/>
        <v>27084.2</v>
      </c>
      <c r="AJ66" s="436">
        <v>27084.2</v>
      </c>
      <c r="AK66" s="436">
        <v>0</v>
      </c>
      <c r="AL66" s="436">
        <v>0</v>
      </c>
      <c r="AM66" s="436">
        <v>0</v>
      </c>
      <c r="AN66" s="474">
        <f>SUM(E66,J66,O66,T66,Y66,AD66,AI66)</f>
        <v>151894.5</v>
      </c>
      <c r="AO66" s="150">
        <f t="shared" si="10"/>
        <v>151894.5</v>
      </c>
      <c r="AP66" s="150">
        <f t="shared" si="11"/>
        <v>151894.5</v>
      </c>
      <c r="AQ66" s="150">
        <f t="shared" si="12"/>
        <v>0</v>
      </c>
      <c r="AR66" s="150">
        <f t="shared" si="13"/>
        <v>0</v>
      </c>
      <c r="AS66" s="150">
        <f t="shared" si="14"/>
        <v>0</v>
      </c>
      <c r="AT66" s="239">
        <v>27703.599999999999</v>
      </c>
      <c r="AU66" s="239">
        <v>27703.599999999999</v>
      </c>
      <c r="AV66" s="239"/>
      <c r="AW66" s="239"/>
      <c r="AX66" s="239"/>
      <c r="AY66" s="238">
        <f t="shared" si="29"/>
        <v>-619.39999999999782</v>
      </c>
      <c r="AZ66" s="238">
        <f t="shared" si="30"/>
        <v>-619.39999999999782</v>
      </c>
      <c r="BA66" s="238">
        <f t="shared" si="26"/>
        <v>0</v>
      </c>
      <c r="BB66" s="238">
        <f t="shared" si="27"/>
        <v>0</v>
      </c>
      <c r="BC66" s="238">
        <f t="shared" si="28"/>
        <v>0</v>
      </c>
      <c r="BD66" s="240"/>
    </row>
    <row r="67" spans="1:56" s="246" customFormat="1" ht="85.35" customHeight="1" outlineLevel="1" x14ac:dyDescent="0.35">
      <c r="A67" s="582"/>
      <c r="B67" s="543"/>
      <c r="C67" s="580"/>
      <c r="D67" s="423" t="s">
        <v>1297</v>
      </c>
      <c r="E67" s="436">
        <f t="shared" ref="E67:E69" si="42">SUM(F67:I67)</f>
        <v>0</v>
      </c>
      <c r="F67" s="436">
        <v>0</v>
      </c>
      <c r="G67" s="436">
        <v>0</v>
      </c>
      <c r="H67" s="436">
        <v>0</v>
      </c>
      <c r="I67" s="436">
        <v>0</v>
      </c>
      <c r="J67" s="436">
        <f>K67+L67+M67+N67</f>
        <v>0</v>
      </c>
      <c r="K67" s="436">
        <v>0</v>
      </c>
      <c r="L67" s="436">
        <v>0</v>
      </c>
      <c r="M67" s="436">
        <v>0</v>
      </c>
      <c r="N67" s="436">
        <v>0</v>
      </c>
      <c r="O67" s="434">
        <f>P67+Q67+R67+S67</f>
        <v>1870</v>
      </c>
      <c r="P67" s="436">
        <v>1870</v>
      </c>
      <c r="Q67" s="436">
        <v>0</v>
      </c>
      <c r="R67" s="436">
        <v>0</v>
      </c>
      <c r="S67" s="436">
        <v>0</v>
      </c>
      <c r="T67" s="436">
        <f>U67+V67+W67+X67</f>
        <v>0</v>
      </c>
      <c r="U67" s="436">
        <v>0</v>
      </c>
      <c r="V67" s="436">
        <v>0</v>
      </c>
      <c r="W67" s="436">
        <v>0</v>
      </c>
      <c r="X67" s="436">
        <v>0</v>
      </c>
      <c r="Y67" s="436">
        <f t="shared" si="36"/>
        <v>0</v>
      </c>
      <c r="Z67" s="436">
        <v>0</v>
      </c>
      <c r="AA67" s="436">
        <v>0</v>
      </c>
      <c r="AB67" s="436">
        <v>0</v>
      </c>
      <c r="AC67" s="436">
        <v>0</v>
      </c>
      <c r="AD67" s="436">
        <f t="shared" si="7"/>
        <v>0</v>
      </c>
      <c r="AE67" s="436">
        <v>0</v>
      </c>
      <c r="AF67" s="436">
        <v>0</v>
      </c>
      <c r="AG67" s="436">
        <v>0</v>
      </c>
      <c r="AH67" s="436">
        <v>0</v>
      </c>
      <c r="AI67" s="437">
        <f t="shared" si="8"/>
        <v>0</v>
      </c>
      <c r="AJ67" s="436">
        <v>0</v>
      </c>
      <c r="AK67" s="438">
        <v>0</v>
      </c>
      <c r="AL67" s="438">
        <v>0</v>
      </c>
      <c r="AM67" s="436">
        <v>0</v>
      </c>
      <c r="AN67" s="474">
        <f>SUM(E67,J67,O67,T67,Y67,AD67,AI67)</f>
        <v>1870</v>
      </c>
      <c r="AO67" s="150">
        <f t="shared" si="10"/>
        <v>1870</v>
      </c>
      <c r="AP67" s="150">
        <f t="shared" si="11"/>
        <v>1870</v>
      </c>
      <c r="AQ67" s="150">
        <f t="shared" si="12"/>
        <v>0</v>
      </c>
      <c r="AR67" s="150">
        <f t="shared" si="13"/>
        <v>0</v>
      </c>
      <c r="AS67" s="150">
        <f t="shared" si="14"/>
        <v>0</v>
      </c>
      <c r="AT67" s="239"/>
      <c r="AU67" s="239"/>
      <c r="AV67" s="239"/>
      <c r="AW67" s="239"/>
      <c r="AX67" s="239"/>
      <c r="AY67" s="238">
        <f t="shared" si="29"/>
        <v>0</v>
      </c>
      <c r="AZ67" s="238">
        <f t="shared" si="30"/>
        <v>0</v>
      </c>
      <c r="BA67" s="238">
        <f t="shared" si="26"/>
        <v>0</v>
      </c>
      <c r="BB67" s="238">
        <f t="shared" si="27"/>
        <v>0</v>
      </c>
      <c r="BC67" s="238">
        <f t="shared" si="28"/>
        <v>0</v>
      </c>
      <c r="BD67" s="245"/>
    </row>
    <row r="68" spans="1:56" s="242" customFormat="1" ht="48" customHeight="1" outlineLevel="1" x14ac:dyDescent="0.25">
      <c r="A68" s="562" t="s">
        <v>1299</v>
      </c>
      <c r="B68" s="562"/>
      <c r="C68" s="562"/>
      <c r="D68" s="424"/>
      <c r="E68" s="441">
        <f>SUM(F68:I68)</f>
        <v>34257</v>
      </c>
      <c r="F68" s="441">
        <f>SUM(F15:F67)-F27-F29-F51-F61-F67</f>
        <v>34257</v>
      </c>
      <c r="G68" s="441">
        <f t="shared" ref="G68:I68" si="43">SUM(G15:G67)-G27-G29-G51-G61-G67</f>
        <v>0</v>
      </c>
      <c r="H68" s="441">
        <f t="shared" si="43"/>
        <v>0</v>
      </c>
      <c r="I68" s="441">
        <f t="shared" si="43"/>
        <v>0</v>
      </c>
      <c r="J68" s="441">
        <f t="shared" ref="J68:AD68" si="44">SUM(J15:J67)-J27-J29-J61-J67</f>
        <v>64807.6</v>
      </c>
      <c r="K68" s="441">
        <f t="shared" ref="K68:N68" si="45">SUM(K15:K67)-K27-K29-K51-K61-K67</f>
        <v>64807.6</v>
      </c>
      <c r="L68" s="441">
        <f t="shared" si="45"/>
        <v>0</v>
      </c>
      <c r="M68" s="441">
        <f t="shared" si="45"/>
        <v>0</v>
      </c>
      <c r="N68" s="441">
        <f t="shared" si="45"/>
        <v>0</v>
      </c>
      <c r="O68" s="441">
        <f t="shared" si="44"/>
        <v>82895</v>
      </c>
      <c r="P68" s="441">
        <f t="shared" ref="P68:S68" si="46">SUM(P15:P67)-P27-P29-P51-P61-P67</f>
        <v>82895</v>
      </c>
      <c r="Q68" s="441">
        <f t="shared" si="46"/>
        <v>0</v>
      </c>
      <c r="R68" s="441">
        <f t="shared" si="46"/>
        <v>0</v>
      </c>
      <c r="S68" s="441">
        <f t="shared" si="46"/>
        <v>0</v>
      </c>
      <c r="T68" s="441">
        <f t="shared" si="44"/>
        <v>156995</v>
      </c>
      <c r="U68" s="441">
        <f t="shared" ref="U68:X68" si="47">SUM(U15:U67)-U27-U29-U51-U61-U67</f>
        <v>156995</v>
      </c>
      <c r="V68" s="441">
        <f t="shared" si="47"/>
        <v>0</v>
      </c>
      <c r="W68" s="441">
        <f t="shared" si="47"/>
        <v>0</v>
      </c>
      <c r="X68" s="441">
        <f t="shared" si="47"/>
        <v>0</v>
      </c>
      <c r="Y68" s="441">
        <f t="shared" si="44"/>
        <v>119138</v>
      </c>
      <c r="Z68" s="441">
        <f t="shared" ref="Z68:AC68" si="48">SUM(Z15:Z67)-Z27-Z29-Z51-Z61-Z67</f>
        <v>119138</v>
      </c>
      <c r="AA68" s="441">
        <f t="shared" si="48"/>
        <v>0</v>
      </c>
      <c r="AB68" s="441">
        <f t="shared" si="48"/>
        <v>0</v>
      </c>
      <c r="AC68" s="441">
        <f t="shared" si="48"/>
        <v>0</v>
      </c>
      <c r="AD68" s="441">
        <f t="shared" si="44"/>
        <v>100902</v>
      </c>
      <c r="AE68" s="441">
        <f t="shared" ref="AE68:AH68" si="49">SUM(AE15:AE67)-AE27-AE29-AE51-AE61-AE67</f>
        <v>100902</v>
      </c>
      <c r="AF68" s="441">
        <f t="shared" si="49"/>
        <v>0</v>
      </c>
      <c r="AG68" s="441">
        <f t="shared" si="49"/>
        <v>0</v>
      </c>
      <c r="AH68" s="441">
        <f t="shared" si="49"/>
        <v>0</v>
      </c>
      <c r="AI68" s="444">
        <f>SUM(AI15:AI67)-AI27-AI29-AI61-AI67-AI51</f>
        <v>110806.59999999999</v>
      </c>
      <c r="AJ68" s="441">
        <f t="shared" ref="AJ68:AN68" si="50">SUM(AJ15:AJ67)-AJ27-AJ29-AJ51-AJ61-AJ67</f>
        <v>110806.59999999999</v>
      </c>
      <c r="AK68" s="444">
        <f t="shared" si="50"/>
        <v>0</v>
      </c>
      <c r="AL68" s="444">
        <f t="shared" si="50"/>
        <v>0</v>
      </c>
      <c r="AM68" s="441">
        <f t="shared" si="50"/>
        <v>0</v>
      </c>
      <c r="AN68" s="446">
        <f t="shared" si="50"/>
        <v>669801.19999999995</v>
      </c>
      <c r="AO68" s="150">
        <f t="shared" si="10"/>
        <v>669801.19999999995</v>
      </c>
      <c r="AP68" s="150">
        <f t="shared" si="11"/>
        <v>669801.19999999995</v>
      </c>
      <c r="AQ68" s="150">
        <f t="shared" si="12"/>
        <v>0</v>
      </c>
      <c r="AR68" s="150">
        <f t="shared" si="13"/>
        <v>0</v>
      </c>
      <c r="AS68" s="150">
        <f t="shared" si="14"/>
        <v>0</v>
      </c>
      <c r="AT68" s="239">
        <v>110806.6</v>
      </c>
      <c r="AU68" s="239">
        <v>110806.6</v>
      </c>
      <c r="AV68" s="239"/>
      <c r="AW68" s="239"/>
      <c r="AX68" s="239"/>
      <c r="AY68" s="238">
        <f t="shared" si="29"/>
        <v>0</v>
      </c>
      <c r="AZ68" s="238">
        <f t="shared" si="30"/>
        <v>0</v>
      </c>
      <c r="BA68" s="238">
        <f t="shared" si="26"/>
        <v>0</v>
      </c>
      <c r="BB68" s="238">
        <f t="shared" si="27"/>
        <v>0</v>
      </c>
      <c r="BC68" s="238">
        <f t="shared" si="28"/>
        <v>0</v>
      </c>
      <c r="BD68" s="238"/>
    </row>
    <row r="69" spans="1:56" s="241" customFormat="1" ht="31.95" customHeight="1" outlineLevel="1" x14ac:dyDescent="0.25">
      <c r="A69" s="561" t="s">
        <v>1295</v>
      </c>
      <c r="B69" s="561"/>
      <c r="C69" s="561"/>
      <c r="D69" s="26"/>
      <c r="E69" s="436">
        <f t="shared" si="42"/>
        <v>0</v>
      </c>
      <c r="F69" s="436">
        <f>F27+F29+F51+F61+F67</f>
        <v>0</v>
      </c>
      <c r="G69" s="436">
        <f t="shared" ref="G69:I69" si="51">G27+G29+G51+G61+G67</f>
        <v>0</v>
      </c>
      <c r="H69" s="436">
        <f t="shared" si="51"/>
        <v>0</v>
      </c>
      <c r="I69" s="436">
        <f t="shared" si="51"/>
        <v>0</v>
      </c>
      <c r="J69" s="436">
        <f t="shared" ref="J69:AD69" si="52">J27+J29+J61+J67</f>
        <v>0</v>
      </c>
      <c r="K69" s="436">
        <f t="shared" ref="K69:N69" si="53">K27+K29+K51+K61+K67</f>
        <v>0</v>
      </c>
      <c r="L69" s="436">
        <f t="shared" si="53"/>
        <v>0</v>
      </c>
      <c r="M69" s="436">
        <f t="shared" si="53"/>
        <v>0</v>
      </c>
      <c r="N69" s="436">
        <f t="shared" si="53"/>
        <v>0</v>
      </c>
      <c r="O69" s="434">
        <f t="shared" si="52"/>
        <v>9256</v>
      </c>
      <c r="P69" s="434">
        <f t="shared" ref="P69:S69" si="54">P27+P29+P51+P61+P67</f>
        <v>9256</v>
      </c>
      <c r="Q69" s="436">
        <f t="shared" si="54"/>
        <v>0</v>
      </c>
      <c r="R69" s="436">
        <f t="shared" si="54"/>
        <v>0</v>
      </c>
      <c r="S69" s="436">
        <f t="shared" si="54"/>
        <v>0</v>
      </c>
      <c r="T69" s="445">
        <f t="shared" si="52"/>
        <v>0</v>
      </c>
      <c r="U69" s="445">
        <f t="shared" ref="U69:X69" si="55">U27+U29+U51+U61+U67</f>
        <v>0</v>
      </c>
      <c r="V69" s="436">
        <f t="shared" si="55"/>
        <v>0</v>
      </c>
      <c r="W69" s="436">
        <f t="shared" si="55"/>
        <v>0</v>
      </c>
      <c r="X69" s="436">
        <f t="shared" si="55"/>
        <v>0</v>
      </c>
      <c r="Y69" s="436">
        <f t="shared" si="52"/>
        <v>0</v>
      </c>
      <c r="Z69" s="436">
        <f t="shared" ref="Z69:AC69" si="56">Z27+Z29+Z51+Z61+Z67</f>
        <v>0</v>
      </c>
      <c r="AA69" s="436">
        <f t="shared" si="56"/>
        <v>0</v>
      </c>
      <c r="AB69" s="436">
        <f t="shared" si="56"/>
        <v>0</v>
      </c>
      <c r="AC69" s="436">
        <f t="shared" si="56"/>
        <v>0</v>
      </c>
      <c r="AD69" s="436">
        <f t="shared" si="52"/>
        <v>0</v>
      </c>
      <c r="AE69" s="436">
        <f t="shared" ref="AE69:AH69" si="57">AE27+AE29+AE51+AE61+AE67</f>
        <v>0</v>
      </c>
      <c r="AF69" s="436">
        <f t="shared" si="57"/>
        <v>0</v>
      </c>
      <c r="AG69" s="436">
        <f t="shared" si="57"/>
        <v>0</v>
      </c>
      <c r="AH69" s="436">
        <f t="shared" si="57"/>
        <v>0</v>
      </c>
      <c r="AI69" s="437">
        <f>AI27+AI29+AI61+AI67+AI51</f>
        <v>2366</v>
      </c>
      <c r="AJ69" s="436">
        <f t="shared" ref="AJ69:AN69" si="58">AJ27+AJ29+AJ51+AJ61+AJ67</f>
        <v>2366</v>
      </c>
      <c r="AK69" s="438">
        <f t="shared" si="58"/>
        <v>0</v>
      </c>
      <c r="AL69" s="438">
        <f t="shared" si="58"/>
        <v>0</v>
      </c>
      <c r="AM69" s="436">
        <f t="shared" si="58"/>
        <v>0</v>
      </c>
      <c r="AN69" s="446">
        <f t="shared" si="58"/>
        <v>11622</v>
      </c>
      <c r="AO69" s="150">
        <f t="shared" si="10"/>
        <v>11622</v>
      </c>
      <c r="AP69" s="150">
        <f t="shared" si="11"/>
        <v>11622</v>
      </c>
      <c r="AQ69" s="150">
        <f t="shared" si="12"/>
        <v>0</v>
      </c>
      <c r="AR69" s="150">
        <f t="shared" si="13"/>
        <v>0</v>
      </c>
      <c r="AS69" s="150">
        <f t="shared" si="14"/>
        <v>0</v>
      </c>
      <c r="AT69" s="239">
        <v>2366</v>
      </c>
      <c r="AU69" s="239">
        <v>2366</v>
      </c>
      <c r="AV69" s="239"/>
      <c r="AW69" s="239"/>
      <c r="AX69" s="239"/>
      <c r="AY69" s="238">
        <f t="shared" si="29"/>
        <v>0</v>
      </c>
      <c r="AZ69" s="238">
        <f t="shared" si="30"/>
        <v>0</v>
      </c>
      <c r="BA69" s="238">
        <f t="shared" si="26"/>
        <v>0</v>
      </c>
      <c r="BB69" s="238">
        <f t="shared" si="27"/>
        <v>0</v>
      </c>
      <c r="BC69" s="238">
        <f t="shared" si="28"/>
        <v>0</v>
      </c>
      <c r="BD69" s="238"/>
    </row>
    <row r="70" spans="1:56" s="242" customFormat="1" ht="49.2" customHeight="1" outlineLevel="1" x14ac:dyDescent="0.25">
      <c r="A70" s="562" t="s">
        <v>1298</v>
      </c>
      <c r="B70" s="562"/>
      <c r="C70" s="562"/>
      <c r="D70" s="424"/>
      <c r="E70" s="441">
        <f>SUM(F70:I70)</f>
        <v>34257</v>
      </c>
      <c r="F70" s="441">
        <f t="shared" ref="F70:AN70" si="59">F68+F69</f>
        <v>34257</v>
      </c>
      <c r="G70" s="441">
        <f t="shared" si="59"/>
        <v>0</v>
      </c>
      <c r="H70" s="441">
        <f t="shared" si="59"/>
        <v>0</v>
      </c>
      <c r="I70" s="441">
        <f t="shared" si="59"/>
        <v>0</v>
      </c>
      <c r="J70" s="441">
        <f t="shared" si="59"/>
        <v>64807.6</v>
      </c>
      <c r="K70" s="441">
        <f t="shared" si="59"/>
        <v>64807.6</v>
      </c>
      <c r="L70" s="441">
        <f t="shared" si="59"/>
        <v>0</v>
      </c>
      <c r="M70" s="441">
        <f t="shared" si="59"/>
        <v>0</v>
      </c>
      <c r="N70" s="441">
        <f t="shared" si="59"/>
        <v>0</v>
      </c>
      <c r="O70" s="441">
        <f t="shared" si="59"/>
        <v>92151</v>
      </c>
      <c r="P70" s="441">
        <f t="shared" si="59"/>
        <v>92151</v>
      </c>
      <c r="Q70" s="441">
        <f t="shared" si="59"/>
        <v>0</v>
      </c>
      <c r="R70" s="441">
        <f t="shared" si="59"/>
        <v>0</v>
      </c>
      <c r="S70" s="441">
        <f t="shared" si="59"/>
        <v>0</v>
      </c>
      <c r="T70" s="441">
        <f t="shared" si="59"/>
        <v>156995</v>
      </c>
      <c r="U70" s="441">
        <f t="shared" si="59"/>
        <v>156995</v>
      </c>
      <c r="V70" s="441">
        <f t="shared" si="59"/>
        <v>0</v>
      </c>
      <c r="W70" s="441">
        <f t="shared" si="59"/>
        <v>0</v>
      </c>
      <c r="X70" s="441">
        <f t="shared" si="59"/>
        <v>0</v>
      </c>
      <c r="Y70" s="441">
        <f t="shared" si="59"/>
        <v>119138</v>
      </c>
      <c r="Z70" s="441">
        <f t="shared" si="59"/>
        <v>119138</v>
      </c>
      <c r="AA70" s="441">
        <f t="shared" si="59"/>
        <v>0</v>
      </c>
      <c r="AB70" s="441">
        <f t="shared" si="59"/>
        <v>0</v>
      </c>
      <c r="AC70" s="441">
        <f t="shared" si="59"/>
        <v>0</v>
      </c>
      <c r="AD70" s="441">
        <f t="shared" si="59"/>
        <v>100902</v>
      </c>
      <c r="AE70" s="441">
        <f t="shared" si="59"/>
        <v>100902</v>
      </c>
      <c r="AF70" s="441">
        <f t="shared" si="59"/>
        <v>0</v>
      </c>
      <c r="AG70" s="441">
        <f t="shared" si="59"/>
        <v>0</v>
      </c>
      <c r="AH70" s="441">
        <f t="shared" si="59"/>
        <v>0</v>
      </c>
      <c r="AI70" s="444">
        <f t="shared" si="59"/>
        <v>113172.59999999999</v>
      </c>
      <c r="AJ70" s="441">
        <f t="shared" si="59"/>
        <v>113172.59999999999</v>
      </c>
      <c r="AK70" s="444">
        <f t="shared" si="59"/>
        <v>0</v>
      </c>
      <c r="AL70" s="444">
        <f t="shared" si="59"/>
        <v>0</v>
      </c>
      <c r="AM70" s="441">
        <f t="shared" si="59"/>
        <v>0</v>
      </c>
      <c r="AN70" s="446">
        <f t="shared" si="59"/>
        <v>681423.2</v>
      </c>
      <c r="AO70" s="150">
        <f t="shared" si="10"/>
        <v>681423.2</v>
      </c>
      <c r="AP70" s="150">
        <f t="shared" si="11"/>
        <v>681423.2</v>
      </c>
      <c r="AQ70" s="150">
        <f t="shared" si="12"/>
        <v>0</v>
      </c>
      <c r="AR70" s="150">
        <f t="shared" si="13"/>
        <v>0</v>
      </c>
      <c r="AS70" s="150">
        <f t="shared" si="14"/>
        <v>0</v>
      </c>
      <c r="AT70" s="239">
        <v>113172.6</v>
      </c>
      <c r="AU70" s="239">
        <v>113172.6</v>
      </c>
      <c r="AV70" s="239"/>
      <c r="AW70" s="239"/>
      <c r="AX70" s="239"/>
      <c r="AY70" s="238">
        <f t="shared" si="29"/>
        <v>0</v>
      </c>
      <c r="AZ70" s="238">
        <f t="shared" si="30"/>
        <v>0</v>
      </c>
      <c r="BA70" s="238">
        <f t="shared" si="26"/>
        <v>0</v>
      </c>
      <c r="BB70" s="238">
        <f t="shared" si="27"/>
        <v>0</v>
      </c>
      <c r="BC70" s="238">
        <f t="shared" si="28"/>
        <v>0</v>
      </c>
      <c r="BD70" s="238"/>
    </row>
    <row r="71" spans="1:56" s="6" customFormat="1" ht="42" customHeight="1" outlineLevel="1" x14ac:dyDescent="0.4">
      <c r="A71" s="542" t="s">
        <v>69</v>
      </c>
      <c r="B71" s="543"/>
      <c r="C71" s="543"/>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43"/>
      <c r="AD71" s="543"/>
      <c r="AE71" s="543"/>
      <c r="AF71" s="543"/>
      <c r="AG71" s="543"/>
      <c r="AH71" s="543"/>
      <c r="AI71" s="543"/>
      <c r="AJ71" s="543"/>
      <c r="AK71" s="543"/>
      <c r="AL71" s="543"/>
      <c r="AM71" s="543"/>
      <c r="AN71" s="543"/>
      <c r="AO71" s="150">
        <f t="shared" si="10"/>
        <v>0</v>
      </c>
      <c r="AP71" s="150">
        <f t="shared" si="11"/>
        <v>0</v>
      </c>
      <c r="AQ71" s="150">
        <f t="shared" si="12"/>
        <v>0</v>
      </c>
      <c r="AR71" s="150">
        <f t="shared" si="13"/>
        <v>0</v>
      </c>
      <c r="AS71" s="150">
        <f t="shared" si="14"/>
        <v>0</v>
      </c>
      <c r="AT71" s="225"/>
      <c r="AU71" s="225"/>
      <c r="AV71" s="225"/>
      <c r="AW71" s="225"/>
      <c r="AX71" s="225"/>
      <c r="AY71" s="150">
        <f t="shared" si="29"/>
        <v>0</v>
      </c>
      <c r="AZ71" s="150">
        <f t="shared" si="30"/>
        <v>0</v>
      </c>
      <c r="BA71" s="150">
        <f t="shared" si="26"/>
        <v>0</v>
      </c>
      <c r="BB71" s="150">
        <f t="shared" si="27"/>
        <v>0</v>
      </c>
      <c r="BC71" s="150">
        <f t="shared" si="28"/>
        <v>0</v>
      </c>
      <c r="BD71" s="224"/>
    </row>
    <row r="72" spans="1:56" s="6" customFormat="1" ht="42" customHeight="1" outlineLevel="1" x14ac:dyDescent="0.4">
      <c r="A72" s="546" t="s">
        <v>94</v>
      </c>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150">
        <f t="shared" si="10"/>
        <v>0</v>
      </c>
      <c r="AP72" s="150">
        <f t="shared" si="11"/>
        <v>0</v>
      </c>
      <c r="AQ72" s="150">
        <f t="shared" si="12"/>
        <v>0</v>
      </c>
      <c r="AR72" s="150">
        <f t="shared" si="13"/>
        <v>0</v>
      </c>
      <c r="AS72" s="150">
        <f t="shared" si="14"/>
        <v>0</v>
      </c>
      <c r="AT72" s="225"/>
      <c r="AU72" s="225"/>
      <c r="AV72" s="225"/>
      <c r="AW72" s="225"/>
      <c r="AX72" s="225"/>
      <c r="AY72" s="150">
        <f t="shared" si="29"/>
        <v>0</v>
      </c>
      <c r="AZ72" s="150">
        <f t="shared" si="30"/>
        <v>0</v>
      </c>
      <c r="BA72" s="150">
        <f t="shared" si="26"/>
        <v>0</v>
      </c>
      <c r="BB72" s="150">
        <f t="shared" si="27"/>
        <v>0</v>
      </c>
      <c r="BC72" s="150">
        <f t="shared" si="28"/>
        <v>0</v>
      </c>
      <c r="BD72" s="224"/>
    </row>
    <row r="73" spans="1:56" s="6" customFormat="1" ht="42" customHeight="1" outlineLevel="1" x14ac:dyDescent="0.4">
      <c r="A73" s="542" t="s">
        <v>77</v>
      </c>
      <c r="B73" s="543"/>
      <c r="C73" s="543"/>
      <c r="D73" s="543"/>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150">
        <f t="shared" si="10"/>
        <v>0</v>
      </c>
      <c r="AP73" s="150">
        <f t="shared" si="11"/>
        <v>0</v>
      </c>
      <c r="AQ73" s="150">
        <f t="shared" si="12"/>
        <v>0</v>
      </c>
      <c r="AR73" s="150">
        <f t="shared" si="13"/>
        <v>0</v>
      </c>
      <c r="AS73" s="150">
        <f t="shared" si="14"/>
        <v>0</v>
      </c>
      <c r="AT73" s="225"/>
      <c r="AU73" s="225"/>
      <c r="AV73" s="225"/>
      <c r="AW73" s="225"/>
      <c r="AX73" s="225"/>
      <c r="AY73" s="150">
        <f t="shared" si="29"/>
        <v>0</v>
      </c>
      <c r="AZ73" s="150">
        <f t="shared" si="30"/>
        <v>0</v>
      </c>
      <c r="BA73" s="150">
        <f t="shared" si="26"/>
        <v>0</v>
      </c>
      <c r="BB73" s="150">
        <f t="shared" si="27"/>
        <v>0</v>
      </c>
      <c r="BC73" s="150">
        <f t="shared" si="28"/>
        <v>0</v>
      </c>
      <c r="BD73" s="224"/>
    </row>
    <row r="74" spans="1:56" s="6" customFormat="1" ht="42" customHeight="1" outlineLevel="1" x14ac:dyDescent="0.4">
      <c r="A74" s="542" t="s">
        <v>147</v>
      </c>
      <c r="B74" s="543"/>
      <c r="C74" s="543"/>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65"/>
      <c r="AE74" s="565"/>
      <c r="AF74" s="565"/>
      <c r="AG74" s="543"/>
      <c r="AH74" s="543"/>
      <c r="AI74" s="565"/>
      <c r="AJ74" s="565"/>
      <c r="AK74" s="565"/>
      <c r="AL74" s="543"/>
      <c r="AM74" s="543"/>
      <c r="AN74" s="543"/>
      <c r="AO74" s="150">
        <f t="shared" si="10"/>
        <v>0</v>
      </c>
      <c r="AP74" s="150">
        <f t="shared" si="11"/>
        <v>0</v>
      </c>
      <c r="AQ74" s="150">
        <f t="shared" si="12"/>
        <v>0</v>
      </c>
      <c r="AR74" s="150">
        <f t="shared" si="13"/>
        <v>0</v>
      </c>
      <c r="AS74" s="150">
        <f t="shared" si="14"/>
        <v>0</v>
      </c>
      <c r="AT74" s="225"/>
      <c r="AU74" s="225"/>
      <c r="AV74" s="225"/>
      <c r="AW74" s="225"/>
      <c r="AX74" s="225"/>
      <c r="AY74" s="150">
        <f t="shared" si="29"/>
        <v>0</v>
      </c>
      <c r="AZ74" s="150">
        <f t="shared" si="30"/>
        <v>0</v>
      </c>
      <c r="BA74" s="150">
        <f t="shared" si="26"/>
        <v>0</v>
      </c>
      <c r="BB74" s="150">
        <f t="shared" si="27"/>
        <v>0</v>
      </c>
      <c r="BC74" s="150">
        <f t="shared" si="28"/>
        <v>0</v>
      </c>
      <c r="BD74" s="224"/>
    </row>
    <row r="75" spans="1:56" s="5" customFormat="1" ht="162" customHeight="1" outlineLevel="1" x14ac:dyDescent="0.4">
      <c r="A75" s="532">
        <v>45</v>
      </c>
      <c r="B75" s="177" t="s">
        <v>148</v>
      </c>
      <c r="C75" s="537" t="s">
        <v>100</v>
      </c>
      <c r="D75" s="26" t="s">
        <v>87</v>
      </c>
      <c r="E75" s="441">
        <f>F75+G75+H75+I75</f>
        <v>7461</v>
      </c>
      <c r="F75" s="448">
        <v>7461</v>
      </c>
      <c r="G75" s="448">
        <v>0</v>
      </c>
      <c r="H75" s="448">
        <v>0</v>
      </c>
      <c r="I75" s="448">
        <v>0</v>
      </c>
      <c r="J75" s="441">
        <f t="shared" ref="J75:J80" si="60">K75+L75+M75+N75</f>
        <v>879</v>
      </c>
      <c r="K75" s="448">
        <v>879</v>
      </c>
      <c r="L75" s="448">
        <v>0</v>
      </c>
      <c r="M75" s="448">
        <v>0</v>
      </c>
      <c r="N75" s="448">
        <v>0</v>
      </c>
      <c r="O75" s="449">
        <f>P75+Q75+R75+S75</f>
        <v>3900</v>
      </c>
      <c r="P75" s="448">
        <f>2139+4697-60-1218-1658</f>
        <v>3900</v>
      </c>
      <c r="Q75" s="448">
        <v>0</v>
      </c>
      <c r="R75" s="448">
        <v>0</v>
      </c>
      <c r="S75" s="448">
        <v>0</v>
      </c>
      <c r="T75" s="449">
        <f>U75+V75+W75+X75</f>
        <v>4583</v>
      </c>
      <c r="U75" s="448">
        <f>5990-704-703</f>
        <v>4583</v>
      </c>
      <c r="V75" s="448">
        <v>0</v>
      </c>
      <c r="W75" s="448">
        <v>0</v>
      </c>
      <c r="X75" s="448">
        <v>0</v>
      </c>
      <c r="Y75" s="441">
        <f t="shared" ref="Y75:Y80" si="61">Z75+AA75+AB75+AC75</f>
        <v>973</v>
      </c>
      <c r="Z75" s="448">
        <f>1105+6-138</f>
        <v>973</v>
      </c>
      <c r="AA75" s="448">
        <v>0</v>
      </c>
      <c r="AB75" s="448">
        <v>0</v>
      </c>
      <c r="AC75" s="448">
        <v>0</v>
      </c>
      <c r="AD75" s="441">
        <f>AE75+AF75+AG75+AH75</f>
        <v>0</v>
      </c>
      <c r="AE75" s="450">
        <v>0</v>
      </c>
      <c r="AF75" s="448">
        <v>0</v>
      </c>
      <c r="AG75" s="448">
        <v>0</v>
      </c>
      <c r="AH75" s="448">
        <v>0</v>
      </c>
      <c r="AI75" s="444">
        <f t="shared" ref="AI75:AI79" si="62">AJ75+AK75+AL75+AM75</f>
        <v>251</v>
      </c>
      <c r="AJ75" s="448">
        <f>619-368</f>
        <v>251</v>
      </c>
      <c r="AK75" s="451">
        <v>0</v>
      </c>
      <c r="AL75" s="451">
        <v>0</v>
      </c>
      <c r="AM75" s="448">
        <v>0</v>
      </c>
      <c r="AN75" s="446">
        <f>E75+J75+O75+T75+Y75+AD75+AI75</f>
        <v>18047</v>
      </c>
      <c r="AO75" s="452">
        <f t="shared" si="10"/>
        <v>18047</v>
      </c>
      <c r="AP75" s="150">
        <f t="shared" si="11"/>
        <v>18047</v>
      </c>
      <c r="AQ75" s="150">
        <f t="shared" si="12"/>
        <v>0</v>
      </c>
      <c r="AR75" s="150">
        <f t="shared" si="13"/>
        <v>0</v>
      </c>
      <c r="AS75" s="150">
        <f t="shared" si="14"/>
        <v>0</v>
      </c>
      <c r="AT75" s="164"/>
      <c r="AU75" s="164"/>
      <c r="AV75" s="164"/>
      <c r="AW75" s="164"/>
      <c r="AX75" s="164"/>
      <c r="AY75" s="150"/>
      <c r="AZ75" s="150"/>
      <c r="BA75" s="150"/>
      <c r="BB75" s="150"/>
      <c r="BC75" s="150"/>
      <c r="BD75" s="224"/>
    </row>
    <row r="76" spans="1:56" s="5" customFormat="1" ht="174.6" customHeight="1" outlineLevel="1" x14ac:dyDescent="0.4">
      <c r="A76" s="532">
        <v>46</v>
      </c>
      <c r="B76" s="177" t="s">
        <v>55</v>
      </c>
      <c r="C76" s="537" t="s">
        <v>100</v>
      </c>
      <c r="D76" s="535">
        <v>2020</v>
      </c>
      <c r="E76" s="441">
        <f t="shared" ref="E76:E79" si="63">F76+G76+H76+I76</f>
        <v>0</v>
      </c>
      <c r="F76" s="448">
        <v>0</v>
      </c>
      <c r="G76" s="448">
        <v>0</v>
      </c>
      <c r="H76" s="448">
        <v>0</v>
      </c>
      <c r="I76" s="448">
        <v>0</v>
      </c>
      <c r="J76" s="441">
        <f t="shared" si="60"/>
        <v>0</v>
      </c>
      <c r="K76" s="448">
        <v>0</v>
      </c>
      <c r="L76" s="448">
        <v>0</v>
      </c>
      <c r="M76" s="448">
        <v>0</v>
      </c>
      <c r="N76" s="448">
        <v>0</v>
      </c>
      <c r="O76" s="449">
        <f t="shared" ref="O76:O79" si="64">P76+Q76+R76+S76</f>
        <v>0</v>
      </c>
      <c r="P76" s="448">
        <v>0</v>
      </c>
      <c r="Q76" s="448">
        <v>0</v>
      </c>
      <c r="R76" s="448">
        <v>0</v>
      </c>
      <c r="S76" s="448">
        <v>0</v>
      </c>
      <c r="T76" s="449">
        <f t="shared" ref="T76:T79" si="65">U76+V76+W76+X76</f>
        <v>0</v>
      </c>
      <c r="U76" s="448">
        <v>0</v>
      </c>
      <c r="V76" s="448">
        <v>0</v>
      </c>
      <c r="W76" s="448">
        <v>0</v>
      </c>
      <c r="X76" s="448">
        <v>0</v>
      </c>
      <c r="Y76" s="441">
        <f t="shared" si="61"/>
        <v>0</v>
      </c>
      <c r="Z76" s="448">
        <v>0</v>
      </c>
      <c r="AA76" s="448">
        <v>0</v>
      </c>
      <c r="AB76" s="448">
        <v>0</v>
      </c>
      <c r="AC76" s="448">
        <v>0</v>
      </c>
      <c r="AD76" s="449">
        <f t="shared" ref="AD76:AD79" si="66">AE76+AF76+AG76+AH76</f>
        <v>0</v>
      </c>
      <c r="AE76" s="450">
        <v>0</v>
      </c>
      <c r="AF76" s="448">
        <v>0</v>
      </c>
      <c r="AG76" s="448">
        <v>0</v>
      </c>
      <c r="AH76" s="448">
        <v>0</v>
      </c>
      <c r="AI76" s="444">
        <f t="shared" si="62"/>
        <v>0</v>
      </c>
      <c r="AJ76" s="448">
        <v>0</v>
      </c>
      <c r="AK76" s="451">
        <v>0</v>
      </c>
      <c r="AL76" s="451">
        <v>0</v>
      </c>
      <c r="AM76" s="448">
        <v>0</v>
      </c>
      <c r="AN76" s="446">
        <f>E76+J76+O76+T76+Y76+AD76+AI76</f>
        <v>0</v>
      </c>
      <c r="AO76" s="452">
        <f t="shared" si="10"/>
        <v>0</v>
      </c>
      <c r="AP76" s="150">
        <f t="shared" si="11"/>
        <v>0</v>
      </c>
      <c r="AQ76" s="150">
        <f t="shared" si="12"/>
        <v>0</v>
      </c>
      <c r="AR76" s="150">
        <f t="shared" si="13"/>
        <v>0</v>
      </c>
      <c r="AS76" s="150">
        <f t="shared" si="14"/>
        <v>0</v>
      </c>
      <c r="AT76" s="164"/>
      <c r="AU76" s="164"/>
      <c r="AV76" s="164"/>
      <c r="AW76" s="164"/>
      <c r="AX76" s="164"/>
      <c r="AY76" s="150">
        <f t="shared" si="29"/>
        <v>0</v>
      </c>
      <c r="AZ76" s="150">
        <f t="shared" si="30"/>
        <v>0</v>
      </c>
      <c r="BA76" s="150">
        <f t="shared" si="26"/>
        <v>0</v>
      </c>
      <c r="BB76" s="150">
        <f t="shared" si="27"/>
        <v>0</v>
      </c>
      <c r="BC76" s="150">
        <f t="shared" si="28"/>
        <v>0</v>
      </c>
      <c r="BD76" s="224"/>
    </row>
    <row r="77" spans="1:56" s="5" customFormat="1" ht="120" customHeight="1" outlineLevel="1" x14ac:dyDescent="0.4">
      <c r="A77" s="532">
        <v>47</v>
      </c>
      <c r="B77" s="177" t="s">
        <v>56</v>
      </c>
      <c r="C77" s="537" t="s">
        <v>100</v>
      </c>
      <c r="D77" s="535">
        <v>2020</v>
      </c>
      <c r="E77" s="441">
        <f t="shared" si="63"/>
        <v>0</v>
      </c>
      <c r="F77" s="448">
        <v>0</v>
      </c>
      <c r="G77" s="448">
        <v>0</v>
      </c>
      <c r="H77" s="448">
        <v>0</v>
      </c>
      <c r="I77" s="448">
        <v>0</v>
      </c>
      <c r="J77" s="441">
        <f t="shared" si="60"/>
        <v>0</v>
      </c>
      <c r="K77" s="448">
        <v>0</v>
      </c>
      <c r="L77" s="448">
        <v>0</v>
      </c>
      <c r="M77" s="448">
        <v>0</v>
      </c>
      <c r="N77" s="448">
        <v>0</v>
      </c>
      <c r="O77" s="449">
        <f t="shared" si="64"/>
        <v>0</v>
      </c>
      <c r="P77" s="448">
        <v>0</v>
      </c>
      <c r="Q77" s="448">
        <v>0</v>
      </c>
      <c r="R77" s="448">
        <v>0</v>
      </c>
      <c r="S77" s="448">
        <v>0</v>
      </c>
      <c r="T77" s="449">
        <f t="shared" si="65"/>
        <v>0</v>
      </c>
      <c r="U77" s="448">
        <v>0</v>
      </c>
      <c r="V77" s="448">
        <v>0</v>
      </c>
      <c r="W77" s="448">
        <v>0</v>
      </c>
      <c r="X77" s="448">
        <v>0</v>
      </c>
      <c r="Y77" s="441">
        <f t="shared" si="61"/>
        <v>0</v>
      </c>
      <c r="Z77" s="448">
        <v>0</v>
      </c>
      <c r="AA77" s="448">
        <v>0</v>
      </c>
      <c r="AB77" s="448">
        <v>0</v>
      </c>
      <c r="AC77" s="448">
        <v>0</v>
      </c>
      <c r="AD77" s="441">
        <f t="shared" si="66"/>
        <v>0</v>
      </c>
      <c r="AE77" s="450">
        <v>0</v>
      </c>
      <c r="AF77" s="450">
        <v>0</v>
      </c>
      <c r="AG77" s="448">
        <v>0</v>
      </c>
      <c r="AH77" s="448">
        <v>0</v>
      </c>
      <c r="AI77" s="444">
        <f t="shared" si="62"/>
        <v>0</v>
      </c>
      <c r="AJ77" s="448">
        <v>0</v>
      </c>
      <c r="AK77" s="451">
        <v>0</v>
      </c>
      <c r="AL77" s="451">
        <v>0</v>
      </c>
      <c r="AM77" s="448">
        <v>0</v>
      </c>
      <c r="AN77" s="446">
        <f>E77+J77+O77+T77+Y77+AD77+AI77</f>
        <v>0</v>
      </c>
      <c r="AO77" s="452">
        <f t="shared" si="10"/>
        <v>0</v>
      </c>
      <c r="AP77" s="150">
        <f t="shared" si="11"/>
        <v>0</v>
      </c>
      <c r="AQ77" s="150">
        <f t="shared" si="12"/>
        <v>0</v>
      </c>
      <c r="AR77" s="150">
        <f t="shared" si="13"/>
        <v>0</v>
      </c>
      <c r="AS77" s="150">
        <f t="shared" si="14"/>
        <v>0</v>
      </c>
      <c r="AT77" s="164"/>
      <c r="AU77" s="164"/>
      <c r="AV77" s="164"/>
      <c r="AW77" s="164"/>
      <c r="AX77" s="164"/>
      <c r="AY77" s="150">
        <f t="shared" si="29"/>
        <v>0</v>
      </c>
      <c r="AZ77" s="150">
        <f t="shared" si="30"/>
        <v>0</v>
      </c>
      <c r="BA77" s="150">
        <f t="shared" si="26"/>
        <v>0</v>
      </c>
      <c r="BB77" s="150">
        <f t="shared" si="27"/>
        <v>0</v>
      </c>
      <c r="BC77" s="150">
        <f t="shared" si="28"/>
        <v>0</v>
      </c>
      <c r="BD77" s="224"/>
    </row>
    <row r="78" spans="1:56" s="5" customFormat="1" ht="99.6" customHeight="1" outlineLevel="1" x14ac:dyDescent="0.4">
      <c r="A78" s="532">
        <v>48</v>
      </c>
      <c r="B78" s="177" t="s">
        <v>57</v>
      </c>
      <c r="C78" s="537" t="s">
        <v>100</v>
      </c>
      <c r="D78" s="535">
        <v>2020</v>
      </c>
      <c r="E78" s="441">
        <f t="shared" si="63"/>
        <v>0</v>
      </c>
      <c r="F78" s="448">
        <v>0</v>
      </c>
      <c r="G78" s="448">
        <v>0</v>
      </c>
      <c r="H78" s="448">
        <v>0</v>
      </c>
      <c r="I78" s="448">
        <v>0</v>
      </c>
      <c r="J78" s="441">
        <f t="shared" si="60"/>
        <v>0</v>
      </c>
      <c r="K78" s="448">
        <v>0</v>
      </c>
      <c r="L78" s="448">
        <v>0</v>
      </c>
      <c r="M78" s="448">
        <v>0</v>
      </c>
      <c r="N78" s="448">
        <v>0</v>
      </c>
      <c r="O78" s="449">
        <f t="shared" si="64"/>
        <v>0</v>
      </c>
      <c r="P78" s="448">
        <v>0</v>
      </c>
      <c r="Q78" s="448">
        <v>0</v>
      </c>
      <c r="R78" s="448">
        <v>0</v>
      </c>
      <c r="S78" s="448">
        <v>0</v>
      </c>
      <c r="T78" s="449">
        <f t="shared" si="65"/>
        <v>0</v>
      </c>
      <c r="U78" s="448">
        <v>0</v>
      </c>
      <c r="V78" s="448">
        <v>0</v>
      </c>
      <c r="W78" s="448">
        <v>0</v>
      </c>
      <c r="X78" s="448">
        <v>0</v>
      </c>
      <c r="Y78" s="441">
        <f t="shared" si="61"/>
        <v>0</v>
      </c>
      <c r="Z78" s="448">
        <v>0</v>
      </c>
      <c r="AA78" s="448">
        <v>0</v>
      </c>
      <c r="AB78" s="448">
        <v>0</v>
      </c>
      <c r="AC78" s="448">
        <v>0</v>
      </c>
      <c r="AD78" s="441">
        <f t="shared" si="66"/>
        <v>0</v>
      </c>
      <c r="AE78" s="450">
        <v>0</v>
      </c>
      <c r="AF78" s="450">
        <v>0</v>
      </c>
      <c r="AG78" s="448">
        <v>0</v>
      </c>
      <c r="AH78" s="448">
        <v>0</v>
      </c>
      <c r="AI78" s="444">
        <f t="shared" si="62"/>
        <v>0</v>
      </c>
      <c r="AJ78" s="448">
        <v>0</v>
      </c>
      <c r="AK78" s="451">
        <v>0</v>
      </c>
      <c r="AL78" s="451">
        <v>0</v>
      </c>
      <c r="AM78" s="448">
        <v>0</v>
      </c>
      <c r="AN78" s="446">
        <f>E78+J78+O78+T78+Y78+AD78+AI78</f>
        <v>0</v>
      </c>
      <c r="AO78" s="452">
        <f t="shared" si="10"/>
        <v>0</v>
      </c>
      <c r="AP78" s="150">
        <f t="shared" si="11"/>
        <v>0</v>
      </c>
      <c r="AQ78" s="150">
        <f t="shared" si="12"/>
        <v>0</v>
      </c>
      <c r="AR78" s="150">
        <f t="shared" si="13"/>
        <v>0</v>
      </c>
      <c r="AS78" s="150">
        <f t="shared" si="14"/>
        <v>0</v>
      </c>
      <c r="AT78" s="164"/>
      <c r="AU78" s="164"/>
      <c r="AV78" s="164"/>
      <c r="AW78" s="164"/>
      <c r="AX78" s="164"/>
      <c r="AY78" s="150">
        <f t="shared" si="29"/>
        <v>0</v>
      </c>
      <c r="AZ78" s="150">
        <f t="shared" si="30"/>
        <v>0</v>
      </c>
      <c r="BA78" s="150">
        <f t="shared" si="26"/>
        <v>0</v>
      </c>
      <c r="BB78" s="150">
        <f t="shared" si="27"/>
        <v>0</v>
      </c>
      <c r="BC78" s="150">
        <f t="shared" si="28"/>
        <v>0</v>
      </c>
      <c r="BD78" s="224"/>
    </row>
    <row r="79" spans="1:56" s="5" customFormat="1" ht="102" customHeight="1" outlineLevel="1" x14ac:dyDescent="0.4">
      <c r="A79" s="532">
        <v>49</v>
      </c>
      <c r="B79" s="177" t="s">
        <v>58</v>
      </c>
      <c r="C79" s="537" t="s">
        <v>100</v>
      </c>
      <c r="D79" s="535">
        <v>2020</v>
      </c>
      <c r="E79" s="441">
        <f t="shared" si="63"/>
        <v>0</v>
      </c>
      <c r="F79" s="448">
        <v>0</v>
      </c>
      <c r="G79" s="448">
        <v>0</v>
      </c>
      <c r="H79" s="448">
        <v>0</v>
      </c>
      <c r="I79" s="448">
        <v>0</v>
      </c>
      <c r="J79" s="441">
        <f t="shared" si="60"/>
        <v>0</v>
      </c>
      <c r="K79" s="448">
        <v>0</v>
      </c>
      <c r="L79" s="448">
        <v>0</v>
      </c>
      <c r="M79" s="448">
        <v>0</v>
      </c>
      <c r="N79" s="448">
        <v>0</v>
      </c>
      <c r="O79" s="449">
        <f t="shared" si="64"/>
        <v>0</v>
      </c>
      <c r="P79" s="448">
        <v>0</v>
      </c>
      <c r="Q79" s="448">
        <v>0</v>
      </c>
      <c r="R79" s="448">
        <v>0</v>
      </c>
      <c r="S79" s="448">
        <v>0</v>
      </c>
      <c r="T79" s="449">
        <f t="shared" si="65"/>
        <v>0</v>
      </c>
      <c r="U79" s="448">
        <v>0</v>
      </c>
      <c r="V79" s="448">
        <v>0</v>
      </c>
      <c r="W79" s="448">
        <v>0</v>
      </c>
      <c r="X79" s="448">
        <v>0</v>
      </c>
      <c r="Y79" s="441">
        <f t="shared" si="61"/>
        <v>0</v>
      </c>
      <c r="Z79" s="448">
        <v>0</v>
      </c>
      <c r="AA79" s="448">
        <v>0</v>
      </c>
      <c r="AB79" s="448">
        <v>0</v>
      </c>
      <c r="AC79" s="448">
        <v>0</v>
      </c>
      <c r="AD79" s="441">
        <f t="shared" si="66"/>
        <v>0</v>
      </c>
      <c r="AE79" s="450">
        <v>0</v>
      </c>
      <c r="AF79" s="450">
        <v>0</v>
      </c>
      <c r="AG79" s="448">
        <v>0</v>
      </c>
      <c r="AH79" s="448">
        <v>0</v>
      </c>
      <c r="AI79" s="444">
        <f t="shared" si="62"/>
        <v>0</v>
      </c>
      <c r="AJ79" s="448">
        <v>0</v>
      </c>
      <c r="AK79" s="451">
        <v>0</v>
      </c>
      <c r="AL79" s="451">
        <v>0</v>
      </c>
      <c r="AM79" s="448">
        <v>0</v>
      </c>
      <c r="AN79" s="446">
        <f>E79+J79+O79+T79+Y79+AD79+AI79</f>
        <v>0</v>
      </c>
      <c r="AO79" s="452">
        <f t="shared" si="10"/>
        <v>0</v>
      </c>
      <c r="AP79" s="150">
        <f t="shared" si="11"/>
        <v>0</v>
      </c>
      <c r="AQ79" s="150">
        <f t="shared" si="12"/>
        <v>0</v>
      </c>
      <c r="AR79" s="150">
        <f t="shared" si="13"/>
        <v>0</v>
      </c>
      <c r="AS79" s="150">
        <f t="shared" si="14"/>
        <v>0</v>
      </c>
      <c r="AT79" s="164"/>
      <c r="AU79" s="164"/>
      <c r="AV79" s="164"/>
      <c r="AW79" s="164"/>
      <c r="AX79" s="164"/>
      <c r="AY79" s="150">
        <f t="shared" si="29"/>
        <v>0</v>
      </c>
      <c r="AZ79" s="150">
        <f t="shared" si="30"/>
        <v>0</v>
      </c>
      <c r="BA79" s="150">
        <f t="shared" si="26"/>
        <v>0</v>
      </c>
      <c r="BB79" s="150">
        <f t="shared" si="27"/>
        <v>0</v>
      </c>
      <c r="BC79" s="150">
        <f t="shared" si="28"/>
        <v>0</v>
      </c>
      <c r="BD79" s="224"/>
    </row>
    <row r="80" spans="1:56" s="5" customFormat="1" ht="42" customHeight="1" outlineLevel="1" x14ac:dyDescent="0.4">
      <c r="A80" s="532"/>
      <c r="B80" s="536" t="s">
        <v>32</v>
      </c>
      <c r="C80" s="535"/>
      <c r="D80" s="23"/>
      <c r="E80" s="453">
        <f>F80+G80+H80+I80</f>
        <v>7461</v>
      </c>
      <c r="F80" s="441">
        <f t="shared" ref="F80:AN80" si="67">SUM(F75:F79)</f>
        <v>7461</v>
      </c>
      <c r="G80" s="441">
        <f t="shared" si="67"/>
        <v>0</v>
      </c>
      <c r="H80" s="441">
        <f t="shared" si="67"/>
        <v>0</v>
      </c>
      <c r="I80" s="441">
        <f t="shared" si="67"/>
        <v>0</v>
      </c>
      <c r="J80" s="453">
        <f t="shared" si="60"/>
        <v>879</v>
      </c>
      <c r="K80" s="441">
        <f t="shared" si="67"/>
        <v>879</v>
      </c>
      <c r="L80" s="441">
        <f t="shared" si="67"/>
        <v>0</v>
      </c>
      <c r="M80" s="441">
        <f t="shared" si="67"/>
        <v>0</v>
      </c>
      <c r="N80" s="441">
        <f t="shared" si="67"/>
        <v>0</v>
      </c>
      <c r="O80" s="453">
        <f>P80+Q80+R80+S80</f>
        <v>3900</v>
      </c>
      <c r="P80" s="441">
        <f t="shared" si="67"/>
        <v>3900</v>
      </c>
      <c r="Q80" s="441">
        <f t="shared" si="67"/>
        <v>0</v>
      </c>
      <c r="R80" s="441">
        <f t="shared" si="67"/>
        <v>0</v>
      </c>
      <c r="S80" s="441">
        <f t="shared" si="67"/>
        <v>0</v>
      </c>
      <c r="T80" s="453">
        <f>U80+V80+W80+X80</f>
        <v>4583</v>
      </c>
      <c r="U80" s="441">
        <f t="shared" si="67"/>
        <v>4583</v>
      </c>
      <c r="V80" s="441">
        <f t="shared" si="67"/>
        <v>0</v>
      </c>
      <c r="W80" s="441">
        <f t="shared" si="67"/>
        <v>0</v>
      </c>
      <c r="X80" s="441">
        <f t="shared" si="67"/>
        <v>0</v>
      </c>
      <c r="Y80" s="453">
        <f t="shared" si="61"/>
        <v>973</v>
      </c>
      <c r="Z80" s="441">
        <f t="shared" si="67"/>
        <v>973</v>
      </c>
      <c r="AA80" s="441">
        <f t="shared" si="67"/>
        <v>0</v>
      </c>
      <c r="AB80" s="441">
        <f t="shared" si="67"/>
        <v>0</v>
      </c>
      <c r="AC80" s="441">
        <f t="shared" si="67"/>
        <v>0</v>
      </c>
      <c r="AD80" s="453">
        <f>AE80+AF80+AG80+AH80</f>
        <v>0</v>
      </c>
      <c r="AE80" s="453">
        <f t="shared" si="67"/>
        <v>0</v>
      </c>
      <c r="AF80" s="453">
        <f t="shared" si="67"/>
        <v>0</v>
      </c>
      <c r="AG80" s="441">
        <f t="shared" si="67"/>
        <v>0</v>
      </c>
      <c r="AH80" s="441">
        <f t="shared" si="67"/>
        <v>0</v>
      </c>
      <c r="AI80" s="454">
        <f>AJ80+AK80+AL80+AM80</f>
        <v>251</v>
      </c>
      <c r="AJ80" s="453">
        <f t="shared" si="67"/>
        <v>251</v>
      </c>
      <c r="AK80" s="454">
        <f t="shared" si="67"/>
        <v>0</v>
      </c>
      <c r="AL80" s="444">
        <f t="shared" si="67"/>
        <v>0</v>
      </c>
      <c r="AM80" s="441">
        <f t="shared" si="67"/>
        <v>0</v>
      </c>
      <c r="AN80" s="446">
        <f t="shared" si="67"/>
        <v>18047</v>
      </c>
      <c r="AO80" s="452">
        <f t="shared" ref="AO80:AO141" si="68">E80+J80+O80+T80+Y80+AD80+AI80</f>
        <v>18047</v>
      </c>
      <c r="AP80" s="150">
        <f t="shared" ref="AP80:AP141" si="69">F80+K80+P80+U80+Z80+AE80+AJ80</f>
        <v>18047</v>
      </c>
      <c r="AQ80" s="150">
        <f t="shared" ref="AQ80:AQ141" si="70">G80+L80+Q80+V80+AA80+AF80+AK80</f>
        <v>0</v>
      </c>
      <c r="AR80" s="150">
        <f t="shared" ref="AR80:AR141" si="71">H80+M80+R80+W80+AB80+AG80+AL80</f>
        <v>0</v>
      </c>
      <c r="AS80" s="150">
        <f t="shared" ref="AS80:AS141" si="72">I80+N80+S80+X80+AC80+AH80+AM80</f>
        <v>0</v>
      </c>
      <c r="AT80" s="164"/>
      <c r="AU80" s="164"/>
      <c r="AV80" s="164"/>
      <c r="AW80" s="164"/>
      <c r="AX80" s="164"/>
      <c r="AY80" s="150"/>
      <c r="AZ80" s="150"/>
      <c r="BA80" s="150"/>
      <c r="BB80" s="150"/>
      <c r="BC80" s="150"/>
      <c r="BD80" s="224"/>
    </row>
    <row r="81" spans="1:56" s="5" customFormat="1" ht="42" customHeight="1" outlineLevel="1" x14ac:dyDescent="0.4">
      <c r="A81" s="542" t="s">
        <v>71</v>
      </c>
      <c r="B81" s="542"/>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c r="AG81" s="542"/>
      <c r="AH81" s="542"/>
      <c r="AI81" s="542"/>
      <c r="AJ81" s="542"/>
      <c r="AK81" s="542"/>
      <c r="AL81" s="542"/>
      <c r="AM81" s="542"/>
      <c r="AN81" s="542"/>
      <c r="AO81" s="150">
        <f t="shared" si="68"/>
        <v>0</v>
      </c>
      <c r="AP81" s="150">
        <f t="shared" si="69"/>
        <v>0</v>
      </c>
      <c r="AQ81" s="150">
        <f t="shared" si="70"/>
        <v>0</v>
      </c>
      <c r="AR81" s="150">
        <f t="shared" si="71"/>
        <v>0</v>
      </c>
      <c r="AS81" s="150">
        <f t="shared" si="72"/>
        <v>0</v>
      </c>
      <c r="AT81" s="164"/>
      <c r="AU81" s="164"/>
      <c r="AV81" s="164"/>
      <c r="AW81" s="164"/>
      <c r="AX81" s="164"/>
      <c r="AY81" s="150">
        <f t="shared" si="29"/>
        <v>0</v>
      </c>
      <c r="AZ81" s="150">
        <f t="shared" si="30"/>
        <v>0</v>
      </c>
      <c r="BA81" s="150">
        <f t="shared" si="26"/>
        <v>0</v>
      </c>
      <c r="BB81" s="150">
        <f t="shared" si="27"/>
        <v>0</v>
      </c>
      <c r="BC81" s="150">
        <f t="shared" si="28"/>
        <v>0</v>
      </c>
      <c r="BD81" s="224"/>
    </row>
    <row r="82" spans="1:56" s="5" customFormat="1" ht="42" customHeight="1" outlineLevel="1" x14ac:dyDescent="0.4">
      <c r="A82" s="546" t="s">
        <v>95</v>
      </c>
      <c r="B82" s="546"/>
      <c r="C82" s="546"/>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546"/>
      <c r="AK82" s="546"/>
      <c r="AL82" s="546"/>
      <c r="AM82" s="546"/>
      <c r="AN82" s="546"/>
      <c r="AO82" s="150">
        <f t="shared" si="68"/>
        <v>0</v>
      </c>
      <c r="AP82" s="150">
        <f t="shared" si="69"/>
        <v>0</v>
      </c>
      <c r="AQ82" s="150">
        <f t="shared" si="70"/>
        <v>0</v>
      </c>
      <c r="AR82" s="150">
        <f t="shared" si="71"/>
        <v>0</v>
      </c>
      <c r="AS82" s="150">
        <f t="shared" si="72"/>
        <v>0</v>
      </c>
      <c r="AT82" s="164"/>
      <c r="AU82" s="164"/>
      <c r="AV82" s="164"/>
      <c r="AW82" s="164"/>
      <c r="AX82" s="164"/>
      <c r="AY82" s="150">
        <f t="shared" si="29"/>
        <v>0</v>
      </c>
      <c r="AZ82" s="150">
        <f t="shared" si="30"/>
        <v>0</v>
      </c>
      <c r="BA82" s="150">
        <f t="shared" si="26"/>
        <v>0</v>
      </c>
      <c r="BB82" s="150">
        <f t="shared" si="27"/>
        <v>0</v>
      </c>
      <c r="BC82" s="150">
        <f t="shared" si="28"/>
        <v>0</v>
      </c>
      <c r="BD82" s="224"/>
    </row>
    <row r="83" spans="1:56" s="1" customFormat="1" ht="42" customHeight="1" outlineLevel="1" x14ac:dyDescent="0.35">
      <c r="A83" s="547" t="s">
        <v>78</v>
      </c>
      <c r="B83" s="547"/>
      <c r="C83" s="547"/>
      <c r="D83" s="547"/>
      <c r="E83" s="547"/>
      <c r="F83" s="547"/>
      <c r="G83" s="547"/>
      <c r="H83" s="547"/>
      <c r="I83" s="547"/>
      <c r="J83" s="547"/>
      <c r="K83" s="547"/>
      <c r="L83" s="547"/>
      <c r="M83" s="547"/>
      <c r="N83" s="547"/>
      <c r="O83" s="547"/>
      <c r="P83" s="547"/>
      <c r="Q83" s="547"/>
      <c r="R83" s="547"/>
      <c r="S83" s="547"/>
      <c r="T83" s="547"/>
      <c r="U83" s="547"/>
      <c r="V83" s="547"/>
      <c r="W83" s="547"/>
      <c r="X83" s="547"/>
      <c r="Y83" s="547"/>
      <c r="Z83" s="547"/>
      <c r="AA83" s="547"/>
      <c r="AB83" s="547"/>
      <c r="AC83" s="547"/>
      <c r="AD83" s="547"/>
      <c r="AE83" s="547"/>
      <c r="AF83" s="547"/>
      <c r="AG83" s="547"/>
      <c r="AH83" s="547"/>
      <c r="AI83" s="547"/>
      <c r="AJ83" s="547"/>
      <c r="AK83" s="547"/>
      <c r="AL83" s="547"/>
      <c r="AM83" s="547"/>
      <c r="AN83" s="547"/>
      <c r="AO83" s="150">
        <f t="shared" si="68"/>
        <v>0</v>
      </c>
      <c r="AP83" s="150">
        <f t="shared" si="69"/>
        <v>0</v>
      </c>
      <c r="AQ83" s="150">
        <f t="shared" si="70"/>
        <v>0</v>
      </c>
      <c r="AR83" s="150">
        <f t="shared" si="71"/>
        <v>0</v>
      </c>
      <c r="AS83" s="150">
        <f t="shared" si="72"/>
        <v>0</v>
      </c>
      <c r="AT83" s="164"/>
      <c r="AU83" s="164"/>
      <c r="AV83" s="164"/>
      <c r="AW83" s="164"/>
      <c r="AX83" s="164"/>
      <c r="AY83" s="150">
        <f t="shared" si="29"/>
        <v>0</v>
      </c>
      <c r="AZ83" s="150">
        <f t="shared" si="30"/>
        <v>0</v>
      </c>
      <c r="BA83" s="150">
        <f t="shared" si="26"/>
        <v>0</v>
      </c>
      <c r="BB83" s="150">
        <f t="shared" si="27"/>
        <v>0</v>
      </c>
      <c r="BC83" s="150">
        <f t="shared" si="28"/>
        <v>0</v>
      </c>
      <c r="BD83" s="217"/>
    </row>
    <row r="84" spans="1:56" s="1" customFormat="1" ht="42" customHeight="1" outlineLevel="1" x14ac:dyDescent="0.35">
      <c r="A84" s="547" t="s">
        <v>70</v>
      </c>
      <c r="B84" s="547"/>
      <c r="C84" s="547"/>
      <c r="D84" s="547"/>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c r="AI84" s="547"/>
      <c r="AJ84" s="547"/>
      <c r="AK84" s="547"/>
      <c r="AL84" s="547"/>
      <c r="AM84" s="547"/>
      <c r="AN84" s="547"/>
      <c r="AO84" s="150">
        <f t="shared" si="68"/>
        <v>0</v>
      </c>
      <c r="AP84" s="150">
        <f t="shared" si="69"/>
        <v>0</v>
      </c>
      <c r="AQ84" s="150">
        <f t="shared" si="70"/>
        <v>0</v>
      </c>
      <c r="AR84" s="150">
        <f t="shared" si="71"/>
        <v>0</v>
      </c>
      <c r="AS84" s="150">
        <f t="shared" si="72"/>
        <v>0</v>
      </c>
      <c r="AT84" s="164"/>
      <c r="AU84" s="164"/>
      <c r="AV84" s="164"/>
      <c r="AW84" s="164"/>
      <c r="AX84" s="164"/>
      <c r="AY84" s="150">
        <f t="shared" si="29"/>
        <v>0</v>
      </c>
      <c r="AZ84" s="150">
        <f t="shared" si="30"/>
        <v>0</v>
      </c>
      <c r="BA84" s="150">
        <f t="shared" si="26"/>
        <v>0</v>
      </c>
      <c r="BB84" s="150">
        <f t="shared" si="27"/>
        <v>0</v>
      </c>
      <c r="BC84" s="150">
        <f t="shared" si="28"/>
        <v>0</v>
      </c>
      <c r="BD84" s="217"/>
    </row>
    <row r="85" spans="1:56" s="1" customFormat="1" ht="99.6" customHeight="1" outlineLevel="1" x14ac:dyDescent="0.35">
      <c r="A85" s="532">
        <v>50</v>
      </c>
      <c r="B85" s="533" t="s">
        <v>51</v>
      </c>
      <c r="C85" s="537" t="s">
        <v>119</v>
      </c>
      <c r="D85" s="535" t="s">
        <v>36</v>
      </c>
      <c r="E85" s="441">
        <f>F85+G85+H85+I85</f>
        <v>0</v>
      </c>
      <c r="F85" s="445">
        <v>0</v>
      </c>
      <c r="G85" s="445">
        <v>0</v>
      </c>
      <c r="H85" s="445">
        <v>0</v>
      </c>
      <c r="I85" s="445">
        <v>0</v>
      </c>
      <c r="J85" s="441">
        <f>K85+L85+M85+N85</f>
        <v>112.5</v>
      </c>
      <c r="K85" s="445">
        <v>0</v>
      </c>
      <c r="L85" s="445">
        <v>0</v>
      </c>
      <c r="M85" s="445">
        <v>0</v>
      </c>
      <c r="N85" s="445">
        <v>112.5</v>
      </c>
      <c r="O85" s="441">
        <f>P85+Q85+R85+S85</f>
        <v>112.5</v>
      </c>
      <c r="P85" s="445">
        <v>0</v>
      </c>
      <c r="Q85" s="445">
        <v>0</v>
      </c>
      <c r="R85" s="445">
        <v>0</v>
      </c>
      <c r="S85" s="445">
        <v>112.5</v>
      </c>
      <c r="T85" s="441">
        <f>U85+V85+W85+X85</f>
        <v>112.5</v>
      </c>
      <c r="U85" s="445">
        <v>0</v>
      </c>
      <c r="V85" s="445">
        <v>0</v>
      </c>
      <c r="W85" s="445">
        <v>0</v>
      </c>
      <c r="X85" s="445">
        <v>112.5</v>
      </c>
      <c r="Y85" s="441">
        <f>Z85+AA85+AB85+AC85</f>
        <v>112.5</v>
      </c>
      <c r="Z85" s="445">
        <v>0</v>
      </c>
      <c r="AA85" s="445">
        <v>0</v>
      </c>
      <c r="AB85" s="445">
        <v>0</v>
      </c>
      <c r="AC85" s="445">
        <v>112.5</v>
      </c>
      <c r="AD85" s="441">
        <f>AE85+AF85+AG85+AH85</f>
        <v>112.5</v>
      </c>
      <c r="AE85" s="445">
        <v>0</v>
      </c>
      <c r="AF85" s="445">
        <v>0</v>
      </c>
      <c r="AG85" s="445">
        <v>0</v>
      </c>
      <c r="AH85" s="445">
        <v>112.5</v>
      </c>
      <c r="AI85" s="444">
        <f>AJ85+AK85+AL85+AM85</f>
        <v>112.5</v>
      </c>
      <c r="AJ85" s="445">
        <v>0</v>
      </c>
      <c r="AK85" s="455">
        <v>0</v>
      </c>
      <c r="AL85" s="455">
        <v>0</v>
      </c>
      <c r="AM85" s="445">
        <v>112.5</v>
      </c>
      <c r="AN85" s="446">
        <f>E85+J85+O85+T85+Y85+AD85+AI85</f>
        <v>675</v>
      </c>
      <c r="AO85" s="150"/>
      <c r="AP85" s="150"/>
      <c r="AQ85" s="150"/>
      <c r="AR85" s="150"/>
      <c r="AS85" s="150"/>
      <c r="AT85" s="164"/>
      <c r="AU85" s="164"/>
      <c r="AV85" s="164"/>
      <c r="AW85" s="164"/>
      <c r="AX85" s="164"/>
      <c r="AY85" s="150"/>
      <c r="AZ85" s="150"/>
      <c r="BA85" s="150"/>
      <c r="BB85" s="150"/>
      <c r="BC85" s="150"/>
      <c r="BD85" s="217"/>
    </row>
    <row r="86" spans="1:56" s="1" customFormat="1" ht="101.1" customHeight="1" outlineLevel="1" x14ac:dyDescent="0.35">
      <c r="A86" s="532">
        <v>51</v>
      </c>
      <c r="B86" s="533" t="s">
        <v>33</v>
      </c>
      <c r="C86" s="537" t="s">
        <v>119</v>
      </c>
      <c r="D86" s="535">
        <v>2020</v>
      </c>
      <c r="E86" s="441">
        <f t="shared" ref="E86:E100" si="73">F86+G86+H86+I86</f>
        <v>0</v>
      </c>
      <c r="F86" s="445">
        <v>0</v>
      </c>
      <c r="G86" s="445">
        <v>0</v>
      </c>
      <c r="H86" s="445">
        <v>0</v>
      </c>
      <c r="I86" s="445">
        <v>0</v>
      </c>
      <c r="J86" s="441">
        <f>K86+L86+M86+N86</f>
        <v>0</v>
      </c>
      <c r="K86" s="445">
        <v>0</v>
      </c>
      <c r="L86" s="445">
        <v>0</v>
      </c>
      <c r="M86" s="445">
        <v>0</v>
      </c>
      <c r="N86" s="445">
        <v>0</v>
      </c>
      <c r="O86" s="441">
        <f>P86+Q86+R86+S86</f>
        <v>0</v>
      </c>
      <c r="P86" s="445">
        <v>0</v>
      </c>
      <c r="Q86" s="445">
        <v>0</v>
      </c>
      <c r="R86" s="445">
        <v>0</v>
      </c>
      <c r="S86" s="445">
        <v>0</v>
      </c>
      <c r="T86" s="441">
        <f>U86+V86+W86+X86</f>
        <v>0</v>
      </c>
      <c r="U86" s="445">
        <v>0</v>
      </c>
      <c r="V86" s="445">
        <v>0</v>
      </c>
      <c r="W86" s="445">
        <v>0</v>
      </c>
      <c r="X86" s="445">
        <v>0</v>
      </c>
      <c r="Y86" s="441">
        <f>Z86+AA86+AB86+AC86</f>
        <v>0</v>
      </c>
      <c r="Z86" s="445">
        <v>0</v>
      </c>
      <c r="AA86" s="445">
        <v>0</v>
      </c>
      <c r="AB86" s="445">
        <v>0</v>
      </c>
      <c r="AC86" s="445">
        <v>0</v>
      </c>
      <c r="AD86" s="441">
        <f>AE86+AF86+AG86+AH86</f>
        <v>0</v>
      </c>
      <c r="AE86" s="445">
        <v>0</v>
      </c>
      <c r="AF86" s="445">
        <v>0</v>
      </c>
      <c r="AG86" s="445">
        <v>0</v>
      </c>
      <c r="AH86" s="445">
        <v>0</v>
      </c>
      <c r="AI86" s="444">
        <f>AJ86+AK86+AL86+AM86</f>
        <v>0</v>
      </c>
      <c r="AJ86" s="445">
        <v>0</v>
      </c>
      <c r="AK86" s="455">
        <v>0</v>
      </c>
      <c r="AL86" s="455">
        <v>0</v>
      </c>
      <c r="AM86" s="445">
        <v>0</v>
      </c>
      <c r="AN86" s="446">
        <f>E86+J86+O86+T86+Y86+AD86+AI86</f>
        <v>0</v>
      </c>
      <c r="AO86" s="150">
        <f t="shared" si="68"/>
        <v>0</v>
      </c>
      <c r="AP86" s="150">
        <f t="shared" si="69"/>
        <v>0</v>
      </c>
      <c r="AQ86" s="150">
        <f t="shared" si="70"/>
        <v>0</v>
      </c>
      <c r="AR86" s="150">
        <f t="shared" si="71"/>
        <v>0</v>
      </c>
      <c r="AS86" s="150">
        <f t="shared" si="72"/>
        <v>0</v>
      </c>
      <c r="AT86" s="164"/>
      <c r="AU86" s="164"/>
      <c r="AV86" s="164"/>
      <c r="AW86" s="164"/>
      <c r="AX86" s="164"/>
      <c r="AY86" s="150">
        <f t="shared" si="29"/>
        <v>0</v>
      </c>
      <c r="AZ86" s="150">
        <f t="shared" si="30"/>
        <v>0</v>
      </c>
      <c r="BA86" s="150">
        <f t="shared" si="26"/>
        <v>0</v>
      </c>
      <c r="BB86" s="150">
        <f t="shared" si="27"/>
        <v>0</v>
      </c>
      <c r="BC86" s="150">
        <f t="shared" si="28"/>
        <v>0</v>
      </c>
      <c r="BD86" s="217"/>
    </row>
    <row r="87" spans="1:56" s="1" customFormat="1" ht="99.6" customHeight="1" outlineLevel="1" x14ac:dyDescent="0.35">
      <c r="A87" s="532">
        <v>52</v>
      </c>
      <c r="B87" s="533" t="s">
        <v>34</v>
      </c>
      <c r="C87" s="537" t="s">
        <v>119</v>
      </c>
      <c r="D87" s="535">
        <v>2020</v>
      </c>
      <c r="E87" s="450">
        <f t="shared" si="73"/>
        <v>0</v>
      </c>
      <c r="F87" s="445">
        <v>0</v>
      </c>
      <c r="G87" s="445">
        <v>0</v>
      </c>
      <c r="H87" s="445">
        <v>0</v>
      </c>
      <c r="I87" s="445">
        <v>0</v>
      </c>
      <c r="J87" s="441">
        <f>K87+L87+M87+N87</f>
        <v>0</v>
      </c>
      <c r="K87" s="445">
        <v>0</v>
      </c>
      <c r="L87" s="445">
        <v>0</v>
      </c>
      <c r="M87" s="445">
        <v>0</v>
      </c>
      <c r="N87" s="445">
        <v>0</v>
      </c>
      <c r="O87" s="441">
        <f>P87+Q87+R87+S87</f>
        <v>0</v>
      </c>
      <c r="P87" s="445">
        <v>0</v>
      </c>
      <c r="Q87" s="445">
        <v>0</v>
      </c>
      <c r="R87" s="445">
        <v>0</v>
      </c>
      <c r="S87" s="445">
        <v>0</v>
      </c>
      <c r="T87" s="441">
        <f>U87+V87+W87+X87</f>
        <v>0</v>
      </c>
      <c r="U87" s="445">
        <v>0</v>
      </c>
      <c r="V87" s="445">
        <v>0</v>
      </c>
      <c r="W87" s="445">
        <v>0</v>
      </c>
      <c r="X87" s="445">
        <v>0</v>
      </c>
      <c r="Y87" s="441">
        <f>Z87+AA87+AB87+AC87</f>
        <v>0</v>
      </c>
      <c r="Z87" s="445">
        <v>0</v>
      </c>
      <c r="AA87" s="445">
        <v>0</v>
      </c>
      <c r="AB87" s="445">
        <v>0</v>
      </c>
      <c r="AC87" s="445">
        <v>0</v>
      </c>
      <c r="AD87" s="441">
        <f>AE87+AF87+AG87+AH87</f>
        <v>0</v>
      </c>
      <c r="AE87" s="445">
        <v>0</v>
      </c>
      <c r="AF87" s="445">
        <v>0</v>
      </c>
      <c r="AG87" s="445">
        <v>0</v>
      </c>
      <c r="AH87" s="445">
        <v>0</v>
      </c>
      <c r="AI87" s="444">
        <f>AJ87+AK87+AL87+AM87</f>
        <v>0</v>
      </c>
      <c r="AJ87" s="445">
        <v>0</v>
      </c>
      <c r="AK87" s="455">
        <v>0</v>
      </c>
      <c r="AL87" s="455">
        <v>0</v>
      </c>
      <c r="AM87" s="445">
        <v>0</v>
      </c>
      <c r="AN87" s="446">
        <f>E87+J87+O87+T87+Y87+AD87+AI87</f>
        <v>0</v>
      </c>
      <c r="AO87" s="150">
        <f t="shared" si="68"/>
        <v>0</v>
      </c>
      <c r="AP87" s="150">
        <f t="shared" si="69"/>
        <v>0</v>
      </c>
      <c r="AQ87" s="150">
        <f t="shared" si="70"/>
        <v>0</v>
      </c>
      <c r="AR87" s="150">
        <f t="shared" si="71"/>
        <v>0</v>
      </c>
      <c r="AS87" s="150">
        <f t="shared" si="72"/>
        <v>0</v>
      </c>
      <c r="AT87" s="164"/>
      <c r="AU87" s="164"/>
      <c r="AV87" s="164"/>
      <c r="AW87" s="164"/>
      <c r="AX87" s="164"/>
      <c r="AY87" s="150">
        <f t="shared" si="29"/>
        <v>0</v>
      </c>
      <c r="AZ87" s="150">
        <f t="shared" si="30"/>
        <v>0</v>
      </c>
      <c r="BA87" s="150">
        <f t="shared" si="26"/>
        <v>0</v>
      </c>
      <c r="BB87" s="150">
        <f t="shared" si="27"/>
        <v>0</v>
      </c>
      <c r="BC87" s="150">
        <f t="shared" si="28"/>
        <v>0</v>
      </c>
      <c r="BD87" s="217"/>
    </row>
    <row r="88" spans="1:56" s="1" customFormat="1" ht="99.6" customHeight="1" outlineLevel="1" x14ac:dyDescent="0.35">
      <c r="A88" s="532">
        <v>53</v>
      </c>
      <c r="B88" s="533" t="s">
        <v>52</v>
      </c>
      <c r="C88" s="537" t="s">
        <v>119</v>
      </c>
      <c r="D88" s="535">
        <v>2020</v>
      </c>
      <c r="E88" s="450">
        <f t="shared" si="73"/>
        <v>0</v>
      </c>
      <c r="F88" s="445">
        <v>0</v>
      </c>
      <c r="G88" s="445">
        <v>0</v>
      </c>
      <c r="H88" s="445">
        <v>0</v>
      </c>
      <c r="I88" s="445">
        <v>0</v>
      </c>
      <c r="J88" s="441">
        <f>K88+L88+M88+N88</f>
        <v>0</v>
      </c>
      <c r="K88" s="445">
        <v>0</v>
      </c>
      <c r="L88" s="445">
        <v>0</v>
      </c>
      <c r="M88" s="445">
        <v>0</v>
      </c>
      <c r="N88" s="445">
        <v>0</v>
      </c>
      <c r="O88" s="441">
        <f>P88+Q88+R88+S88</f>
        <v>0</v>
      </c>
      <c r="P88" s="445">
        <v>0</v>
      </c>
      <c r="Q88" s="445">
        <v>0</v>
      </c>
      <c r="R88" s="445">
        <v>0</v>
      </c>
      <c r="S88" s="445">
        <v>0</v>
      </c>
      <c r="T88" s="441">
        <f>U88+V88+W88+X88</f>
        <v>0</v>
      </c>
      <c r="U88" s="445">
        <v>0</v>
      </c>
      <c r="V88" s="445">
        <v>0</v>
      </c>
      <c r="W88" s="445">
        <v>0</v>
      </c>
      <c r="X88" s="445">
        <v>0</v>
      </c>
      <c r="Y88" s="441">
        <f>Z88+AA88+AB88+AC88</f>
        <v>0</v>
      </c>
      <c r="Z88" s="445">
        <v>0</v>
      </c>
      <c r="AA88" s="445">
        <v>0</v>
      </c>
      <c r="AB88" s="445">
        <v>0</v>
      </c>
      <c r="AC88" s="445">
        <v>0</v>
      </c>
      <c r="AD88" s="441">
        <f>AE88+AF88+AG88+AH88</f>
        <v>0</v>
      </c>
      <c r="AE88" s="445">
        <v>0</v>
      </c>
      <c r="AF88" s="445">
        <v>0</v>
      </c>
      <c r="AG88" s="445">
        <v>0</v>
      </c>
      <c r="AH88" s="445">
        <v>0</v>
      </c>
      <c r="AI88" s="444">
        <f>AJ88+AK88+AL88+AM88</f>
        <v>0</v>
      </c>
      <c r="AJ88" s="445">
        <v>0</v>
      </c>
      <c r="AK88" s="455">
        <v>0</v>
      </c>
      <c r="AL88" s="455">
        <v>0</v>
      </c>
      <c r="AM88" s="445">
        <v>0</v>
      </c>
      <c r="AN88" s="446">
        <f>E88+J88+O88+T88+Y88+AD88+AI88</f>
        <v>0</v>
      </c>
      <c r="AO88" s="150">
        <f t="shared" si="68"/>
        <v>0</v>
      </c>
      <c r="AP88" s="150">
        <f t="shared" si="69"/>
        <v>0</v>
      </c>
      <c r="AQ88" s="150">
        <f t="shared" si="70"/>
        <v>0</v>
      </c>
      <c r="AR88" s="150">
        <f t="shared" si="71"/>
        <v>0</v>
      </c>
      <c r="AS88" s="150">
        <f t="shared" si="72"/>
        <v>0</v>
      </c>
      <c r="AT88" s="164"/>
      <c r="AU88" s="164"/>
      <c r="AV88" s="164"/>
      <c r="AW88" s="164"/>
      <c r="AX88" s="164"/>
      <c r="AY88" s="150">
        <f t="shared" ref="AY88:AY141" si="74">AI88-AT88</f>
        <v>0</v>
      </c>
      <c r="AZ88" s="150">
        <f t="shared" ref="AZ88:AZ141" si="75">AJ88-AU88</f>
        <v>0</v>
      </c>
      <c r="BA88" s="150">
        <f t="shared" ref="BA88:BA141" si="76">AK88-AV88</f>
        <v>0</v>
      </c>
      <c r="BB88" s="150">
        <f t="shared" ref="BB88:BB141" si="77">AL88-AW88</f>
        <v>0</v>
      </c>
      <c r="BC88" s="150">
        <f t="shared" ref="BC88:BC141" si="78">AM88-AX88</f>
        <v>0</v>
      </c>
      <c r="BD88" s="217"/>
    </row>
    <row r="89" spans="1:56" s="1" customFormat="1" ht="173.25" customHeight="1" outlineLevel="1" x14ac:dyDescent="0.35">
      <c r="A89" s="532">
        <v>54</v>
      </c>
      <c r="B89" s="533" t="s">
        <v>38</v>
      </c>
      <c r="C89" s="537" t="s">
        <v>119</v>
      </c>
      <c r="D89" s="535">
        <v>2014</v>
      </c>
      <c r="E89" s="441">
        <f t="shared" si="73"/>
        <v>2002</v>
      </c>
      <c r="F89" s="445">
        <v>1001</v>
      </c>
      <c r="G89" s="445">
        <v>545</v>
      </c>
      <c r="H89" s="445">
        <v>456</v>
      </c>
      <c r="I89" s="445">
        <v>0</v>
      </c>
      <c r="J89" s="441">
        <f>K89+L89+M89+N89</f>
        <v>0</v>
      </c>
      <c r="K89" s="445">
        <v>0</v>
      </c>
      <c r="L89" s="445">
        <v>0</v>
      </c>
      <c r="M89" s="445">
        <v>0</v>
      </c>
      <c r="N89" s="445">
        <v>0</v>
      </c>
      <c r="O89" s="441">
        <f>P89+Q89+R89+S89</f>
        <v>0</v>
      </c>
      <c r="P89" s="445">
        <v>0</v>
      </c>
      <c r="Q89" s="445">
        <v>0</v>
      </c>
      <c r="R89" s="445">
        <v>0</v>
      </c>
      <c r="S89" s="445">
        <v>0</v>
      </c>
      <c r="T89" s="441">
        <f>U89+V89+W89+X89</f>
        <v>0</v>
      </c>
      <c r="U89" s="445">
        <v>0</v>
      </c>
      <c r="V89" s="445">
        <v>0</v>
      </c>
      <c r="W89" s="445">
        <v>0</v>
      </c>
      <c r="X89" s="445">
        <v>0</v>
      </c>
      <c r="Y89" s="441">
        <f>Z89+AA89+AB89+AC89</f>
        <v>0</v>
      </c>
      <c r="Z89" s="445">
        <v>0</v>
      </c>
      <c r="AA89" s="445">
        <v>0</v>
      </c>
      <c r="AB89" s="445">
        <v>0</v>
      </c>
      <c r="AC89" s="445">
        <v>0</v>
      </c>
      <c r="AD89" s="441">
        <f>AE89+AF89+AG89+AH89</f>
        <v>0</v>
      </c>
      <c r="AE89" s="445">
        <v>0</v>
      </c>
      <c r="AF89" s="445">
        <v>0</v>
      </c>
      <c r="AG89" s="445">
        <v>0</v>
      </c>
      <c r="AH89" s="445">
        <v>0</v>
      </c>
      <c r="AI89" s="444">
        <f>AJ89+AK89+AL89+AM89</f>
        <v>0</v>
      </c>
      <c r="AJ89" s="445">
        <v>0</v>
      </c>
      <c r="AK89" s="455">
        <v>0</v>
      </c>
      <c r="AL89" s="455">
        <v>0</v>
      </c>
      <c r="AM89" s="445">
        <v>0</v>
      </c>
      <c r="AN89" s="446">
        <f>E89+J89+O89+T89+Y89+AD89+AI89</f>
        <v>2002</v>
      </c>
      <c r="AO89" s="150">
        <f t="shared" si="68"/>
        <v>2002</v>
      </c>
      <c r="AP89" s="150">
        <f t="shared" si="69"/>
        <v>1001</v>
      </c>
      <c r="AQ89" s="150">
        <f t="shared" si="70"/>
        <v>545</v>
      </c>
      <c r="AR89" s="150">
        <f t="shared" si="71"/>
        <v>456</v>
      </c>
      <c r="AS89" s="150">
        <f t="shared" si="72"/>
        <v>0</v>
      </c>
      <c r="AT89" s="164"/>
      <c r="AU89" s="164"/>
      <c r="AV89" s="164"/>
      <c r="AW89" s="164"/>
      <c r="AX89" s="164"/>
      <c r="AY89" s="150">
        <f t="shared" si="74"/>
        <v>0</v>
      </c>
      <c r="AZ89" s="150">
        <f t="shared" si="75"/>
        <v>0</v>
      </c>
      <c r="BA89" s="150">
        <f t="shared" si="76"/>
        <v>0</v>
      </c>
      <c r="BB89" s="150">
        <f t="shared" si="77"/>
        <v>0</v>
      </c>
      <c r="BC89" s="150">
        <f t="shared" si="78"/>
        <v>0</v>
      </c>
      <c r="BD89" s="217"/>
    </row>
    <row r="90" spans="1:56" s="1" customFormat="1" ht="42" customHeight="1" outlineLevel="1" x14ac:dyDescent="0.35">
      <c r="A90" s="548" t="s">
        <v>146</v>
      </c>
      <c r="B90" s="549"/>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150">
        <f t="shared" si="68"/>
        <v>0</v>
      </c>
      <c r="AP90" s="150">
        <f t="shared" si="69"/>
        <v>0</v>
      </c>
      <c r="AQ90" s="150">
        <f t="shared" si="70"/>
        <v>0</v>
      </c>
      <c r="AR90" s="150">
        <f t="shared" si="71"/>
        <v>0</v>
      </c>
      <c r="AS90" s="150">
        <f t="shared" si="72"/>
        <v>0</v>
      </c>
      <c r="AT90" s="164"/>
      <c r="AU90" s="164"/>
      <c r="AV90" s="164"/>
      <c r="AW90" s="164"/>
      <c r="AX90" s="164"/>
      <c r="AY90" s="150">
        <f t="shared" si="74"/>
        <v>0</v>
      </c>
      <c r="AZ90" s="150">
        <f t="shared" si="75"/>
        <v>0</v>
      </c>
      <c r="BA90" s="150">
        <f t="shared" si="76"/>
        <v>0</v>
      </c>
      <c r="BB90" s="150">
        <f t="shared" si="77"/>
        <v>0</v>
      </c>
      <c r="BC90" s="150">
        <f t="shared" si="78"/>
        <v>0</v>
      </c>
      <c r="BD90" s="217"/>
    </row>
    <row r="91" spans="1:56" s="1" customFormat="1" ht="178.65" customHeight="1" outlineLevel="1" x14ac:dyDescent="0.35">
      <c r="A91" s="551">
        <v>55</v>
      </c>
      <c r="B91" s="178" t="s">
        <v>1309</v>
      </c>
      <c r="C91" s="554" t="s">
        <v>119</v>
      </c>
      <c r="D91" s="479" t="s">
        <v>37</v>
      </c>
      <c r="E91" s="445">
        <f t="shared" si="73"/>
        <v>0</v>
      </c>
      <c r="F91" s="445">
        <v>0</v>
      </c>
      <c r="G91" s="445">
        <v>0</v>
      </c>
      <c r="H91" s="445">
        <v>0</v>
      </c>
      <c r="I91" s="445">
        <v>0</v>
      </c>
      <c r="J91" s="456">
        <f t="shared" ref="J91:J93" si="79">K91+L91+M91+N91</f>
        <v>232258</v>
      </c>
      <c r="K91" s="445">
        <f>242058-9800</f>
        <v>232258</v>
      </c>
      <c r="L91" s="445">
        <v>0</v>
      </c>
      <c r="M91" s="445">
        <v>0</v>
      </c>
      <c r="N91" s="445">
        <v>0</v>
      </c>
      <c r="O91" s="456">
        <f t="shared" ref="O91:O93" si="80">P91+Q91+R91+S91</f>
        <v>221553</v>
      </c>
      <c r="P91" s="445">
        <v>221553</v>
      </c>
      <c r="Q91" s="445">
        <v>0</v>
      </c>
      <c r="R91" s="445">
        <v>0</v>
      </c>
      <c r="S91" s="445">
        <v>0</v>
      </c>
      <c r="T91" s="456">
        <f>U91+V91+W91+X91</f>
        <v>231853</v>
      </c>
      <c r="U91" s="445">
        <v>231853</v>
      </c>
      <c r="V91" s="445">
        <v>0</v>
      </c>
      <c r="W91" s="445">
        <v>0</v>
      </c>
      <c r="X91" s="445">
        <v>0</v>
      </c>
      <c r="Y91" s="456">
        <f t="shared" ref="Y91:Y93" si="81">Z91+AA91+AB91+AC91</f>
        <v>222560</v>
      </c>
      <c r="Z91" s="445">
        <v>222560</v>
      </c>
      <c r="AA91" s="445">
        <v>0</v>
      </c>
      <c r="AB91" s="445">
        <v>0</v>
      </c>
      <c r="AC91" s="445">
        <v>0</v>
      </c>
      <c r="AD91" s="457">
        <f>AE91+AF91+AG91+AH91</f>
        <v>216752</v>
      </c>
      <c r="AE91" s="458">
        <f>216752-AF91</f>
        <v>116752</v>
      </c>
      <c r="AF91" s="458">
        <v>100000</v>
      </c>
      <c r="AG91" s="458">
        <v>0</v>
      </c>
      <c r="AH91" s="458">
        <v>0</v>
      </c>
      <c r="AI91" s="444">
        <f>AJ91+AK91+AL91+AM91</f>
        <v>15237</v>
      </c>
      <c r="AJ91" s="445">
        <f>11647+1909+12953-7701-220-483-2868</f>
        <v>15237</v>
      </c>
      <c r="AK91" s="455">
        <v>0</v>
      </c>
      <c r="AL91" s="455">
        <v>0</v>
      </c>
      <c r="AM91" s="445">
        <v>0</v>
      </c>
      <c r="AN91" s="475">
        <f>E91+J91+O91+T91+Y91+AD91+AI91</f>
        <v>1140213</v>
      </c>
      <c r="AO91" s="150">
        <f t="shared" si="68"/>
        <v>1140213</v>
      </c>
      <c r="AP91" s="150">
        <f t="shared" si="69"/>
        <v>1040213</v>
      </c>
      <c r="AQ91" s="150">
        <f t="shared" si="70"/>
        <v>100000</v>
      </c>
      <c r="AR91" s="150">
        <f t="shared" si="71"/>
        <v>0</v>
      </c>
      <c r="AS91" s="150">
        <f t="shared" si="72"/>
        <v>0</v>
      </c>
      <c r="AT91" s="164"/>
      <c r="AU91" s="164"/>
      <c r="AV91" s="164"/>
      <c r="AW91" s="164"/>
      <c r="AX91" s="164"/>
      <c r="AY91" s="150"/>
      <c r="AZ91" s="150"/>
      <c r="BA91" s="150"/>
      <c r="BB91" s="150"/>
      <c r="BC91" s="150"/>
      <c r="BD91" s="217"/>
    </row>
    <row r="92" spans="1:56" s="1" customFormat="1" ht="271.95" customHeight="1" outlineLevel="1" x14ac:dyDescent="0.35">
      <c r="A92" s="552"/>
      <c r="B92" s="491" t="s">
        <v>1475</v>
      </c>
      <c r="C92" s="555"/>
      <c r="D92" s="478">
        <v>2020</v>
      </c>
      <c r="E92" s="445"/>
      <c r="F92" s="445"/>
      <c r="G92" s="445"/>
      <c r="H92" s="445"/>
      <c r="I92" s="445"/>
      <c r="J92" s="456"/>
      <c r="K92" s="445"/>
      <c r="L92" s="445"/>
      <c r="M92" s="445"/>
      <c r="N92" s="445"/>
      <c r="O92" s="456"/>
      <c r="P92" s="445"/>
      <c r="Q92" s="445"/>
      <c r="R92" s="445"/>
      <c r="S92" s="445"/>
      <c r="T92" s="456"/>
      <c r="U92" s="445"/>
      <c r="V92" s="445"/>
      <c r="W92" s="445"/>
      <c r="X92" s="445"/>
      <c r="Y92" s="456"/>
      <c r="Z92" s="445"/>
      <c r="AA92" s="445"/>
      <c r="AB92" s="445"/>
      <c r="AC92" s="445"/>
      <c r="AD92" s="457"/>
      <c r="AE92" s="458"/>
      <c r="AF92" s="458"/>
      <c r="AG92" s="458"/>
      <c r="AH92" s="458"/>
      <c r="AI92" s="444">
        <f>AJ92+AK92+AL92+AM92</f>
        <v>40629</v>
      </c>
      <c r="AJ92" s="445">
        <f>186.9+220+0.1</f>
        <v>407</v>
      </c>
      <c r="AK92" s="455">
        <f>18508+21713.5+0.5</f>
        <v>40222</v>
      </c>
      <c r="AL92" s="455"/>
      <c r="AM92" s="445"/>
      <c r="AN92" s="475">
        <f>E92+J92+O92+T92+Y92+AD92+AI92</f>
        <v>40629</v>
      </c>
      <c r="AO92" s="150">
        <f t="shared" si="68"/>
        <v>40629</v>
      </c>
      <c r="AP92" s="150">
        <f t="shared" si="69"/>
        <v>407</v>
      </c>
      <c r="AQ92" s="150">
        <f t="shared" si="70"/>
        <v>40222</v>
      </c>
      <c r="AR92" s="150">
        <f t="shared" si="71"/>
        <v>0</v>
      </c>
      <c r="AS92" s="150">
        <f t="shared" si="72"/>
        <v>0</v>
      </c>
      <c r="AT92" s="164"/>
      <c r="AU92" s="164"/>
      <c r="AV92" s="164"/>
      <c r="AW92" s="164"/>
      <c r="AX92" s="164"/>
      <c r="AY92" s="150"/>
      <c r="AZ92" s="150"/>
      <c r="BA92" s="150"/>
      <c r="BB92" s="150"/>
      <c r="BC92" s="150"/>
      <c r="BD92" s="217"/>
    </row>
    <row r="93" spans="1:56" s="1" customFormat="1" ht="132" customHeight="1" outlineLevel="1" x14ac:dyDescent="0.35">
      <c r="A93" s="553"/>
      <c r="B93" s="179" t="s">
        <v>1285</v>
      </c>
      <c r="C93" s="556"/>
      <c r="D93" s="478">
        <v>2020</v>
      </c>
      <c r="E93" s="445">
        <f t="shared" si="73"/>
        <v>0</v>
      </c>
      <c r="F93" s="445">
        <v>0</v>
      </c>
      <c r="G93" s="445">
        <v>0</v>
      </c>
      <c r="H93" s="445">
        <v>0</v>
      </c>
      <c r="I93" s="445">
        <v>0</v>
      </c>
      <c r="J93" s="445">
        <f t="shared" si="79"/>
        <v>0</v>
      </c>
      <c r="K93" s="445">
        <v>0</v>
      </c>
      <c r="L93" s="445">
        <v>0</v>
      </c>
      <c r="M93" s="445">
        <v>0</v>
      </c>
      <c r="N93" s="445">
        <v>0</v>
      </c>
      <c r="O93" s="445">
        <f t="shared" si="80"/>
        <v>0</v>
      </c>
      <c r="P93" s="445">
        <v>0</v>
      </c>
      <c r="Q93" s="445">
        <v>0</v>
      </c>
      <c r="R93" s="445">
        <v>0</v>
      </c>
      <c r="S93" s="445">
        <v>0</v>
      </c>
      <c r="T93" s="445">
        <f>U93+V93+W93+X93</f>
        <v>0</v>
      </c>
      <c r="U93" s="445">
        <v>0</v>
      </c>
      <c r="V93" s="445">
        <v>0</v>
      </c>
      <c r="W93" s="445">
        <v>0</v>
      </c>
      <c r="X93" s="445">
        <v>0</v>
      </c>
      <c r="Y93" s="445">
        <f t="shared" si="81"/>
        <v>0</v>
      </c>
      <c r="Z93" s="445">
        <v>0</v>
      </c>
      <c r="AA93" s="445">
        <v>0</v>
      </c>
      <c r="AB93" s="445">
        <v>0</v>
      </c>
      <c r="AC93" s="445">
        <v>0</v>
      </c>
      <c r="AD93" s="445">
        <f>AE93+AF93+AG93+AH93</f>
        <v>0</v>
      </c>
      <c r="AE93" s="445">
        <v>0</v>
      </c>
      <c r="AF93" s="445">
        <v>0</v>
      </c>
      <c r="AG93" s="445">
        <v>0</v>
      </c>
      <c r="AH93" s="445">
        <v>0</v>
      </c>
      <c r="AI93" s="444">
        <f>AJ93+AK93+AL93+AM93</f>
        <v>196880</v>
      </c>
      <c r="AJ93" s="445">
        <v>196880</v>
      </c>
      <c r="AK93" s="455">
        <v>0</v>
      </c>
      <c r="AL93" s="455">
        <v>0</v>
      </c>
      <c r="AM93" s="445">
        <v>0</v>
      </c>
      <c r="AN93" s="475">
        <f>E93+J93+O93+T93+Y93+AD93+AI93</f>
        <v>196880</v>
      </c>
      <c r="AO93" s="150">
        <f t="shared" si="68"/>
        <v>196880</v>
      </c>
      <c r="AP93" s="150">
        <f t="shared" si="69"/>
        <v>196880</v>
      </c>
      <c r="AQ93" s="150">
        <f t="shared" si="70"/>
        <v>0</v>
      </c>
      <c r="AR93" s="150">
        <f t="shared" si="71"/>
        <v>0</v>
      </c>
      <c r="AS93" s="150">
        <f t="shared" si="72"/>
        <v>0</v>
      </c>
      <c r="AT93" s="164"/>
      <c r="AU93" s="164"/>
      <c r="AV93" s="164"/>
      <c r="AW93" s="164"/>
      <c r="AX93" s="164"/>
      <c r="AY93" s="150"/>
      <c r="AZ93" s="150"/>
      <c r="BA93" s="150"/>
      <c r="BB93" s="150"/>
      <c r="BC93" s="150"/>
      <c r="BD93" s="217"/>
    </row>
    <row r="94" spans="1:56" s="1" customFormat="1" ht="42" customHeight="1" outlineLevel="1" x14ac:dyDescent="0.35">
      <c r="A94" s="547" t="s">
        <v>79</v>
      </c>
      <c r="B94" s="550"/>
      <c r="C94" s="547"/>
      <c r="D94" s="547"/>
      <c r="E94" s="547"/>
      <c r="F94" s="547"/>
      <c r="G94" s="547"/>
      <c r="H94" s="547"/>
      <c r="I94" s="547"/>
      <c r="J94" s="547"/>
      <c r="K94" s="547"/>
      <c r="L94" s="547"/>
      <c r="M94" s="547"/>
      <c r="N94" s="547"/>
      <c r="O94" s="547"/>
      <c r="P94" s="547"/>
      <c r="Q94" s="547"/>
      <c r="R94" s="547"/>
      <c r="S94" s="547"/>
      <c r="T94" s="547"/>
      <c r="U94" s="547"/>
      <c r="V94" s="547"/>
      <c r="W94" s="547"/>
      <c r="X94" s="547"/>
      <c r="Y94" s="547"/>
      <c r="Z94" s="547"/>
      <c r="AA94" s="547"/>
      <c r="AB94" s="547"/>
      <c r="AC94" s="547"/>
      <c r="AD94" s="547"/>
      <c r="AE94" s="547"/>
      <c r="AF94" s="547"/>
      <c r="AG94" s="547"/>
      <c r="AH94" s="547"/>
      <c r="AI94" s="547"/>
      <c r="AJ94" s="547"/>
      <c r="AK94" s="547"/>
      <c r="AL94" s="547"/>
      <c r="AM94" s="547"/>
      <c r="AN94" s="547"/>
      <c r="AO94" s="150">
        <f t="shared" si="68"/>
        <v>0</v>
      </c>
      <c r="AP94" s="150">
        <f t="shared" si="69"/>
        <v>0</v>
      </c>
      <c r="AQ94" s="150">
        <f t="shared" si="70"/>
        <v>0</v>
      </c>
      <c r="AR94" s="150">
        <f t="shared" si="71"/>
        <v>0</v>
      </c>
      <c r="AS94" s="150">
        <f t="shared" si="72"/>
        <v>0</v>
      </c>
      <c r="AT94" s="164"/>
      <c r="AU94" s="164"/>
      <c r="AV94" s="164"/>
      <c r="AW94" s="164"/>
      <c r="AX94" s="164"/>
      <c r="AY94" s="150"/>
      <c r="AZ94" s="150"/>
      <c r="BA94" s="150"/>
      <c r="BB94" s="150"/>
      <c r="BC94" s="150"/>
      <c r="BD94" s="217"/>
    </row>
    <row r="95" spans="1:56" s="1" customFormat="1" ht="112.95" customHeight="1" outlineLevel="1" x14ac:dyDescent="0.35">
      <c r="A95" s="532">
        <v>56</v>
      </c>
      <c r="B95" s="180" t="s">
        <v>122</v>
      </c>
      <c r="C95" s="537" t="s">
        <v>119</v>
      </c>
      <c r="D95" s="535" t="s">
        <v>124</v>
      </c>
      <c r="E95" s="441">
        <f t="shared" si="73"/>
        <v>0</v>
      </c>
      <c r="F95" s="459">
        <v>0</v>
      </c>
      <c r="G95" s="459">
        <v>0</v>
      </c>
      <c r="H95" s="459">
        <v>0</v>
      </c>
      <c r="I95" s="448">
        <v>0</v>
      </c>
      <c r="J95" s="441">
        <f t="shared" ref="J95" si="82">K95+L95+M95+N95</f>
        <v>0</v>
      </c>
      <c r="K95" s="459">
        <v>0</v>
      </c>
      <c r="L95" s="459">
        <v>0</v>
      </c>
      <c r="M95" s="459">
        <v>0</v>
      </c>
      <c r="N95" s="448">
        <v>0</v>
      </c>
      <c r="O95" s="441">
        <f t="shared" ref="O95" si="83">P95+Q95+R95+S95</f>
        <v>0</v>
      </c>
      <c r="P95" s="459">
        <v>0</v>
      </c>
      <c r="Q95" s="459">
        <v>0</v>
      </c>
      <c r="R95" s="459">
        <v>0</v>
      </c>
      <c r="S95" s="448">
        <v>0</v>
      </c>
      <c r="T95" s="441">
        <f t="shared" ref="T95" si="84">U95+V95+W95+X95</f>
        <v>228156</v>
      </c>
      <c r="U95" s="445">
        <v>73022</v>
      </c>
      <c r="V95" s="445">
        <v>155134</v>
      </c>
      <c r="W95" s="445">
        <v>0</v>
      </c>
      <c r="X95" s="445">
        <v>0</v>
      </c>
      <c r="Y95" s="441">
        <f t="shared" ref="Y95" si="85">Z95+AA95+AB95+AC95</f>
        <v>74622</v>
      </c>
      <c r="Z95" s="445">
        <v>74622</v>
      </c>
      <c r="AA95" s="445">
        <v>0</v>
      </c>
      <c r="AB95" s="445">
        <v>0</v>
      </c>
      <c r="AC95" s="445">
        <v>0</v>
      </c>
      <c r="AD95" s="441">
        <f t="shared" ref="AD95" si="86">AE95+AF95+AG95+AH95</f>
        <v>74718</v>
      </c>
      <c r="AE95" s="445">
        <v>5041</v>
      </c>
      <c r="AF95" s="445">
        <v>69677</v>
      </c>
      <c r="AG95" s="445">
        <v>0</v>
      </c>
      <c r="AH95" s="445">
        <v>0</v>
      </c>
      <c r="AI95" s="444">
        <f>AJ95+AK95+AL95+AM95</f>
        <v>0</v>
      </c>
      <c r="AJ95" s="445">
        <v>0</v>
      </c>
      <c r="AK95" s="455">
        <v>0</v>
      </c>
      <c r="AL95" s="455">
        <v>0</v>
      </c>
      <c r="AM95" s="445">
        <v>0</v>
      </c>
      <c r="AN95" s="446">
        <f t="shared" ref="AN95:AN101" si="87">E95+J95+O95+T95+Y95+AD95+AI95</f>
        <v>377496</v>
      </c>
      <c r="AO95" s="150">
        <f t="shared" si="68"/>
        <v>377496</v>
      </c>
      <c r="AP95" s="150">
        <f t="shared" si="69"/>
        <v>152685</v>
      </c>
      <c r="AQ95" s="150">
        <f t="shared" si="70"/>
        <v>224811</v>
      </c>
      <c r="AR95" s="150">
        <f t="shared" si="71"/>
        <v>0</v>
      </c>
      <c r="AS95" s="150">
        <f t="shared" si="72"/>
        <v>0</v>
      </c>
      <c r="AT95" s="164"/>
      <c r="AU95" s="164"/>
      <c r="AV95" s="164"/>
      <c r="AW95" s="164"/>
      <c r="AX95" s="164"/>
      <c r="AY95" s="150"/>
      <c r="AZ95" s="150"/>
      <c r="BA95" s="150"/>
      <c r="BB95" s="150"/>
      <c r="BC95" s="150"/>
      <c r="BD95" s="217"/>
    </row>
    <row r="96" spans="1:56" s="1" customFormat="1" ht="102" customHeight="1" outlineLevel="1" x14ac:dyDescent="0.35">
      <c r="A96" s="532">
        <v>57</v>
      </c>
      <c r="B96" s="533" t="s">
        <v>40</v>
      </c>
      <c r="C96" s="537" t="s">
        <v>119</v>
      </c>
      <c r="D96" s="535">
        <v>2014</v>
      </c>
      <c r="E96" s="441">
        <f t="shared" si="73"/>
        <v>162580</v>
      </c>
      <c r="F96" s="445">
        <v>81290</v>
      </c>
      <c r="G96" s="445">
        <v>44246</v>
      </c>
      <c r="H96" s="445">
        <v>37044</v>
      </c>
      <c r="I96" s="445">
        <v>0</v>
      </c>
      <c r="J96" s="441">
        <f t="shared" ref="J96:J100" si="88">K96+L96+M96+N96</f>
        <v>0</v>
      </c>
      <c r="K96" s="459">
        <v>0</v>
      </c>
      <c r="L96" s="459">
        <v>0</v>
      </c>
      <c r="M96" s="459">
        <v>0</v>
      </c>
      <c r="N96" s="448">
        <v>0</v>
      </c>
      <c r="O96" s="441">
        <f t="shared" ref="O96:O100" si="89">P96+Q96+R96+S96</f>
        <v>0</v>
      </c>
      <c r="P96" s="459">
        <v>0</v>
      </c>
      <c r="Q96" s="459">
        <v>0</v>
      </c>
      <c r="R96" s="459">
        <v>0</v>
      </c>
      <c r="S96" s="448">
        <v>0</v>
      </c>
      <c r="T96" s="441">
        <f t="shared" ref="T96:T100" si="90">U96+V96+W96+X96</f>
        <v>0</v>
      </c>
      <c r="U96" s="459">
        <v>0</v>
      </c>
      <c r="V96" s="459">
        <v>0</v>
      </c>
      <c r="W96" s="459">
        <v>0</v>
      </c>
      <c r="X96" s="448">
        <v>0</v>
      </c>
      <c r="Y96" s="441">
        <f t="shared" ref="Y96:Y100" si="91">Z96+AA96+AB96+AC96</f>
        <v>0</v>
      </c>
      <c r="Z96" s="459">
        <v>0</v>
      </c>
      <c r="AA96" s="459">
        <v>0</v>
      </c>
      <c r="AB96" s="459">
        <v>0</v>
      </c>
      <c r="AC96" s="448">
        <v>0</v>
      </c>
      <c r="AD96" s="441">
        <f t="shared" ref="AD96:AD100" si="92">AE96+AF96+AG96+AH96</f>
        <v>0</v>
      </c>
      <c r="AE96" s="459">
        <v>0</v>
      </c>
      <c r="AF96" s="459">
        <v>0</v>
      </c>
      <c r="AG96" s="459">
        <v>0</v>
      </c>
      <c r="AH96" s="448">
        <v>0</v>
      </c>
      <c r="AI96" s="444">
        <f t="shared" ref="AI96:AI101" si="93">AJ96+AK96+AL96+AM96</f>
        <v>0</v>
      </c>
      <c r="AJ96" s="459">
        <v>0</v>
      </c>
      <c r="AK96" s="460">
        <v>0</v>
      </c>
      <c r="AL96" s="460">
        <v>0</v>
      </c>
      <c r="AM96" s="448">
        <v>0</v>
      </c>
      <c r="AN96" s="446">
        <f t="shared" si="87"/>
        <v>162580</v>
      </c>
      <c r="AO96" s="150">
        <f t="shared" si="68"/>
        <v>162580</v>
      </c>
      <c r="AP96" s="150">
        <f t="shared" si="69"/>
        <v>81290</v>
      </c>
      <c r="AQ96" s="150">
        <f t="shared" si="70"/>
        <v>44246</v>
      </c>
      <c r="AR96" s="150">
        <f t="shared" si="71"/>
        <v>37044</v>
      </c>
      <c r="AS96" s="150">
        <f t="shared" si="72"/>
        <v>0</v>
      </c>
      <c r="AT96" s="164"/>
      <c r="AU96" s="164"/>
      <c r="AV96" s="164"/>
      <c r="AW96" s="164"/>
      <c r="AX96" s="164"/>
      <c r="AY96" s="150"/>
      <c r="AZ96" s="150"/>
      <c r="BA96" s="150"/>
      <c r="BB96" s="150"/>
      <c r="BC96" s="150"/>
      <c r="BD96" s="217"/>
    </row>
    <row r="97" spans="1:56" s="1" customFormat="1" ht="103.35" customHeight="1" outlineLevel="1" x14ac:dyDescent="0.35">
      <c r="A97" s="532">
        <v>58</v>
      </c>
      <c r="B97" s="533" t="s">
        <v>61</v>
      </c>
      <c r="C97" s="537" t="s">
        <v>119</v>
      </c>
      <c r="D97" s="535">
        <v>2020</v>
      </c>
      <c r="E97" s="441">
        <f t="shared" si="73"/>
        <v>0</v>
      </c>
      <c r="F97" s="459">
        <v>0</v>
      </c>
      <c r="G97" s="459">
        <v>0</v>
      </c>
      <c r="H97" s="459">
        <v>0</v>
      </c>
      <c r="I97" s="448">
        <v>0</v>
      </c>
      <c r="J97" s="441">
        <f t="shared" si="88"/>
        <v>0</v>
      </c>
      <c r="K97" s="459">
        <v>0</v>
      </c>
      <c r="L97" s="459">
        <v>0</v>
      </c>
      <c r="M97" s="459">
        <v>0</v>
      </c>
      <c r="N97" s="448">
        <v>0</v>
      </c>
      <c r="O97" s="441">
        <f t="shared" si="89"/>
        <v>0</v>
      </c>
      <c r="P97" s="459">
        <v>0</v>
      </c>
      <c r="Q97" s="459">
        <v>0</v>
      </c>
      <c r="R97" s="459">
        <v>0</v>
      </c>
      <c r="S97" s="448">
        <v>0</v>
      </c>
      <c r="T97" s="441">
        <f t="shared" si="90"/>
        <v>0</v>
      </c>
      <c r="U97" s="459">
        <v>0</v>
      </c>
      <c r="V97" s="459">
        <v>0</v>
      </c>
      <c r="W97" s="459">
        <v>0</v>
      </c>
      <c r="X97" s="445">
        <v>0</v>
      </c>
      <c r="Y97" s="441">
        <f t="shared" si="91"/>
        <v>0</v>
      </c>
      <c r="Z97" s="459">
        <v>0</v>
      </c>
      <c r="AA97" s="459">
        <v>0</v>
      </c>
      <c r="AB97" s="459">
        <v>0</v>
      </c>
      <c r="AC97" s="445">
        <v>0</v>
      </c>
      <c r="AD97" s="441">
        <f t="shared" si="92"/>
        <v>0</v>
      </c>
      <c r="AE97" s="461">
        <v>0</v>
      </c>
      <c r="AF97" s="459">
        <v>0</v>
      </c>
      <c r="AG97" s="459">
        <v>0</v>
      </c>
      <c r="AH97" s="445">
        <v>0</v>
      </c>
      <c r="AI97" s="444">
        <f t="shared" si="93"/>
        <v>0</v>
      </c>
      <c r="AJ97" s="448">
        <v>0</v>
      </c>
      <c r="AK97" s="451">
        <v>0</v>
      </c>
      <c r="AL97" s="451">
        <v>0</v>
      </c>
      <c r="AM97" s="445">
        <v>0</v>
      </c>
      <c r="AN97" s="446">
        <f t="shared" si="87"/>
        <v>0</v>
      </c>
      <c r="AO97" s="150">
        <f t="shared" si="68"/>
        <v>0</v>
      </c>
      <c r="AP97" s="150">
        <f t="shared" si="69"/>
        <v>0</v>
      </c>
      <c r="AQ97" s="150">
        <f t="shared" si="70"/>
        <v>0</v>
      </c>
      <c r="AR97" s="150">
        <f t="shared" si="71"/>
        <v>0</v>
      </c>
      <c r="AS97" s="150">
        <f t="shared" si="72"/>
        <v>0</v>
      </c>
      <c r="AT97" s="164"/>
      <c r="AU97" s="164"/>
      <c r="AV97" s="164"/>
      <c r="AW97" s="164"/>
      <c r="AX97" s="164"/>
      <c r="AY97" s="150"/>
      <c r="AZ97" s="150"/>
      <c r="BA97" s="150"/>
      <c r="BB97" s="150"/>
      <c r="BC97" s="150"/>
      <c r="BD97" s="217"/>
    </row>
    <row r="98" spans="1:56" s="1" customFormat="1" ht="109.35" customHeight="1" outlineLevel="1" x14ac:dyDescent="0.35">
      <c r="A98" s="532">
        <v>59</v>
      </c>
      <c r="B98" s="533" t="s">
        <v>62</v>
      </c>
      <c r="C98" s="537" t="s">
        <v>120</v>
      </c>
      <c r="D98" s="535" t="s">
        <v>41</v>
      </c>
      <c r="E98" s="441">
        <f t="shared" si="73"/>
        <v>77614.100000000006</v>
      </c>
      <c r="F98" s="459">
        <v>38113.9</v>
      </c>
      <c r="G98" s="448">
        <v>0</v>
      </c>
      <c r="H98" s="448">
        <v>0</v>
      </c>
      <c r="I98" s="448">
        <v>39500.199999999997</v>
      </c>
      <c r="J98" s="441">
        <f t="shared" si="88"/>
        <v>71572.399999999994</v>
      </c>
      <c r="K98" s="462">
        <v>35079.300000000003</v>
      </c>
      <c r="L98" s="461">
        <v>0</v>
      </c>
      <c r="M98" s="461">
        <v>0</v>
      </c>
      <c r="N98" s="462">
        <v>36493.1</v>
      </c>
      <c r="O98" s="441">
        <f t="shared" si="89"/>
        <v>67926</v>
      </c>
      <c r="P98" s="445">
        <v>33289.9</v>
      </c>
      <c r="Q98" s="445">
        <v>0</v>
      </c>
      <c r="R98" s="445">
        <v>0</v>
      </c>
      <c r="S98" s="445">
        <v>34636.1</v>
      </c>
      <c r="T98" s="441">
        <f t="shared" si="90"/>
        <v>70586.100000000006</v>
      </c>
      <c r="U98" s="445">
        <v>34571.599999999999</v>
      </c>
      <c r="V98" s="445">
        <v>0</v>
      </c>
      <c r="W98" s="445">
        <v>0</v>
      </c>
      <c r="X98" s="445">
        <v>36014.5</v>
      </c>
      <c r="Y98" s="441">
        <f t="shared" si="91"/>
        <v>0</v>
      </c>
      <c r="Z98" s="459">
        <v>0</v>
      </c>
      <c r="AA98" s="459">
        <v>0</v>
      </c>
      <c r="AB98" s="461">
        <v>0</v>
      </c>
      <c r="AC98" s="462">
        <v>0</v>
      </c>
      <c r="AD98" s="441">
        <f t="shared" si="92"/>
        <v>0</v>
      </c>
      <c r="AE98" s="461">
        <v>0</v>
      </c>
      <c r="AF98" s="445">
        <v>0</v>
      </c>
      <c r="AG98" s="445">
        <v>0</v>
      </c>
      <c r="AH98" s="445">
        <v>0</v>
      </c>
      <c r="AI98" s="444">
        <f t="shared" si="93"/>
        <v>0</v>
      </c>
      <c r="AJ98" s="461">
        <v>0</v>
      </c>
      <c r="AK98" s="455">
        <v>0</v>
      </c>
      <c r="AL98" s="455">
        <v>0</v>
      </c>
      <c r="AM98" s="445">
        <v>0</v>
      </c>
      <c r="AN98" s="446">
        <f t="shared" si="87"/>
        <v>287698.59999999998</v>
      </c>
      <c r="AO98" s="150">
        <f t="shared" si="68"/>
        <v>287698.59999999998</v>
      </c>
      <c r="AP98" s="150">
        <f t="shared" si="69"/>
        <v>141054.70000000001</v>
      </c>
      <c r="AQ98" s="150">
        <f t="shared" si="70"/>
        <v>0</v>
      </c>
      <c r="AR98" s="150">
        <f t="shared" si="71"/>
        <v>0</v>
      </c>
      <c r="AS98" s="150">
        <f t="shared" si="72"/>
        <v>146643.9</v>
      </c>
      <c r="AT98" s="164"/>
      <c r="AU98" s="164"/>
      <c r="AV98" s="164"/>
      <c r="AW98" s="164"/>
      <c r="AX98" s="164"/>
      <c r="AY98" s="150"/>
      <c r="AZ98" s="150"/>
      <c r="BA98" s="150"/>
      <c r="BB98" s="150"/>
      <c r="BC98" s="150"/>
      <c r="BD98" s="217"/>
    </row>
    <row r="99" spans="1:56" s="1" customFormat="1" ht="104.4" customHeight="1" outlineLevel="1" x14ac:dyDescent="0.35">
      <c r="A99" s="532">
        <v>60</v>
      </c>
      <c r="B99" s="533" t="s">
        <v>90</v>
      </c>
      <c r="C99" s="537" t="s">
        <v>119</v>
      </c>
      <c r="D99" s="535">
        <v>2014</v>
      </c>
      <c r="E99" s="441">
        <f t="shared" si="73"/>
        <v>264435</v>
      </c>
      <c r="F99" s="459">
        <v>5185</v>
      </c>
      <c r="G99" s="448">
        <v>106750</v>
      </c>
      <c r="H99" s="448">
        <v>152500</v>
      </c>
      <c r="I99" s="448">
        <v>0</v>
      </c>
      <c r="J99" s="441">
        <f t="shared" si="88"/>
        <v>0</v>
      </c>
      <c r="K99" s="462">
        <v>0</v>
      </c>
      <c r="L99" s="461">
        <v>0</v>
      </c>
      <c r="M99" s="461">
        <v>0</v>
      </c>
      <c r="N99" s="462">
        <v>0</v>
      </c>
      <c r="O99" s="441">
        <f t="shared" si="89"/>
        <v>0</v>
      </c>
      <c r="P99" s="445">
        <v>0</v>
      </c>
      <c r="Q99" s="445">
        <v>0</v>
      </c>
      <c r="R99" s="445">
        <v>0</v>
      </c>
      <c r="S99" s="445">
        <v>0</v>
      </c>
      <c r="T99" s="441">
        <f t="shared" si="90"/>
        <v>0</v>
      </c>
      <c r="U99" s="445">
        <v>0</v>
      </c>
      <c r="V99" s="445">
        <v>0</v>
      </c>
      <c r="W99" s="445">
        <v>0</v>
      </c>
      <c r="X99" s="445">
        <v>0</v>
      </c>
      <c r="Y99" s="441">
        <f t="shared" si="91"/>
        <v>0</v>
      </c>
      <c r="Z99" s="461">
        <v>0</v>
      </c>
      <c r="AA99" s="461">
        <v>0</v>
      </c>
      <c r="AB99" s="461">
        <v>0</v>
      </c>
      <c r="AC99" s="462">
        <v>0</v>
      </c>
      <c r="AD99" s="441">
        <f t="shared" si="92"/>
        <v>0</v>
      </c>
      <c r="AE99" s="461">
        <v>0</v>
      </c>
      <c r="AF99" s="445">
        <v>0</v>
      </c>
      <c r="AG99" s="445">
        <v>0</v>
      </c>
      <c r="AH99" s="445">
        <v>0</v>
      </c>
      <c r="AI99" s="444">
        <f t="shared" si="93"/>
        <v>0</v>
      </c>
      <c r="AJ99" s="461">
        <v>0</v>
      </c>
      <c r="AK99" s="455">
        <v>0</v>
      </c>
      <c r="AL99" s="455">
        <v>0</v>
      </c>
      <c r="AM99" s="445">
        <v>0</v>
      </c>
      <c r="AN99" s="446">
        <f t="shared" si="87"/>
        <v>264435</v>
      </c>
      <c r="AO99" s="150">
        <f t="shared" si="68"/>
        <v>264435</v>
      </c>
      <c r="AP99" s="150">
        <f t="shared" si="69"/>
        <v>5185</v>
      </c>
      <c r="AQ99" s="150">
        <f t="shared" si="70"/>
        <v>106750</v>
      </c>
      <c r="AR99" s="150">
        <f t="shared" si="71"/>
        <v>152500</v>
      </c>
      <c r="AS99" s="150">
        <f t="shared" si="72"/>
        <v>0</v>
      </c>
      <c r="AT99" s="164"/>
      <c r="AU99" s="164"/>
      <c r="AV99" s="164"/>
      <c r="AW99" s="164"/>
      <c r="AX99" s="164"/>
      <c r="AY99" s="150"/>
      <c r="AZ99" s="150"/>
      <c r="BA99" s="150"/>
      <c r="BB99" s="150"/>
      <c r="BC99" s="150"/>
      <c r="BD99" s="217"/>
    </row>
    <row r="100" spans="1:56" s="8" customFormat="1" ht="147" customHeight="1" outlineLevel="1" x14ac:dyDescent="0.35">
      <c r="A100" s="544">
        <v>61</v>
      </c>
      <c r="B100" s="184" t="s">
        <v>1476</v>
      </c>
      <c r="C100" s="567" t="s">
        <v>119</v>
      </c>
      <c r="D100" s="535" t="s">
        <v>37</v>
      </c>
      <c r="E100" s="441">
        <f t="shared" si="73"/>
        <v>0</v>
      </c>
      <c r="F100" s="459">
        <v>0</v>
      </c>
      <c r="G100" s="448">
        <v>0</v>
      </c>
      <c r="H100" s="448">
        <v>0</v>
      </c>
      <c r="I100" s="448">
        <v>0</v>
      </c>
      <c r="J100" s="441">
        <f t="shared" si="88"/>
        <v>269280</v>
      </c>
      <c r="K100" s="462">
        <v>5280</v>
      </c>
      <c r="L100" s="461">
        <v>114000</v>
      </c>
      <c r="M100" s="461">
        <v>150000</v>
      </c>
      <c r="N100" s="462">
        <v>0</v>
      </c>
      <c r="O100" s="441">
        <f t="shared" si="89"/>
        <v>72773.8</v>
      </c>
      <c r="P100" s="445">
        <v>72773.8</v>
      </c>
      <c r="Q100" s="445">
        <v>0</v>
      </c>
      <c r="R100" s="445">
        <v>0</v>
      </c>
      <c r="S100" s="445">
        <v>0</v>
      </c>
      <c r="T100" s="441">
        <f t="shared" si="90"/>
        <v>97031.7</v>
      </c>
      <c r="U100" s="445">
        <v>97031.7</v>
      </c>
      <c r="V100" s="445">
        <v>0</v>
      </c>
      <c r="W100" s="445">
        <v>0</v>
      </c>
      <c r="X100" s="445">
        <v>0</v>
      </c>
      <c r="Y100" s="441">
        <f t="shared" si="91"/>
        <v>97032</v>
      </c>
      <c r="Z100" s="461">
        <v>97032</v>
      </c>
      <c r="AA100" s="461">
        <v>0</v>
      </c>
      <c r="AB100" s="461">
        <v>0</v>
      </c>
      <c r="AC100" s="462">
        <v>0</v>
      </c>
      <c r="AD100" s="441">
        <f t="shared" si="92"/>
        <v>97032</v>
      </c>
      <c r="AE100" s="461">
        <v>97032</v>
      </c>
      <c r="AF100" s="445">
        <v>0</v>
      </c>
      <c r="AG100" s="445">
        <v>0</v>
      </c>
      <c r="AH100" s="445">
        <v>0</v>
      </c>
      <c r="AI100" s="444">
        <f t="shared" si="93"/>
        <v>80931</v>
      </c>
      <c r="AJ100" s="461">
        <v>80931</v>
      </c>
      <c r="AK100" s="455">
        <v>0</v>
      </c>
      <c r="AL100" s="455">
        <v>0</v>
      </c>
      <c r="AM100" s="445">
        <v>0</v>
      </c>
      <c r="AN100" s="446">
        <f t="shared" si="87"/>
        <v>714080.5</v>
      </c>
      <c r="AO100" s="150">
        <f t="shared" si="68"/>
        <v>714080.5</v>
      </c>
      <c r="AP100" s="150">
        <f t="shared" si="69"/>
        <v>450080.5</v>
      </c>
      <c r="AQ100" s="150">
        <f t="shared" si="70"/>
        <v>114000</v>
      </c>
      <c r="AR100" s="150">
        <f t="shared" si="71"/>
        <v>150000</v>
      </c>
      <c r="AS100" s="150">
        <f t="shared" si="72"/>
        <v>0</v>
      </c>
      <c r="AT100" s="164"/>
      <c r="AU100" s="164"/>
      <c r="AV100" s="164"/>
      <c r="AW100" s="164"/>
      <c r="AX100" s="164"/>
      <c r="AY100" s="150"/>
      <c r="AZ100" s="150"/>
      <c r="BA100" s="150"/>
      <c r="BB100" s="150"/>
      <c r="BC100" s="150"/>
      <c r="BD100" s="226"/>
    </row>
    <row r="101" spans="1:56" s="8" customFormat="1" ht="241.2" customHeight="1" outlineLevel="1" x14ac:dyDescent="0.35">
      <c r="A101" s="545"/>
      <c r="B101" s="183" t="s">
        <v>1477</v>
      </c>
      <c r="C101" s="568"/>
      <c r="D101" s="535">
        <v>2020</v>
      </c>
      <c r="E101" s="441"/>
      <c r="F101" s="459"/>
      <c r="G101" s="448"/>
      <c r="H101" s="448"/>
      <c r="I101" s="448"/>
      <c r="J101" s="441"/>
      <c r="K101" s="462"/>
      <c r="L101" s="461"/>
      <c r="M101" s="461"/>
      <c r="N101" s="462"/>
      <c r="O101" s="441"/>
      <c r="P101" s="445"/>
      <c r="Q101" s="445"/>
      <c r="R101" s="445"/>
      <c r="S101" s="445"/>
      <c r="T101" s="441"/>
      <c r="U101" s="445"/>
      <c r="V101" s="445"/>
      <c r="W101" s="445"/>
      <c r="X101" s="445"/>
      <c r="Y101" s="441"/>
      <c r="Z101" s="461"/>
      <c r="AA101" s="461"/>
      <c r="AB101" s="461"/>
      <c r="AC101" s="462"/>
      <c r="AD101" s="441"/>
      <c r="AE101" s="461"/>
      <c r="AF101" s="445"/>
      <c r="AG101" s="445"/>
      <c r="AH101" s="445"/>
      <c r="AI101" s="444">
        <f t="shared" si="93"/>
        <v>19017</v>
      </c>
      <c r="AJ101" s="461">
        <v>190</v>
      </c>
      <c r="AK101" s="455">
        <f>18826.6+0.4</f>
        <v>18827</v>
      </c>
      <c r="AL101" s="455"/>
      <c r="AM101" s="445"/>
      <c r="AN101" s="446">
        <f t="shared" si="87"/>
        <v>19017</v>
      </c>
      <c r="AO101" s="150">
        <f t="shared" si="68"/>
        <v>19017</v>
      </c>
      <c r="AP101" s="150">
        <f t="shared" si="69"/>
        <v>190</v>
      </c>
      <c r="AQ101" s="150">
        <f t="shared" si="70"/>
        <v>18827</v>
      </c>
      <c r="AR101" s="150">
        <f t="shared" si="71"/>
        <v>0</v>
      </c>
      <c r="AS101" s="150">
        <f t="shared" si="72"/>
        <v>0</v>
      </c>
      <c r="AT101" s="164"/>
      <c r="AU101" s="164"/>
      <c r="AV101" s="164"/>
      <c r="AW101" s="164"/>
      <c r="AX101" s="164"/>
      <c r="AY101" s="150"/>
      <c r="AZ101" s="150"/>
      <c r="BA101" s="150"/>
      <c r="BB101" s="150"/>
      <c r="BC101" s="150"/>
      <c r="BD101" s="226"/>
    </row>
    <row r="102" spans="1:56" s="5" customFormat="1" ht="42" customHeight="1" outlineLevel="1" x14ac:dyDescent="0.4">
      <c r="A102" s="532"/>
      <c r="B102" s="536" t="s">
        <v>35</v>
      </c>
      <c r="C102" s="23"/>
      <c r="D102" s="23"/>
      <c r="E102" s="441">
        <f t="shared" ref="E102" si="94">SUM(E85:E100)</f>
        <v>506631.1</v>
      </c>
      <c r="F102" s="441">
        <f>SUM(F85:F100)</f>
        <v>125589.9</v>
      </c>
      <c r="G102" s="441">
        <f>SUM(G85:G100)</f>
        <v>151541</v>
      </c>
      <c r="H102" s="441">
        <f>SUM(H85:H100)</f>
        <v>190000</v>
      </c>
      <c r="I102" s="441">
        <f>SUM(I85:I100)</f>
        <v>39500.199999999997</v>
      </c>
      <c r="J102" s="441">
        <f t="shared" ref="J102:AH102" si="95">SUM(J85:J100)</f>
        <v>573222.9</v>
      </c>
      <c r="K102" s="441">
        <f t="shared" si="95"/>
        <v>272617.3</v>
      </c>
      <c r="L102" s="441">
        <f t="shared" si="95"/>
        <v>114000</v>
      </c>
      <c r="M102" s="441">
        <f t="shared" si="95"/>
        <v>150000</v>
      </c>
      <c r="N102" s="441">
        <f t="shared" si="95"/>
        <v>36605.599999999999</v>
      </c>
      <c r="O102" s="441">
        <f t="shared" si="95"/>
        <v>362365.3</v>
      </c>
      <c r="P102" s="441">
        <f t="shared" si="95"/>
        <v>327616.7</v>
      </c>
      <c r="Q102" s="441">
        <f t="shared" si="95"/>
        <v>0</v>
      </c>
      <c r="R102" s="441">
        <f t="shared" si="95"/>
        <v>0</v>
      </c>
      <c r="S102" s="441">
        <f t="shared" si="95"/>
        <v>34748.6</v>
      </c>
      <c r="T102" s="441">
        <f t="shared" si="95"/>
        <v>627739.29999999993</v>
      </c>
      <c r="U102" s="441">
        <f t="shared" si="95"/>
        <v>436478.3</v>
      </c>
      <c r="V102" s="441">
        <f t="shared" si="95"/>
        <v>155134</v>
      </c>
      <c r="W102" s="441">
        <f t="shared" si="95"/>
        <v>0</v>
      </c>
      <c r="X102" s="441">
        <f t="shared" si="95"/>
        <v>36127</v>
      </c>
      <c r="Y102" s="441">
        <f t="shared" si="95"/>
        <v>394326.5</v>
      </c>
      <c r="Z102" s="441">
        <f t="shared" si="95"/>
        <v>394214</v>
      </c>
      <c r="AA102" s="441">
        <f t="shared" si="95"/>
        <v>0</v>
      </c>
      <c r="AB102" s="441">
        <f t="shared" si="95"/>
        <v>0</v>
      </c>
      <c r="AC102" s="441">
        <f t="shared" si="95"/>
        <v>112.5</v>
      </c>
      <c r="AD102" s="441">
        <f t="shared" si="95"/>
        <v>388614.5</v>
      </c>
      <c r="AE102" s="441">
        <f t="shared" si="95"/>
        <v>218825</v>
      </c>
      <c r="AF102" s="441">
        <f t="shared" si="95"/>
        <v>169677</v>
      </c>
      <c r="AG102" s="441">
        <f t="shared" si="95"/>
        <v>0</v>
      </c>
      <c r="AH102" s="441">
        <f t="shared" si="95"/>
        <v>112.5</v>
      </c>
      <c r="AI102" s="444">
        <f>SUM(AI85:AI101)</f>
        <v>352806.5</v>
      </c>
      <c r="AJ102" s="441">
        <f>SUM(AJ85:AJ101)</f>
        <v>293645</v>
      </c>
      <c r="AK102" s="444">
        <f>SUM(AK85:AK101)</f>
        <v>59049</v>
      </c>
      <c r="AL102" s="444">
        <f t="shared" ref="AL102:AN102" si="96">SUM(AL85:AL101)</f>
        <v>0</v>
      </c>
      <c r="AM102" s="441">
        <f t="shared" si="96"/>
        <v>112.5</v>
      </c>
      <c r="AN102" s="446">
        <f t="shared" si="96"/>
        <v>3205706.1</v>
      </c>
      <c r="AO102" s="150">
        <f t="shared" si="68"/>
        <v>3205706.1</v>
      </c>
      <c r="AP102" s="150">
        <f t="shared" si="69"/>
        <v>2068986.2</v>
      </c>
      <c r="AQ102" s="150">
        <f t="shared" si="70"/>
        <v>649401</v>
      </c>
      <c r="AR102" s="150">
        <f t="shared" si="71"/>
        <v>340000</v>
      </c>
      <c r="AS102" s="150">
        <f t="shared" si="72"/>
        <v>147318.9</v>
      </c>
      <c r="AT102" s="164"/>
      <c r="AU102" s="164"/>
      <c r="AV102" s="164"/>
      <c r="AW102" s="164"/>
      <c r="AX102" s="164"/>
      <c r="AY102" s="150"/>
      <c r="AZ102" s="150"/>
      <c r="BA102" s="150"/>
      <c r="BB102" s="150"/>
      <c r="BC102" s="150"/>
      <c r="BD102" s="224"/>
    </row>
    <row r="103" spans="1:56" s="9" customFormat="1" ht="42" customHeight="1" outlineLevel="1" x14ac:dyDescent="0.35">
      <c r="A103" s="542" t="s">
        <v>1274</v>
      </c>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c r="AG103" s="542"/>
      <c r="AH103" s="542"/>
      <c r="AI103" s="542"/>
      <c r="AJ103" s="542"/>
      <c r="AK103" s="542"/>
      <c r="AL103" s="542"/>
      <c r="AM103" s="542"/>
      <c r="AN103" s="542"/>
      <c r="AO103" s="150">
        <f t="shared" si="68"/>
        <v>0</v>
      </c>
      <c r="AP103" s="150">
        <f t="shared" si="69"/>
        <v>0</v>
      </c>
      <c r="AQ103" s="150">
        <f t="shared" si="70"/>
        <v>0</v>
      </c>
      <c r="AR103" s="150">
        <f t="shared" si="71"/>
        <v>0</v>
      </c>
      <c r="AS103" s="150">
        <f t="shared" si="72"/>
        <v>0</v>
      </c>
      <c r="AT103" s="227"/>
      <c r="AU103" s="227"/>
      <c r="AV103" s="227"/>
      <c r="AW103" s="227"/>
      <c r="AX103" s="227"/>
      <c r="AY103" s="150">
        <f t="shared" si="74"/>
        <v>0</v>
      </c>
      <c r="AZ103" s="150">
        <f t="shared" si="75"/>
        <v>0</v>
      </c>
      <c r="BA103" s="150">
        <f t="shared" si="76"/>
        <v>0</v>
      </c>
      <c r="BB103" s="150">
        <f t="shared" si="77"/>
        <v>0</v>
      </c>
      <c r="BC103" s="150">
        <f t="shared" si="78"/>
        <v>0</v>
      </c>
      <c r="BD103" s="228"/>
    </row>
    <row r="104" spans="1:56" s="9" customFormat="1" ht="42" customHeight="1" x14ac:dyDescent="0.35">
      <c r="A104" s="546" t="s">
        <v>96</v>
      </c>
      <c r="B104" s="546"/>
      <c r="C104" s="546"/>
      <c r="D104" s="546"/>
      <c r="E104" s="546"/>
      <c r="F104" s="546"/>
      <c r="G104" s="546"/>
      <c r="H104" s="546"/>
      <c r="I104" s="546"/>
      <c r="J104" s="546"/>
      <c r="K104" s="546"/>
      <c r="L104" s="546"/>
      <c r="M104" s="546"/>
      <c r="N104" s="546"/>
      <c r="O104" s="546"/>
      <c r="P104" s="546"/>
      <c r="Q104" s="546"/>
      <c r="R104" s="546"/>
      <c r="S104" s="546"/>
      <c r="T104" s="546"/>
      <c r="U104" s="546"/>
      <c r="V104" s="546"/>
      <c r="W104" s="546"/>
      <c r="X104" s="546"/>
      <c r="Y104" s="546"/>
      <c r="Z104" s="546"/>
      <c r="AA104" s="546"/>
      <c r="AB104" s="546"/>
      <c r="AC104" s="546"/>
      <c r="AD104" s="546"/>
      <c r="AE104" s="546"/>
      <c r="AF104" s="546"/>
      <c r="AG104" s="546"/>
      <c r="AH104" s="546"/>
      <c r="AI104" s="546"/>
      <c r="AJ104" s="546"/>
      <c r="AK104" s="546"/>
      <c r="AL104" s="546"/>
      <c r="AM104" s="546"/>
      <c r="AN104" s="546"/>
      <c r="AO104" s="150">
        <f t="shared" si="68"/>
        <v>0</v>
      </c>
      <c r="AP104" s="150">
        <f t="shared" si="69"/>
        <v>0</v>
      </c>
      <c r="AQ104" s="150">
        <f t="shared" si="70"/>
        <v>0</v>
      </c>
      <c r="AR104" s="150">
        <f t="shared" si="71"/>
        <v>0</v>
      </c>
      <c r="AS104" s="150">
        <f t="shared" si="72"/>
        <v>0</v>
      </c>
      <c r="AT104" s="227"/>
      <c r="AU104" s="227"/>
      <c r="AV104" s="227"/>
      <c r="AW104" s="227"/>
      <c r="AX104" s="227"/>
      <c r="AY104" s="150">
        <f t="shared" si="74"/>
        <v>0</v>
      </c>
      <c r="AZ104" s="150">
        <f t="shared" si="75"/>
        <v>0</v>
      </c>
      <c r="BA104" s="150">
        <f t="shared" si="76"/>
        <v>0</v>
      </c>
      <c r="BB104" s="150">
        <f t="shared" si="77"/>
        <v>0</v>
      </c>
      <c r="BC104" s="150">
        <f t="shared" si="78"/>
        <v>0</v>
      </c>
      <c r="BD104" s="228"/>
    </row>
    <row r="105" spans="1:56" s="9" customFormat="1" ht="42" customHeight="1" x14ac:dyDescent="0.35">
      <c r="A105" s="542" t="s">
        <v>1275</v>
      </c>
      <c r="B105" s="543"/>
      <c r="C105" s="543"/>
      <c r="D105" s="543"/>
      <c r="E105" s="543"/>
      <c r="F105" s="543"/>
      <c r="G105" s="543"/>
      <c r="H105" s="543"/>
      <c r="I105" s="543"/>
      <c r="J105" s="543"/>
      <c r="K105" s="543"/>
      <c r="L105" s="543"/>
      <c r="M105" s="543"/>
      <c r="N105" s="543"/>
      <c r="O105" s="543"/>
      <c r="P105" s="543"/>
      <c r="Q105" s="543"/>
      <c r="R105" s="543"/>
      <c r="S105" s="543"/>
      <c r="T105" s="543"/>
      <c r="U105" s="543"/>
      <c r="V105" s="543"/>
      <c r="W105" s="543"/>
      <c r="X105" s="543"/>
      <c r="Y105" s="543"/>
      <c r="Z105" s="543"/>
      <c r="AA105" s="543"/>
      <c r="AB105" s="543"/>
      <c r="AC105" s="543"/>
      <c r="AD105" s="543"/>
      <c r="AE105" s="543"/>
      <c r="AF105" s="543"/>
      <c r="AG105" s="543"/>
      <c r="AH105" s="543"/>
      <c r="AI105" s="543"/>
      <c r="AJ105" s="543"/>
      <c r="AK105" s="543"/>
      <c r="AL105" s="543"/>
      <c r="AM105" s="543"/>
      <c r="AN105" s="543"/>
      <c r="AO105" s="150">
        <f t="shared" si="68"/>
        <v>0</v>
      </c>
      <c r="AP105" s="150">
        <f t="shared" si="69"/>
        <v>0</v>
      </c>
      <c r="AQ105" s="150">
        <f t="shared" si="70"/>
        <v>0</v>
      </c>
      <c r="AR105" s="150">
        <f t="shared" si="71"/>
        <v>0</v>
      </c>
      <c r="AS105" s="150">
        <f t="shared" si="72"/>
        <v>0</v>
      </c>
      <c r="AT105" s="227"/>
      <c r="AU105" s="227"/>
      <c r="AV105" s="227"/>
      <c r="AW105" s="227"/>
      <c r="AX105" s="227"/>
      <c r="AY105" s="150">
        <f t="shared" si="74"/>
        <v>0</v>
      </c>
      <c r="AZ105" s="150">
        <f t="shared" si="75"/>
        <v>0</v>
      </c>
      <c r="BA105" s="150">
        <f t="shared" si="76"/>
        <v>0</v>
      </c>
      <c r="BB105" s="150">
        <f t="shared" si="77"/>
        <v>0</v>
      </c>
      <c r="BC105" s="150">
        <f t="shared" si="78"/>
        <v>0</v>
      </c>
      <c r="BD105" s="228"/>
    </row>
    <row r="106" spans="1:56" s="9" customFormat="1" ht="42" customHeight="1" x14ac:dyDescent="0.35">
      <c r="A106" s="542" t="s">
        <v>80</v>
      </c>
      <c r="B106" s="543"/>
      <c r="C106" s="543"/>
      <c r="D106" s="543"/>
      <c r="E106" s="543"/>
      <c r="F106" s="543"/>
      <c r="G106" s="543"/>
      <c r="H106" s="543"/>
      <c r="I106" s="543"/>
      <c r="J106" s="543"/>
      <c r="K106" s="543"/>
      <c r="L106" s="543"/>
      <c r="M106" s="543"/>
      <c r="N106" s="543"/>
      <c r="O106" s="543"/>
      <c r="P106" s="543"/>
      <c r="Q106" s="543"/>
      <c r="R106" s="543"/>
      <c r="S106" s="543"/>
      <c r="T106" s="543"/>
      <c r="U106" s="543"/>
      <c r="V106" s="543"/>
      <c r="W106" s="543"/>
      <c r="X106" s="543"/>
      <c r="Y106" s="543"/>
      <c r="Z106" s="543"/>
      <c r="AA106" s="543"/>
      <c r="AB106" s="543"/>
      <c r="AC106" s="543"/>
      <c r="AD106" s="543"/>
      <c r="AE106" s="543"/>
      <c r="AF106" s="543"/>
      <c r="AG106" s="543"/>
      <c r="AH106" s="543"/>
      <c r="AI106" s="543"/>
      <c r="AJ106" s="543"/>
      <c r="AK106" s="543"/>
      <c r="AL106" s="543"/>
      <c r="AM106" s="543"/>
      <c r="AN106" s="543"/>
      <c r="AO106" s="150">
        <f t="shared" si="68"/>
        <v>0</v>
      </c>
      <c r="AP106" s="150">
        <f t="shared" si="69"/>
        <v>0</v>
      </c>
      <c r="AQ106" s="150">
        <f t="shared" si="70"/>
        <v>0</v>
      </c>
      <c r="AR106" s="150">
        <f t="shared" si="71"/>
        <v>0</v>
      </c>
      <c r="AS106" s="150">
        <f t="shared" si="72"/>
        <v>0</v>
      </c>
      <c r="AT106" s="227"/>
      <c r="AU106" s="227"/>
      <c r="AV106" s="227"/>
      <c r="AW106" s="227"/>
      <c r="AX106" s="227"/>
      <c r="AY106" s="150">
        <f t="shared" si="74"/>
        <v>0</v>
      </c>
      <c r="AZ106" s="150">
        <f t="shared" si="75"/>
        <v>0</v>
      </c>
      <c r="BA106" s="150">
        <f t="shared" si="76"/>
        <v>0</v>
      </c>
      <c r="BB106" s="150">
        <f t="shared" si="77"/>
        <v>0</v>
      </c>
      <c r="BC106" s="150">
        <f t="shared" si="78"/>
        <v>0</v>
      </c>
      <c r="BD106" s="228"/>
    </row>
    <row r="107" spans="1:56" s="9" customFormat="1" ht="115.2" customHeight="1" x14ac:dyDescent="0.35">
      <c r="A107" s="565">
        <v>62</v>
      </c>
      <c r="B107" s="565" t="s">
        <v>141</v>
      </c>
      <c r="C107" s="567" t="s">
        <v>118</v>
      </c>
      <c r="D107" s="535" t="s">
        <v>139</v>
      </c>
      <c r="E107" s="441">
        <f>SUM(F107:I107)</f>
        <v>0</v>
      </c>
      <c r="F107" s="445">
        <v>0</v>
      </c>
      <c r="G107" s="450">
        <v>0</v>
      </c>
      <c r="H107" s="450">
        <v>0</v>
      </c>
      <c r="I107" s="450">
        <v>0</v>
      </c>
      <c r="J107" s="463">
        <f t="shared" ref="J107:J119" si="97">K107+L107+M107+N107</f>
        <v>0</v>
      </c>
      <c r="K107" s="450">
        <v>0</v>
      </c>
      <c r="L107" s="450">
        <v>0</v>
      </c>
      <c r="M107" s="450">
        <v>0</v>
      </c>
      <c r="N107" s="450">
        <v>0</v>
      </c>
      <c r="O107" s="450">
        <f>P107+Q107+R107+S107</f>
        <v>0</v>
      </c>
      <c r="P107" s="450">
        <v>0</v>
      </c>
      <c r="Q107" s="450">
        <v>0</v>
      </c>
      <c r="R107" s="450">
        <v>0</v>
      </c>
      <c r="S107" s="450">
        <v>0</v>
      </c>
      <c r="T107" s="450">
        <f>U107+V107+W107+X107</f>
        <v>0</v>
      </c>
      <c r="U107" s="450">
        <v>0</v>
      </c>
      <c r="V107" s="450">
        <v>0</v>
      </c>
      <c r="W107" s="450">
        <v>0</v>
      </c>
      <c r="X107" s="450">
        <v>0</v>
      </c>
      <c r="Y107" s="450">
        <f>Z107+AA107+AB107+AC107</f>
        <v>0</v>
      </c>
      <c r="Z107" s="450">
        <v>0</v>
      </c>
      <c r="AA107" s="450">
        <v>0</v>
      </c>
      <c r="AB107" s="450">
        <v>0</v>
      </c>
      <c r="AC107" s="450">
        <v>0</v>
      </c>
      <c r="AD107" s="463">
        <f>AE107+AF107+AG107+AH107</f>
        <v>198</v>
      </c>
      <c r="AE107" s="450">
        <f>73+100+24+1</f>
        <v>198</v>
      </c>
      <c r="AF107" s="450">
        <v>0</v>
      </c>
      <c r="AG107" s="450">
        <v>0</v>
      </c>
      <c r="AH107" s="450">
        <v>0</v>
      </c>
      <c r="AI107" s="464">
        <f>AJ107+AK107+AL107+AM107</f>
        <v>16846</v>
      </c>
      <c r="AJ107" s="450">
        <f>10280.4-73.2</f>
        <v>10207.199999999999</v>
      </c>
      <c r="AK107" s="465">
        <f>8351.7-1712.9</f>
        <v>6638.8000000000011</v>
      </c>
      <c r="AL107" s="465">
        <v>0</v>
      </c>
      <c r="AM107" s="450">
        <v>0</v>
      </c>
      <c r="AN107" s="446">
        <f>E107+J107+O107+T107+AD107+AI107+Y107</f>
        <v>17044</v>
      </c>
      <c r="AO107" s="150">
        <f t="shared" si="68"/>
        <v>17044</v>
      </c>
      <c r="AP107" s="150">
        <f t="shared" si="69"/>
        <v>10405.199999999999</v>
      </c>
      <c r="AQ107" s="150">
        <f t="shared" si="70"/>
        <v>6638.8000000000011</v>
      </c>
      <c r="AR107" s="150">
        <f t="shared" si="71"/>
        <v>0</v>
      </c>
      <c r="AS107" s="150">
        <f t="shared" si="72"/>
        <v>0</v>
      </c>
      <c r="AT107" s="165"/>
      <c r="AU107" s="165"/>
      <c r="AV107" s="165"/>
      <c r="AW107" s="165"/>
      <c r="AX107" s="165"/>
      <c r="AY107" s="150"/>
      <c r="AZ107" s="150"/>
      <c r="BA107" s="150"/>
      <c r="BB107" s="150">
        <f t="shared" si="77"/>
        <v>0</v>
      </c>
      <c r="BC107" s="150">
        <f t="shared" si="78"/>
        <v>0</v>
      </c>
      <c r="BD107" s="228"/>
    </row>
    <row r="108" spans="1:56" s="422" customFormat="1" ht="89.4" customHeight="1" x14ac:dyDescent="0.35">
      <c r="A108" s="574"/>
      <c r="B108" s="566"/>
      <c r="C108" s="568"/>
      <c r="D108" s="419" t="s">
        <v>1291</v>
      </c>
      <c r="E108" s="441"/>
      <c r="F108" s="466"/>
      <c r="G108" s="467"/>
      <c r="H108" s="467"/>
      <c r="I108" s="467"/>
      <c r="J108" s="463"/>
      <c r="K108" s="450"/>
      <c r="L108" s="450"/>
      <c r="M108" s="450"/>
      <c r="N108" s="450"/>
      <c r="O108" s="450"/>
      <c r="P108" s="450"/>
      <c r="Q108" s="450"/>
      <c r="R108" s="450"/>
      <c r="S108" s="450"/>
      <c r="T108" s="450"/>
      <c r="U108" s="450"/>
      <c r="V108" s="450"/>
      <c r="W108" s="450"/>
      <c r="X108" s="450"/>
      <c r="Y108" s="450"/>
      <c r="Z108" s="450"/>
      <c r="AA108" s="450"/>
      <c r="AB108" s="450"/>
      <c r="AC108" s="450"/>
      <c r="AD108" s="463"/>
      <c r="AE108" s="467"/>
      <c r="AF108" s="467"/>
      <c r="AG108" s="467"/>
      <c r="AH108" s="467"/>
      <c r="AI108" s="463">
        <f>AJ108+AK108+AL108+AM108</f>
        <v>2489.1000000000004</v>
      </c>
      <c r="AJ108" s="450">
        <f>2489.07+0.03</f>
        <v>2489.1000000000004</v>
      </c>
      <c r="AK108" s="450">
        <v>0</v>
      </c>
      <c r="AL108" s="450">
        <v>0</v>
      </c>
      <c r="AM108" s="450">
        <v>0</v>
      </c>
      <c r="AN108" s="446">
        <f t="shared" ref="AN108:AN119" si="98">E108+J108+O108+T108+AD108+AI108+Y108</f>
        <v>2489.1000000000004</v>
      </c>
      <c r="AO108" s="150">
        <f t="shared" si="68"/>
        <v>2489.1000000000004</v>
      </c>
      <c r="AP108" s="150">
        <f t="shared" si="69"/>
        <v>2489.1000000000004</v>
      </c>
      <c r="AQ108" s="150">
        <f t="shared" si="70"/>
        <v>0</v>
      </c>
      <c r="AR108" s="150">
        <f t="shared" si="71"/>
        <v>0</v>
      </c>
      <c r="AS108" s="150">
        <f t="shared" si="72"/>
        <v>0</v>
      </c>
      <c r="AT108" s="420"/>
      <c r="AU108" s="420"/>
      <c r="AV108" s="420"/>
      <c r="AW108" s="420"/>
      <c r="AX108" s="420"/>
      <c r="AY108" s="150"/>
      <c r="AZ108" s="150"/>
      <c r="BA108" s="150"/>
      <c r="BB108" s="150"/>
      <c r="BC108" s="150"/>
      <c r="BD108" s="421"/>
    </row>
    <row r="109" spans="1:56" s="490" customFormat="1" ht="135.6" customHeight="1" x14ac:dyDescent="0.4">
      <c r="A109" s="544">
        <v>63</v>
      </c>
      <c r="B109" s="543" t="s">
        <v>1373</v>
      </c>
      <c r="C109" s="580" t="s">
        <v>121</v>
      </c>
      <c r="D109" s="26" t="s">
        <v>36</v>
      </c>
      <c r="E109" s="441">
        <f>SUM(F109:I109)</f>
        <v>229957.4</v>
      </c>
      <c r="F109" s="445">
        <v>16534.099999999999</v>
      </c>
      <c r="G109" s="445">
        <v>213423.3</v>
      </c>
      <c r="H109" s="450">
        <v>0</v>
      </c>
      <c r="I109" s="450">
        <v>0</v>
      </c>
      <c r="J109" s="441">
        <f>K109+L109+M109+N109</f>
        <v>285387.3</v>
      </c>
      <c r="K109" s="445">
        <v>27576</v>
      </c>
      <c r="L109" s="448">
        <v>103420.5</v>
      </c>
      <c r="M109" s="445">
        <v>154390.79999999999</v>
      </c>
      <c r="N109" s="448">
        <v>0</v>
      </c>
      <c r="O109" s="441">
        <f t="shared" ref="O109:O119" si="99">P109+Q109+R109+S109</f>
        <v>27577.1</v>
      </c>
      <c r="P109" s="445">
        <f>27479.1+119-21</f>
        <v>27577.1</v>
      </c>
      <c r="Q109" s="450">
        <v>0</v>
      </c>
      <c r="R109" s="450">
        <v>0</v>
      </c>
      <c r="S109" s="450">
        <v>0</v>
      </c>
      <c r="T109" s="441">
        <f t="shared" ref="T109:T119" si="100">U109+V109+W109+X109</f>
        <v>0</v>
      </c>
      <c r="U109" s="445">
        <f>1030-1030</f>
        <v>0</v>
      </c>
      <c r="V109" s="450">
        <v>0</v>
      </c>
      <c r="W109" s="450">
        <v>0</v>
      </c>
      <c r="X109" s="450">
        <v>0</v>
      </c>
      <c r="Y109" s="441">
        <f t="shared" ref="Y109:Y119" si="101">Z109+AA109+AB109+AC109</f>
        <v>3522</v>
      </c>
      <c r="Z109" s="445">
        <f>3522</f>
        <v>3522</v>
      </c>
      <c r="AA109" s="445">
        <v>0</v>
      </c>
      <c r="AB109" s="450">
        <v>0</v>
      </c>
      <c r="AC109" s="450">
        <v>0</v>
      </c>
      <c r="AD109" s="441">
        <f t="shared" ref="AD109:AD119" si="102">AE109+AF109+AG109+AH109</f>
        <v>214396</v>
      </c>
      <c r="AE109" s="445">
        <v>14396</v>
      </c>
      <c r="AF109" s="445">
        <v>0</v>
      </c>
      <c r="AG109" s="445">
        <v>200000</v>
      </c>
      <c r="AH109" s="450">
        <v>0</v>
      </c>
      <c r="AI109" s="441">
        <f t="shared" ref="AI109:AI119" si="103">AJ109+AK109+AL109+AM109</f>
        <v>297107.90000000002</v>
      </c>
      <c r="AJ109" s="445">
        <v>16167.2</v>
      </c>
      <c r="AK109" s="445">
        <v>140566.6</v>
      </c>
      <c r="AL109" s="448">
        <v>140374.1</v>
      </c>
      <c r="AM109" s="448">
        <v>0</v>
      </c>
      <c r="AN109" s="446">
        <f>E109+J109+O109+T109+AD109+AI109+Y109</f>
        <v>1057947.7</v>
      </c>
      <c r="AO109" s="150">
        <f t="shared" si="68"/>
        <v>1057947.7</v>
      </c>
      <c r="AP109" s="150">
        <f t="shared" si="69"/>
        <v>105772.4</v>
      </c>
      <c r="AQ109" s="150">
        <f t="shared" si="70"/>
        <v>457410.4</v>
      </c>
      <c r="AR109" s="150">
        <f t="shared" si="71"/>
        <v>494764.9</v>
      </c>
      <c r="AS109" s="150">
        <f t="shared" si="72"/>
        <v>0</v>
      </c>
      <c r="AT109" s="488">
        <v>319469</v>
      </c>
      <c r="AU109" s="488">
        <v>17285.599999999999</v>
      </c>
      <c r="AV109" s="488">
        <v>161809.29999999999</v>
      </c>
      <c r="AW109" s="488"/>
      <c r="AX109" s="488"/>
      <c r="AY109" s="487">
        <f t="shared" si="74"/>
        <v>-22361.099999999977</v>
      </c>
      <c r="AZ109" s="487">
        <f t="shared" si="75"/>
        <v>-1118.3999999999978</v>
      </c>
      <c r="BA109" s="487">
        <f t="shared" si="76"/>
        <v>-21242.699999999983</v>
      </c>
      <c r="BB109" s="487">
        <f t="shared" si="77"/>
        <v>140374.1</v>
      </c>
      <c r="BC109" s="487">
        <f t="shared" si="78"/>
        <v>0</v>
      </c>
      <c r="BD109" s="489"/>
    </row>
    <row r="110" spans="1:56" s="415" customFormat="1" ht="174" customHeight="1" x14ac:dyDescent="0.4">
      <c r="A110" s="545"/>
      <c r="B110" s="543"/>
      <c r="C110" s="580"/>
      <c r="D110" s="423" t="s">
        <v>1297</v>
      </c>
      <c r="E110" s="441"/>
      <c r="F110" s="450"/>
      <c r="G110" s="450"/>
      <c r="H110" s="450"/>
      <c r="I110" s="450"/>
      <c r="J110" s="450"/>
      <c r="K110" s="450"/>
      <c r="L110" s="450"/>
      <c r="M110" s="450"/>
      <c r="N110" s="450"/>
      <c r="O110" s="441">
        <f t="shared" si="99"/>
        <v>18939.400000000001</v>
      </c>
      <c r="P110" s="445">
        <v>116.4</v>
      </c>
      <c r="Q110" s="450">
        <v>18823</v>
      </c>
      <c r="R110" s="450">
        <v>0</v>
      </c>
      <c r="S110" s="450">
        <v>0</v>
      </c>
      <c r="T110" s="450"/>
      <c r="U110" s="450"/>
      <c r="V110" s="450"/>
      <c r="W110" s="450"/>
      <c r="X110" s="450"/>
      <c r="Y110" s="450"/>
      <c r="Z110" s="450"/>
      <c r="AA110" s="450"/>
      <c r="AB110" s="450"/>
      <c r="AC110" s="450"/>
      <c r="AD110" s="450"/>
      <c r="AE110" s="450"/>
      <c r="AF110" s="450"/>
      <c r="AG110" s="450"/>
      <c r="AH110" s="450"/>
      <c r="AI110" s="463"/>
      <c r="AJ110" s="450"/>
      <c r="AK110" s="450"/>
      <c r="AL110" s="450"/>
      <c r="AM110" s="450"/>
      <c r="AN110" s="446">
        <f t="shared" si="98"/>
        <v>18939.400000000001</v>
      </c>
      <c r="AO110" s="150">
        <f t="shared" si="68"/>
        <v>18939.400000000001</v>
      </c>
      <c r="AP110" s="150">
        <f t="shared" si="69"/>
        <v>116.4</v>
      </c>
      <c r="AQ110" s="150">
        <f t="shared" si="70"/>
        <v>18823</v>
      </c>
      <c r="AR110" s="150">
        <f t="shared" si="71"/>
        <v>0</v>
      </c>
      <c r="AS110" s="150">
        <f t="shared" si="72"/>
        <v>0</v>
      </c>
      <c r="AT110" s="413"/>
      <c r="AU110" s="413"/>
      <c r="AV110" s="413"/>
      <c r="AW110" s="413"/>
      <c r="AX110" s="413"/>
      <c r="AY110" s="150">
        <f t="shared" si="74"/>
        <v>0</v>
      </c>
      <c r="AZ110" s="150">
        <f t="shared" si="75"/>
        <v>0</v>
      </c>
      <c r="BA110" s="150">
        <f t="shared" si="76"/>
        <v>0</v>
      </c>
      <c r="BB110" s="150">
        <f t="shared" si="77"/>
        <v>0</v>
      </c>
      <c r="BC110" s="150">
        <f t="shared" si="78"/>
        <v>0</v>
      </c>
      <c r="BD110" s="414"/>
    </row>
    <row r="111" spans="1:56" s="5" customFormat="1" ht="301.35000000000002" customHeight="1" x14ac:dyDescent="0.4">
      <c r="A111" s="532">
        <v>64</v>
      </c>
      <c r="B111" s="533" t="s">
        <v>82</v>
      </c>
      <c r="C111" s="537" t="s">
        <v>121</v>
      </c>
      <c r="D111" s="26" t="s">
        <v>132</v>
      </c>
      <c r="E111" s="441">
        <f>SUM(F111:I111)</f>
        <v>43669.5</v>
      </c>
      <c r="F111" s="445">
        <v>2710.8</v>
      </c>
      <c r="G111" s="445">
        <v>40958.699999999997</v>
      </c>
      <c r="H111" s="450">
        <v>0</v>
      </c>
      <c r="I111" s="450">
        <v>0</v>
      </c>
      <c r="J111" s="441">
        <f t="shared" si="97"/>
        <v>716</v>
      </c>
      <c r="K111" s="445">
        <v>716</v>
      </c>
      <c r="L111" s="450">
        <v>0</v>
      </c>
      <c r="M111" s="450">
        <v>0</v>
      </c>
      <c r="N111" s="450">
        <v>0</v>
      </c>
      <c r="O111" s="441">
        <f t="shared" si="99"/>
        <v>0</v>
      </c>
      <c r="P111" s="445">
        <v>0</v>
      </c>
      <c r="Q111" s="450">
        <v>0</v>
      </c>
      <c r="R111" s="450">
        <v>0</v>
      </c>
      <c r="S111" s="450">
        <v>0</v>
      </c>
      <c r="T111" s="441">
        <f t="shared" si="100"/>
        <v>0</v>
      </c>
      <c r="U111" s="445">
        <v>0</v>
      </c>
      <c r="V111" s="450">
        <v>0</v>
      </c>
      <c r="W111" s="450">
        <v>0</v>
      </c>
      <c r="X111" s="450">
        <v>0</v>
      </c>
      <c r="Y111" s="441">
        <f t="shared" si="101"/>
        <v>0</v>
      </c>
      <c r="Z111" s="445">
        <v>0</v>
      </c>
      <c r="AA111" s="450">
        <v>0</v>
      </c>
      <c r="AB111" s="450">
        <v>0</v>
      </c>
      <c r="AC111" s="450">
        <v>0</v>
      </c>
      <c r="AD111" s="441">
        <f t="shared" si="102"/>
        <v>0</v>
      </c>
      <c r="AE111" s="445">
        <v>0</v>
      </c>
      <c r="AF111" s="445">
        <v>0</v>
      </c>
      <c r="AG111" s="450">
        <v>0</v>
      </c>
      <c r="AH111" s="450">
        <v>0</v>
      </c>
      <c r="AI111" s="444">
        <f t="shared" si="103"/>
        <v>0</v>
      </c>
      <c r="AJ111" s="445">
        <v>0</v>
      </c>
      <c r="AK111" s="455">
        <v>0</v>
      </c>
      <c r="AL111" s="465">
        <v>0</v>
      </c>
      <c r="AM111" s="450">
        <v>0</v>
      </c>
      <c r="AN111" s="446">
        <f t="shared" si="98"/>
        <v>44385.5</v>
      </c>
      <c r="AO111" s="150">
        <f t="shared" si="68"/>
        <v>44385.5</v>
      </c>
      <c r="AP111" s="150">
        <f t="shared" si="69"/>
        <v>3426.8</v>
      </c>
      <c r="AQ111" s="150">
        <f t="shared" si="70"/>
        <v>40958.699999999997</v>
      </c>
      <c r="AR111" s="150">
        <f t="shared" si="71"/>
        <v>0</v>
      </c>
      <c r="AS111" s="150">
        <f t="shared" si="72"/>
        <v>0</v>
      </c>
      <c r="AT111" s="164"/>
      <c r="AU111" s="164"/>
      <c r="AV111" s="164"/>
      <c r="AW111" s="164"/>
      <c r="AX111" s="164"/>
      <c r="AY111" s="150">
        <f t="shared" si="74"/>
        <v>0</v>
      </c>
      <c r="AZ111" s="150">
        <f t="shared" si="75"/>
        <v>0</v>
      </c>
      <c r="BA111" s="150">
        <f t="shared" si="76"/>
        <v>0</v>
      </c>
      <c r="BB111" s="150">
        <f t="shared" si="77"/>
        <v>0</v>
      </c>
      <c r="BC111" s="150">
        <f t="shared" si="78"/>
        <v>0</v>
      </c>
      <c r="BD111" s="224"/>
    </row>
    <row r="112" spans="1:56" s="5" customFormat="1" ht="94.95" customHeight="1" x14ac:dyDescent="0.4">
      <c r="A112" s="544">
        <v>65</v>
      </c>
      <c r="B112" s="565" t="s">
        <v>150</v>
      </c>
      <c r="C112" s="567" t="s">
        <v>100</v>
      </c>
      <c r="D112" s="26" t="s">
        <v>37</v>
      </c>
      <c r="E112" s="441">
        <f t="shared" ref="E112:E119" si="104">SUM(F112:I112)</f>
        <v>21508</v>
      </c>
      <c r="F112" s="450">
        <v>21508</v>
      </c>
      <c r="G112" s="450">
        <v>0</v>
      </c>
      <c r="H112" s="450">
        <v>0</v>
      </c>
      <c r="I112" s="450">
        <v>0</v>
      </c>
      <c r="J112" s="441">
        <f t="shared" si="97"/>
        <v>17201</v>
      </c>
      <c r="K112" s="445">
        <v>17201</v>
      </c>
      <c r="L112" s="450">
        <v>0</v>
      </c>
      <c r="M112" s="450">
        <v>0</v>
      </c>
      <c r="N112" s="450">
        <v>0</v>
      </c>
      <c r="O112" s="441">
        <f t="shared" si="99"/>
        <v>16347</v>
      </c>
      <c r="P112" s="445">
        <v>16347</v>
      </c>
      <c r="Q112" s="450">
        <v>0</v>
      </c>
      <c r="R112" s="450">
        <v>0</v>
      </c>
      <c r="S112" s="450">
        <v>0</v>
      </c>
      <c r="T112" s="441">
        <f t="shared" si="100"/>
        <v>16121</v>
      </c>
      <c r="U112" s="445">
        <v>16121</v>
      </c>
      <c r="V112" s="450">
        <v>0</v>
      </c>
      <c r="W112" s="450">
        <v>0</v>
      </c>
      <c r="X112" s="450">
        <v>0</v>
      </c>
      <c r="Y112" s="441">
        <f t="shared" si="101"/>
        <v>15000</v>
      </c>
      <c r="Z112" s="445">
        <f>15000</f>
        <v>15000</v>
      </c>
      <c r="AA112" s="450">
        <v>0</v>
      </c>
      <c r="AB112" s="450">
        <v>0</v>
      </c>
      <c r="AC112" s="450">
        <v>0</v>
      </c>
      <c r="AD112" s="441">
        <f t="shared" si="102"/>
        <v>902</v>
      </c>
      <c r="AE112" s="445">
        <f>585+197+120</f>
        <v>902</v>
      </c>
      <c r="AF112" s="450">
        <v>0</v>
      </c>
      <c r="AG112" s="450">
        <v>0</v>
      </c>
      <c r="AH112" s="450">
        <v>0</v>
      </c>
      <c r="AI112" s="444">
        <f t="shared" si="103"/>
        <v>17410.009999999998</v>
      </c>
      <c r="AJ112" s="445">
        <f>23889.01-17200+73.2</f>
        <v>6762.2099999999982</v>
      </c>
      <c r="AK112" s="451">
        <f>8934.9+1712.9</f>
        <v>10647.8</v>
      </c>
      <c r="AL112" s="465">
        <v>0</v>
      </c>
      <c r="AM112" s="450">
        <v>0</v>
      </c>
      <c r="AN112" s="446">
        <f>E112+J112+O112+T112+AD112+AI112+Y112</f>
        <v>104489.01</v>
      </c>
      <c r="AO112" s="150">
        <f t="shared" si="68"/>
        <v>104489.01</v>
      </c>
      <c r="AP112" s="150">
        <f t="shared" si="69"/>
        <v>93841.209999999992</v>
      </c>
      <c r="AQ112" s="150">
        <f t="shared" si="70"/>
        <v>10647.8</v>
      </c>
      <c r="AR112" s="150">
        <f t="shared" si="71"/>
        <v>0</v>
      </c>
      <c r="AS112" s="150">
        <f t="shared" si="72"/>
        <v>0</v>
      </c>
      <c r="AT112" s="165"/>
      <c r="AU112" s="164"/>
      <c r="AV112" s="164"/>
      <c r="AW112" s="164"/>
      <c r="AX112" s="164"/>
      <c r="AY112" s="150">
        <f t="shared" si="74"/>
        <v>17410.009999999998</v>
      </c>
      <c r="AZ112" s="150">
        <f t="shared" si="75"/>
        <v>6762.2099999999982</v>
      </c>
      <c r="BA112" s="150">
        <f t="shared" si="76"/>
        <v>10647.8</v>
      </c>
      <c r="BB112" s="150">
        <f t="shared" si="77"/>
        <v>0</v>
      </c>
      <c r="BC112" s="150">
        <f t="shared" si="78"/>
        <v>0</v>
      </c>
      <c r="BD112" s="224"/>
    </row>
    <row r="113" spans="1:56" s="418" customFormat="1" ht="103.2" customHeight="1" x14ac:dyDescent="0.4">
      <c r="A113" s="545"/>
      <c r="B113" s="566"/>
      <c r="C113" s="568"/>
      <c r="D113" s="412" t="s">
        <v>1292</v>
      </c>
      <c r="E113" s="441">
        <f t="shared" si="104"/>
        <v>0</v>
      </c>
      <c r="F113" s="445">
        <v>0</v>
      </c>
      <c r="G113" s="445">
        <v>0</v>
      </c>
      <c r="H113" s="450">
        <v>0</v>
      </c>
      <c r="I113" s="450">
        <v>0</v>
      </c>
      <c r="J113" s="441">
        <f t="shared" si="97"/>
        <v>0</v>
      </c>
      <c r="K113" s="445">
        <v>0</v>
      </c>
      <c r="L113" s="445">
        <v>0</v>
      </c>
      <c r="M113" s="450">
        <v>0</v>
      </c>
      <c r="N113" s="450">
        <v>0</v>
      </c>
      <c r="O113" s="441">
        <f t="shared" si="99"/>
        <v>0</v>
      </c>
      <c r="P113" s="445">
        <v>0</v>
      </c>
      <c r="Q113" s="445">
        <v>0</v>
      </c>
      <c r="R113" s="450">
        <v>0</v>
      </c>
      <c r="S113" s="450">
        <v>0</v>
      </c>
      <c r="T113" s="441">
        <f t="shared" si="100"/>
        <v>0</v>
      </c>
      <c r="U113" s="445">
        <v>0</v>
      </c>
      <c r="V113" s="445">
        <v>0</v>
      </c>
      <c r="W113" s="450">
        <v>0</v>
      </c>
      <c r="X113" s="450">
        <v>0</v>
      </c>
      <c r="Y113" s="450">
        <f t="shared" si="101"/>
        <v>0</v>
      </c>
      <c r="Z113" s="450">
        <v>0</v>
      </c>
      <c r="AA113" s="450">
        <v>0</v>
      </c>
      <c r="AB113" s="450">
        <v>0</v>
      </c>
      <c r="AC113" s="450">
        <v>0</v>
      </c>
      <c r="AD113" s="441">
        <f t="shared" si="102"/>
        <v>16121</v>
      </c>
      <c r="AE113" s="445">
        <v>0</v>
      </c>
      <c r="AF113" s="445">
        <v>16121</v>
      </c>
      <c r="AG113" s="450">
        <v>0</v>
      </c>
      <c r="AH113" s="450">
        <v>0</v>
      </c>
      <c r="AI113" s="441">
        <f t="shared" si="103"/>
        <v>17200</v>
      </c>
      <c r="AJ113" s="445">
        <v>17200</v>
      </c>
      <c r="AK113" s="445">
        <v>0</v>
      </c>
      <c r="AL113" s="450">
        <v>0</v>
      </c>
      <c r="AM113" s="450">
        <v>0</v>
      </c>
      <c r="AN113" s="446">
        <f t="shared" si="98"/>
        <v>33321</v>
      </c>
      <c r="AO113" s="150">
        <f t="shared" si="68"/>
        <v>33321</v>
      </c>
      <c r="AP113" s="150">
        <f t="shared" si="69"/>
        <v>17200</v>
      </c>
      <c r="AQ113" s="150">
        <f t="shared" si="70"/>
        <v>16121</v>
      </c>
      <c r="AR113" s="150">
        <f t="shared" si="71"/>
        <v>0</v>
      </c>
      <c r="AS113" s="150">
        <f t="shared" si="72"/>
        <v>0</v>
      </c>
      <c r="AT113" s="165"/>
      <c r="AU113" s="416"/>
      <c r="AV113" s="416"/>
      <c r="AW113" s="416"/>
      <c r="AX113" s="416"/>
      <c r="AY113" s="150">
        <f t="shared" si="74"/>
        <v>17200</v>
      </c>
      <c r="AZ113" s="150">
        <f t="shared" si="75"/>
        <v>17200</v>
      </c>
      <c r="BA113" s="150">
        <f t="shared" si="76"/>
        <v>0</v>
      </c>
      <c r="BB113" s="150">
        <f t="shared" si="77"/>
        <v>0</v>
      </c>
      <c r="BC113" s="150">
        <f t="shared" si="78"/>
        <v>0</v>
      </c>
      <c r="BD113" s="417"/>
    </row>
    <row r="114" spans="1:56" s="5" customFormat="1" ht="105" customHeight="1" x14ac:dyDescent="0.4">
      <c r="A114" s="532">
        <v>66</v>
      </c>
      <c r="B114" s="533" t="s">
        <v>88</v>
      </c>
      <c r="C114" s="537" t="s">
        <v>100</v>
      </c>
      <c r="D114" s="26" t="s">
        <v>132</v>
      </c>
      <c r="E114" s="441">
        <f t="shared" si="104"/>
        <v>56988.9</v>
      </c>
      <c r="F114" s="445">
        <v>29417.7</v>
      </c>
      <c r="G114" s="445">
        <v>27571.200000000001</v>
      </c>
      <c r="H114" s="450">
        <v>0</v>
      </c>
      <c r="I114" s="450">
        <v>0</v>
      </c>
      <c r="J114" s="441">
        <f t="shared" si="97"/>
        <v>131041.2</v>
      </c>
      <c r="K114" s="445">
        <v>13088</v>
      </c>
      <c r="L114" s="445">
        <v>117953.2</v>
      </c>
      <c r="M114" s="450">
        <v>0</v>
      </c>
      <c r="N114" s="450">
        <v>0</v>
      </c>
      <c r="O114" s="441">
        <f t="shared" si="99"/>
        <v>0</v>
      </c>
      <c r="P114" s="445">
        <v>0</v>
      </c>
      <c r="Q114" s="450">
        <v>0</v>
      </c>
      <c r="R114" s="450">
        <v>0</v>
      </c>
      <c r="S114" s="450">
        <v>0</v>
      </c>
      <c r="T114" s="441">
        <f t="shared" si="100"/>
        <v>0</v>
      </c>
      <c r="U114" s="445">
        <v>0</v>
      </c>
      <c r="V114" s="450">
        <v>0</v>
      </c>
      <c r="W114" s="450">
        <v>0</v>
      </c>
      <c r="X114" s="450">
        <v>0</v>
      </c>
      <c r="Y114" s="441">
        <f t="shared" si="101"/>
        <v>0</v>
      </c>
      <c r="Z114" s="445">
        <v>0</v>
      </c>
      <c r="AA114" s="445">
        <v>0</v>
      </c>
      <c r="AB114" s="450">
        <v>0</v>
      </c>
      <c r="AC114" s="450">
        <v>0</v>
      </c>
      <c r="AD114" s="441">
        <f t="shared" si="102"/>
        <v>0</v>
      </c>
      <c r="AE114" s="445">
        <v>0</v>
      </c>
      <c r="AF114" s="445">
        <v>0</v>
      </c>
      <c r="AG114" s="450">
        <v>0</v>
      </c>
      <c r="AH114" s="450">
        <v>0</v>
      </c>
      <c r="AI114" s="444">
        <f t="shared" si="103"/>
        <v>54682.1</v>
      </c>
      <c r="AJ114" s="445">
        <v>2329.1999999999998</v>
      </c>
      <c r="AK114" s="455">
        <v>52352.9</v>
      </c>
      <c r="AL114" s="465">
        <v>0</v>
      </c>
      <c r="AM114" s="450">
        <v>0</v>
      </c>
      <c r="AN114" s="446">
        <f t="shared" si="98"/>
        <v>242712.2</v>
      </c>
      <c r="AO114" s="150">
        <f t="shared" si="68"/>
        <v>242712.2</v>
      </c>
      <c r="AP114" s="150">
        <f t="shared" si="69"/>
        <v>44834.899999999994</v>
      </c>
      <c r="AQ114" s="150">
        <f t="shared" si="70"/>
        <v>197877.3</v>
      </c>
      <c r="AR114" s="150">
        <f t="shared" si="71"/>
        <v>0</v>
      </c>
      <c r="AS114" s="150">
        <f t="shared" si="72"/>
        <v>0</v>
      </c>
      <c r="AT114" s="165"/>
      <c r="AU114" s="164"/>
      <c r="AV114" s="164"/>
      <c r="AW114" s="164"/>
      <c r="AX114" s="164"/>
      <c r="AY114" s="150">
        <f t="shared" si="74"/>
        <v>54682.1</v>
      </c>
      <c r="AZ114" s="150">
        <f t="shared" si="75"/>
        <v>2329.1999999999998</v>
      </c>
      <c r="BA114" s="150">
        <f t="shared" si="76"/>
        <v>52352.9</v>
      </c>
      <c r="BB114" s="150">
        <f t="shared" si="77"/>
        <v>0</v>
      </c>
      <c r="BC114" s="150">
        <f t="shared" si="78"/>
        <v>0</v>
      </c>
      <c r="BD114" s="224"/>
    </row>
    <row r="115" spans="1:56" s="5" customFormat="1" ht="56.4" customHeight="1" x14ac:dyDescent="0.4">
      <c r="A115" s="544">
        <v>67</v>
      </c>
      <c r="B115" s="575" t="s">
        <v>1375</v>
      </c>
      <c r="C115" s="567" t="s">
        <v>100</v>
      </c>
      <c r="D115" s="571" t="s">
        <v>36</v>
      </c>
      <c r="E115" s="441">
        <f t="shared" si="104"/>
        <v>508876.2</v>
      </c>
      <c r="F115" s="445">
        <v>32956.5</v>
      </c>
      <c r="G115" s="445">
        <v>475919.7</v>
      </c>
      <c r="H115" s="450">
        <v>0</v>
      </c>
      <c r="I115" s="450">
        <v>0</v>
      </c>
      <c r="J115" s="441">
        <f t="shared" si="97"/>
        <v>324906.59999999998</v>
      </c>
      <c r="K115" s="445">
        <v>32851</v>
      </c>
      <c r="L115" s="445">
        <v>292055.59999999998</v>
      </c>
      <c r="M115" s="450">
        <v>0</v>
      </c>
      <c r="N115" s="450">
        <v>0</v>
      </c>
      <c r="O115" s="441">
        <f t="shared" si="99"/>
        <v>661080.79999999993</v>
      </c>
      <c r="P115" s="445">
        <v>46317.599999999999</v>
      </c>
      <c r="Q115" s="450">
        <v>614763.19999999995</v>
      </c>
      <c r="R115" s="450">
        <v>0</v>
      </c>
      <c r="S115" s="450">
        <v>0</v>
      </c>
      <c r="T115" s="441">
        <f t="shared" si="100"/>
        <v>50394</v>
      </c>
      <c r="U115" s="445">
        <f>45141+3339+1914</f>
        <v>50394</v>
      </c>
      <c r="V115" s="450">
        <v>0</v>
      </c>
      <c r="W115" s="450">
        <v>0</v>
      </c>
      <c r="X115" s="450">
        <v>0</v>
      </c>
      <c r="Y115" s="441">
        <f>Z115+AA115+AB115+AC115</f>
        <v>693734.5</v>
      </c>
      <c r="Z115" s="445">
        <v>35272.5</v>
      </c>
      <c r="AA115" s="445">
        <v>658462</v>
      </c>
      <c r="AB115" s="450">
        <v>0</v>
      </c>
      <c r="AC115" s="450">
        <v>0</v>
      </c>
      <c r="AD115" s="441">
        <f t="shared" si="102"/>
        <v>702772.7</v>
      </c>
      <c r="AE115" s="445">
        <f>36429-56.3</f>
        <v>36372.699999999997</v>
      </c>
      <c r="AF115" s="445">
        <v>666400</v>
      </c>
      <c r="AG115" s="450">
        <v>0</v>
      </c>
      <c r="AH115" s="450">
        <v>0</v>
      </c>
      <c r="AI115" s="444">
        <f t="shared" si="103"/>
        <v>680007.60000000009</v>
      </c>
      <c r="AJ115" s="445">
        <f>29106.9-555.1</f>
        <v>28551.800000000003</v>
      </c>
      <c r="AK115" s="455">
        <f>651456.3-0.5</f>
        <v>651455.80000000005</v>
      </c>
      <c r="AL115" s="465">
        <v>0</v>
      </c>
      <c r="AM115" s="450">
        <v>0</v>
      </c>
      <c r="AN115" s="446">
        <f t="shared" si="98"/>
        <v>3621772.4</v>
      </c>
      <c r="AO115" s="150">
        <f t="shared" si="68"/>
        <v>3621772.4</v>
      </c>
      <c r="AP115" s="150">
        <f t="shared" si="69"/>
        <v>262716.09999999998</v>
      </c>
      <c r="AQ115" s="150">
        <f t="shared" si="70"/>
        <v>3359056.3</v>
      </c>
      <c r="AR115" s="150">
        <f t="shared" si="71"/>
        <v>0</v>
      </c>
      <c r="AS115" s="150">
        <f t="shared" si="72"/>
        <v>0</v>
      </c>
      <c r="AT115" s="165"/>
      <c r="AU115" s="164"/>
      <c r="AV115" s="164"/>
      <c r="AW115" s="164"/>
      <c r="AX115" s="164"/>
      <c r="AY115" s="150">
        <f t="shared" si="74"/>
        <v>680007.60000000009</v>
      </c>
      <c r="AZ115" s="150">
        <f t="shared" si="75"/>
        <v>28551.800000000003</v>
      </c>
      <c r="BA115" s="150">
        <f t="shared" si="76"/>
        <v>651455.80000000005</v>
      </c>
      <c r="BB115" s="150">
        <f t="shared" si="77"/>
        <v>0</v>
      </c>
      <c r="BC115" s="150">
        <f t="shared" si="78"/>
        <v>0</v>
      </c>
      <c r="BD115" s="224"/>
    </row>
    <row r="116" spans="1:56" s="5" customFormat="1" ht="60.6" customHeight="1" x14ac:dyDescent="0.4">
      <c r="A116" s="577"/>
      <c r="B116" s="576"/>
      <c r="C116" s="578"/>
      <c r="D116" s="572"/>
      <c r="E116" s="441">
        <f t="shared" si="104"/>
        <v>0</v>
      </c>
      <c r="F116" s="450">
        <v>0</v>
      </c>
      <c r="G116" s="450">
        <v>0</v>
      </c>
      <c r="H116" s="450">
        <v>0</v>
      </c>
      <c r="I116" s="450">
        <v>0</v>
      </c>
      <c r="J116" s="450">
        <f t="shared" si="97"/>
        <v>0</v>
      </c>
      <c r="K116" s="450">
        <v>0</v>
      </c>
      <c r="L116" s="450">
        <v>0</v>
      </c>
      <c r="M116" s="450">
        <v>0</v>
      </c>
      <c r="N116" s="450">
        <v>0</v>
      </c>
      <c r="O116" s="441">
        <f t="shared" si="99"/>
        <v>138827.9</v>
      </c>
      <c r="P116" s="445">
        <v>7357.4</v>
      </c>
      <c r="Q116" s="450">
        <v>131470.5</v>
      </c>
      <c r="R116" s="450">
        <v>0</v>
      </c>
      <c r="S116" s="450">
        <v>0</v>
      </c>
      <c r="T116" s="441">
        <f t="shared" si="100"/>
        <v>1224082</v>
      </c>
      <c r="U116" s="445">
        <f>44234</f>
        <v>44234</v>
      </c>
      <c r="V116" s="450">
        <f>395729-135000</f>
        <v>260729</v>
      </c>
      <c r="W116" s="450">
        <f>784119+135000</f>
        <v>919119</v>
      </c>
      <c r="X116" s="450">
        <v>0</v>
      </c>
      <c r="Y116" s="450">
        <f t="shared" si="101"/>
        <v>0</v>
      </c>
      <c r="Z116" s="450">
        <v>0</v>
      </c>
      <c r="AA116" s="450">
        <v>0</v>
      </c>
      <c r="AB116" s="450">
        <v>0</v>
      </c>
      <c r="AC116" s="450">
        <v>0</v>
      </c>
      <c r="AD116" s="450">
        <f t="shared" si="102"/>
        <v>0</v>
      </c>
      <c r="AE116" s="450">
        <v>0</v>
      </c>
      <c r="AF116" s="450">
        <v>0</v>
      </c>
      <c r="AG116" s="450">
        <v>0</v>
      </c>
      <c r="AH116" s="450">
        <v>0</v>
      </c>
      <c r="AI116" s="464">
        <f t="shared" si="103"/>
        <v>0</v>
      </c>
      <c r="AJ116" s="450">
        <v>0</v>
      </c>
      <c r="AK116" s="465">
        <v>0</v>
      </c>
      <c r="AL116" s="465">
        <v>0</v>
      </c>
      <c r="AM116" s="450">
        <v>0</v>
      </c>
      <c r="AN116" s="446">
        <f t="shared" si="98"/>
        <v>1362909.9</v>
      </c>
      <c r="AO116" s="150">
        <f t="shared" si="68"/>
        <v>1362909.9</v>
      </c>
      <c r="AP116" s="150">
        <f t="shared" si="69"/>
        <v>51591.4</v>
      </c>
      <c r="AQ116" s="150">
        <f t="shared" si="70"/>
        <v>392199.5</v>
      </c>
      <c r="AR116" s="150">
        <f t="shared" si="71"/>
        <v>919119</v>
      </c>
      <c r="AS116" s="150">
        <f t="shared" si="72"/>
        <v>0</v>
      </c>
      <c r="AT116" s="165"/>
      <c r="AU116" s="164"/>
      <c r="AV116" s="164"/>
      <c r="AW116" s="164"/>
      <c r="AX116" s="164"/>
      <c r="AY116" s="150">
        <f t="shared" si="74"/>
        <v>0</v>
      </c>
      <c r="AZ116" s="150">
        <f t="shared" si="75"/>
        <v>0</v>
      </c>
      <c r="BA116" s="150">
        <f t="shared" si="76"/>
        <v>0</v>
      </c>
      <c r="BB116" s="150">
        <f t="shared" si="77"/>
        <v>0</v>
      </c>
      <c r="BC116" s="150">
        <f t="shared" si="78"/>
        <v>0</v>
      </c>
      <c r="BD116" s="224"/>
    </row>
    <row r="117" spans="1:56" s="5" customFormat="1" ht="127.95" customHeight="1" x14ac:dyDescent="0.4">
      <c r="A117" s="545"/>
      <c r="B117" s="177" t="s">
        <v>91</v>
      </c>
      <c r="C117" s="568"/>
      <c r="D117" s="573"/>
      <c r="E117" s="441">
        <f t="shared" si="104"/>
        <v>0</v>
      </c>
      <c r="F117" s="450">
        <v>0</v>
      </c>
      <c r="G117" s="450">
        <v>0</v>
      </c>
      <c r="H117" s="450">
        <v>0</v>
      </c>
      <c r="I117" s="450">
        <v>0</v>
      </c>
      <c r="J117" s="450">
        <f t="shared" si="97"/>
        <v>0</v>
      </c>
      <c r="K117" s="450">
        <v>0</v>
      </c>
      <c r="L117" s="450">
        <v>0</v>
      </c>
      <c r="M117" s="450">
        <v>0</v>
      </c>
      <c r="N117" s="450">
        <v>0</v>
      </c>
      <c r="O117" s="441">
        <f t="shared" si="99"/>
        <v>250000</v>
      </c>
      <c r="P117" s="450">
        <v>0</v>
      </c>
      <c r="Q117" s="450">
        <v>0</v>
      </c>
      <c r="R117" s="450">
        <v>250000</v>
      </c>
      <c r="S117" s="450">
        <v>0</v>
      </c>
      <c r="T117" s="441">
        <f t="shared" si="100"/>
        <v>0</v>
      </c>
      <c r="U117" s="445">
        <v>0</v>
      </c>
      <c r="V117" s="450">
        <v>0</v>
      </c>
      <c r="W117" s="450">
        <v>0</v>
      </c>
      <c r="X117" s="450">
        <v>0</v>
      </c>
      <c r="Y117" s="441">
        <f t="shared" si="101"/>
        <v>0</v>
      </c>
      <c r="Z117" s="445">
        <v>0</v>
      </c>
      <c r="AA117" s="445">
        <v>0</v>
      </c>
      <c r="AB117" s="450">
        <v>0</v>
      </c>
      <c r="AC117" s="450">
        <v>0</v>
      </c>
      <c r="AD117" s="441">
        <f t="shared" si="102"/>
        <v>0</v>
      </c>
      <c r="AE117" s="441">
        <v>0</v>
      </c>
      <c r="AF117" s="441">
        <v>0</v>
      </c>
      <c r="AG117" s="441">
        <v>0</v>
      </c>
      <c r="AH117" s="441">
        <v>0</v>
      </c>
      <c r="AI117" s="444">
        <f t="shared" si="103"/>
        <v>0</v>
      </c>
      <c r="AJ117" s="441">
        <v>0</v>
      </c>
      <c r="AK117" s="444">
        <v>0</v>
      </c>
      <c r="AL117" s="444">
        <v>0</v>
      </c>
      <c r="AM117" s="441">
        <v>0</v>
      </c>
      <c r="AN117" s="446">
        <f t="shared" si="98"/>
        <v>250000</v>
      </c>
      <c r="AO117" s="150">
        <f t="shared" si="68"/>
        <v>250000</v>
      </c>
      <c r="AP117" s="150">
        <f t="shared" si="69"/>
        <v>0</v>
      </c>
      <c r="AQ117" s="150">
        <f t="shared" si="70"/>
        <v>0</v>
      </c>
      <c r="AR117" s="150">
        <f t="shared" si="71"/>
        <v>250000</v>
      </c>
      <c r="AS117" s="150">
        <f t="shared" si="72"/>
        <v>0</v>
      </c>
      <c r="AT117" s="165"/>
      <c r="AU117" s="164"/>
      <c r="AV117" s="164"/>
      <c r="AW117" s="164"/>
      <c r="AX117" s="164"/>
      <c r="AY117" s="150">
        <f t="shared" si="74"/>
        <v>0</v>
      </c>
      <c r="AZ117" s="150">
        <f t="shared" si="75"/>
        <v>0</v>
      </c>
      <c r="BA117" s="150">
        <f t="shared" si="76"/>
        <v>0</v>
      </c>
      <c r="BB117" s="150">
        <f t="shared" si="77"/>
        <v>0</v>
      </c>
      <c r="BC117" s="150">
        <f t="shared" si="78"/>
        <v>0</v>
      </c>
      <c r="BD117" s="224"/>
    </row>
    <row r="118" spans="1:56" s="10" customFormat="1" ht="90.6" customHeight="1" x14ac:dyDescent="0.4">
      <c r="A118" s="544">
        <v>68</v>
      </c>
      <c r="B118" s="565" t="s">
        <v>149</v>
      </c>
      <c r="C118" s="567" t="s">
        <v>123</v>
      </c>
      <c r="D118" s="26" t="s">
        <v>36</v>
      </c>
      <c r="E118" s="441">
        <f t="shared" si="104"/>
        <v>354736.4</v>
      </c>
      <c r="F118" s="445">
        <v>69173.600000000006</v>
      </c>
      <c r="G118" s="445">
        <v>285562.8</v>
      </c>
      <c r="H118" s="450">
        <v>0</v>
      </c>
      <c r="I118" s="450">
        <v>0</v>
      </c>
      <c r="J118" s="441">
        <f t="shared" si="97"/>
        <v>347137</v>
      </c>
      <c r="K118" s="445">
        <v>80356.600000000006</v>
      </c>
      <c r="L118" s="445">
        <v>266780.40000000002</v>
      </c>
      <c r="M118" s="450">
        <v>0</v>
      </c>
      <c r="N118" s="450">
        <v>0</v>
      </c>
      <c r="O118" s="463">
        <f t="shared" si="99"/>
        <v>354000.8</v>
      </c>
      <c r="P118" s="450">
        <f>83825-16836-38380-9845</f>
        <v>18764</v>
      </c>
      <c r="Q118" s="450">
        <v>335236.8</v>
      </c>
      <c r="R118" s="450">
        <v>0</v>
      </c>
      <c r="S118" s="450">
        <v>0</v>
      </c>
      <c r="T118" s="463">
        <f t="shared" si="100"/>
        <v>93973</v>
      </c>
      <c r="U118" s="450">
        <f>6549+1479-878-177</f>
        <v>6973</v>
      </c>
      <c r="V118" s="468">
        <v>87000</v>
      </c>
      <c r="W118" s="450">
        <v>0</v>
      </c>
      <c r="X118" s="450">
        <v>0</v>
      </c>
      <c r="Y118" s="441">
        <f t="shared" si="101"/>
        <v>181288</v>
      </c>
      <c r="Z118" s="445">
        <f>12269+891-3610-6</f>
        <v>9544</v>
      </c>
      <c r="AA118" s="445">
        <f>163000+8744</f>
        <v>171744</v>
      </c>
      <c r="AB118" s="450">
        <v>0</v>
      </c>
      <c r="AC118" s="450">
        <v>0</v>
      </c>
      <c r="AD118" s="441">
        <f t="shared" si="102"/>
        <v>302439.5</v>
      </c>
      <c r="AE118" s="445">
        <f>14420.2+2019.3</f>
        <v>16439.5</v>
      </c>
      <c r="AF118" s="445">
        <v>286000</v>
      </c>
      <c r="AG118" s="450">
        <v>0</v>
      </c>
      <c r="AH118" s="450">
        <v>0</v>
      </c>
      <c r="AI118" s="444">
        <f t="shared" si="103"/>
        <v>300301.09999999998</v>
      </c>
      <c r="AJ118" s="445">
        <f>12845-243.9</f>
        <v>12601.1</v>
      </c>
      <c r="AK118" s="455">
        <v>287700</v>
      </c>
      <c r="AL118" s="451">
        <v>0</v>
      </c>
      <c r="AM118" s="450">
        <v>0</v>
      </c>
      <c r="AN118" s="476">
        <f>E118+J118+O118+T118+AD118+AI118+Y118</f>
        <v>1933875.7999999998</v>
      </c>
      <c r="AO118" s="150">
        <f t="shared" si="68"/>
        <v>1933875.7999999998</v>
      </c>
      <c r="AP118" s="150">
        <f t="shared" si="69"/>
        <v>213851.80000000002</v>
      </c>
      <c r="AQ118" s="150">
        <f t="shared" si="70"/>
        <v>1720024</v>
      </c>
      <c r="AR118" s="150">
        <f t="shared" si="71"/>
        <v>0</v>
      </c>
      <c r="AS118" s="150">
        <f t="shared" si="72"/>
        <v>0</v>
      </c>
      <c r="AT118" s="165"/>
      <c r="AU118" s="164"/>
      <c r="AV118" s="164"/>
      <c r="AW118" s="164"/>
      <c r="AX118" s="164"/>
      <c r="AY118" s="150">
        <f t="shared" si="74"/>
        <v>300301.09999999998</v>
      </c>
      <c r="AZ118" s="150">
        <f t="shared" si="75"/>
        <v>12601.1</v>
      </c>
      <c r="BA118" s="150">
        <f t="shared" si="76"/>
        <v>287700</v>
      </c>
      <c r="BB118" s="150">
        <f t="shared" si="77"/>
        <v>0</v>
      </c>
      <c r="BC118" s="150">
        <f t="shared" si="78"/>
        <v>0</v>
      </c>
      <c r="BD118" s="224"/>
    </row>
    <row r="119" spans="1:56" s="415" customFormat="1" ht="91.2" customHeight="1" x14ac:dyDescent="0.4">
      <c r="A119" s="545"/>
      <c r="B119" s="566"/>
      <c r="C119" s="568"/>
      <c r="D119" s="412" t="s">
        <v>1293</v>
      </c>
      <c r="E119" s="441">
        <f t="shared" si="104"/>
        <v>0</v>
      </c>
      <c r="F119" s="445">
        <v>0</v>
      </c>
      <c r="G119" s="445">
        <v>0</v>
      </c>
      <c r="H119" s="450">
        <v>0</v>
      </c>
      <c r="I119" s="450">
        <v>0</v>
      </c>
      <c r="J119" s="441">
        <f t="shared" si="97"/>
        <v>0</v>
      </c>
      <c r="K119" s="445">
        <v>0</v>
      </c>
      <c r="L119" s="445">
        <v>0</v>
      </c>
      <c r="M119" s="450">
        <v>0</v>
      </c>
      <c r="N119" s="450">
        <v>0</v>
      </c>
      <c r="O119" s="441">
        <f t="shared" si="99"/>
        <v>0</v>
      </c>
      <c r="P119" s="445">
        <v>0</v>
      </c>
      <c r="Q119" s="445">
        <v>0</v>
      </c>
      <c r="R119" s="450">
        <v>0</v>
      </c>
      <c r="S119" s="450">
        <v>0</v>
      </c>
      <c r="T119" s="441">
        <f t="shared" si="100"/>
        <v>0</v>
      </c>
      <c r="U119" s="445">
        <v>0</v>
      </c>
      <c r="V119" s="445">
        <v>0</v>
      </c>
      <c r="W119" s="450">
        <v>0</v>
      </c>
      <c r="X119" s="450">
        <v>0</v>
      </c>
      <c r="Y119" s="441">
        <f t="shared" si="101"/>
        <v>164975</v>
      </c>
      <c r="Z119" s="445">
        <v>7919</v>
      </c>
      <c r="AA119" s="445">
        <v>157056</v>
      </c>
      <c r="AB119" s="450">
        <v>0</v>
      </c>
      <c r="AC119" s="450">
        <v>0</v>
      </c>
      <c r="AD119" s="441">
        <f t="shared" si="102"/>
        <v>0</v>
      </c>
      <c r="AE119" s="445">
        <v>0</v>
      </c>
      <c r="AF119" s="450">
        <v>0</v>
      </c>
      <c r="AG119" s="450">
        <v>0</v>
      </c>
      <c r="AH119" s="450">
        <v>0</v>
      </c>
      <c r="AI119" s="441">
        <f t="shared" si="103"/>
        <v>0</v>
      </c>
      <c r="AJ119" s="445">
        <v>0</v>
      </c>
      <c r="AK119" s="445">
        <v>0</v>
      </c>
      <c r="AL119" s="450">
        <v>0</v>
      </c>
      <c r="AM119" s="450">
        <v>0</v>
      </c>
      <c r="AN119" s="446">
        <f t="shared" si="98"/>
        <v>164975</v>
      </c>
      <c r="AO119" s="150">
        <f t="shared" si="68"/>
        <v>164975</v>
      </c>
      <c r="AP119" s="150">
        <f t="shared" si="69"/>
        <v>7919</v>
      </c>
      <c r="AQ119" s="150">
        <f t="shared" si="70"/>
        <v>157056</v>
      </c>
      <c r="AR119" s="150">
        <f t="shared" si="71"/>
        <v>0</v>
      </c>
      <c r="AS119" s="150">
        <f t="shared" si="72"/>
        <v>0</v>
      </c>
      <c r="AT119" s="165"/>
      <c r="AU119" s="413"/>
      <c r="AV119" s="413"/>
      <c r="AW119" s="413"/>
      <c r="AX119" s="413"/>
      <c r="AY119" s="150">
        <f t="shared" si="74"/>
        <v>0</v>
      </c>
      <c r="AZ119" s="150">
        <f t="shared" si="75"/>
        <v>0</v>
      </c>
      <c r="BA119" s="150">
        <f t="shared" si="76"/>
        <v>0</v>
      </c>
      <c r="BB119" s="150">
        <f t="shared" si="77"/>
        <v>0</v>
      </c>
      <c r="BC119" s="150">
        <f t="shared" si="78"/>
        <v>0</v>
      </c>
      <c r="BD119" s="414"/>
    </row>
    <row r="120" spans="1:56" s="6" customFormat="1" ht="60" customHeight="1" x14ac:dyDescent="0.4">
      <c r="A120" s="542" t="s">
        <v>1294</v>
      </c>
      <c r="B120" s="542"/>
      <c r="C120" s="542"/>
      <c r="D120" s="23"/>
      <c r="E120" s="441">
        <f>SUM(E107:E119)-E110-E113-E119-E108</f>
        <v>1215736.3999999999</v>
      </c>
      <c r="F120" s="441">
        <f t="shared" ref="F120:AM120" si="105">SUM(F107:F119)-F110-F113-F119-F108</f>
        <v>172300.7</v>
      </c>
      <c r="G120" s="441">
        <f t="shared" si="105"/>
        <v>1043435.7</v>
      </c>
      <c r="H120" s="441">
        <f t="shared" si="105"/>
        <v>0</v>
      </c>
      <c r="I120" s="441">
        <f t="shared" si="105"/>
        <v>0</v>
      </c>
      <c r="J120" s="441">
        <f t="shared" si="105"/>
        <v>1106389.1000000001</v>
      </c>
      <c r="K120" s="441">
        <f t="shared" si="105"/>
        <v>171788.6</v>
      </c>
      <c r="L120" s="441">
        <f t="shared" si="105"/>
        <v>780209.7</v>
      </c>
      <c r="M120" s="441">
        <f t="shared" si="105"/>
        <v>154390.79999999999</v>
      </c>
      <c r="N120" s="441">
        <f t="shared" si="105"/>
        <v>0</v>
      </c>
      <c r="O120" s="441">
        <f t="shared" si="105"/>
        <v>1447833.6000000001</v>
      </c>
      <c r="P120" s="441">
        <f t="shared" si="105"/>
        <v>116363.1</v>
      </c>
      <c r="Q120" s="441">
        <f t="shared" si="105"/>
        <v>1081470.5</v>
      </c>
      <c r="R120" s="441">
        <f t="shared" si="105"/>
        <v>250000</v>
      </c>
      <c r="S120" s="441">
        <f t="shared" si="105"/>
        <v>0</v>
      </c>
      <c r="T120" s="441">
        <f t="shared" si="105"/>
        <v>1384570</v>
      </c>
      <c r="U120" s="441">
        <f t="shared" si="105"/>
        <v>117722</v>
      </c>
      <c r="V120" s="441">
        <f t="shared" si="105"/>
        <v>347729</v>
      </c>
      <c r="W120" s="441">
        <f t="shared" si="105"/>
        <v>919119</v>
      </c>
      <c r="X120" s="441">
        <f t="shared" si="105"/>
        <v>0</v>
      </c>
      <c r="Y120" s="441">
        <f t="shared" si="105"/>
        <v>893544.5</v>
      </c>
      <c r="Z120" s="441">
        <f t="shared" si="105"/>
        <v>63338.5</v>
      </c>
      <c r="AA120" s="441">
        <f t="shared" si="105"/>
        <v>830206</v>
      </c>
      <c r="AB120" s="441">
        <f t="shared" si="105"/>
        <v>0</v>
      </c>
      <c r="AC120" s="441">
        <f t="shared" si="105"/>
        <v>0</v>
      </c>
      <c r="AD120" s="441">
        <f t="shared" si="105"/>
        <v>1220708.2</v>
      </c>
      <c r="AE120" s="441">
        <f t="shared" si="105"/>
        <v>68308.2</v>
      </c>
      <c r="AF120" s="441">
        <f t="shared" si="105"/>
        <v>952400</v>
      </c>
      <c r="AG120" s="441">
        <f t="shared" si="105"/>
        <v>200000</v>
      </c>
      <c r="AH120" s="441">
        <f t="shared" si="105"/>
        <v>0</v>
      </c>
      <c r="AI120" s="444">
        <f>SUM(AI107:AI119)-AI110-AI113-AI119-AI108</f>
        <v>1366354.71</v>
      </c>
      <c r="AJ120" s="441">
        <f>SUM(AJ107:AJ119)-AJ110-AJ113-AJ119-AJ108</f>
        <v>76618.709999999992</v>
      </c>
      <c r="AK120" s="444">
        <f>SUM(AK107:AK119)-AK110-AK113-AK119-AK108</f>
        <v>1149361.8999999999</v>
      </c>
      <c r="AL120" s="444">
        <f t="shared" si="105"/>
        <v>140374.1</v>
      </c>
      <c r="AM120" s="441">
        <f t="shared" si="105"/>
        <v>0</v>
      </c>
      <c r="AN120" s="446">
        <f>SUM(AN107:AN119)-AN110-AN113-AN119-AN108</f>
        <v>8635136.5099999979</v>
      </c>
      <c r="AO120" s="150">
        <f t="shared" si="68"/>
        <v>8635136.5099999998</v>
      </c>
      <c r="AP120" s="150">
        <f t="shared" si="69"/>
        <v>786439.80999999994</v>
      </c>
      <c r="AQ120" s="150">
        <f>G120+L120+Q120+V120+AA120+AF120+AK120</f>
        <v>6184812.8000000007</v>
      </c>
      <c r="AR120" s="150">
        <f t="shared" si="71"/>
        <v>1663883.9000000001</v>
      </c>
      <c r="AS120" s="150">
        <f t="shared" si="72"/>
        <v>0</v>
      </c>
      <c r="AT120" s="165"/>
      <c r="AU120" s="164"/>
      <c r="AV120" s="164"/>
      <c r="AW120" s="164"/>
      <c r="AX120" s="164"/>
      <c r="AY120" s="150">
        <f t="shared" si="74"/>
        <v>1366354.71</v>
      </c>
      <c r="AZ120" s="150">
        <f t="shared" si="75"/>
        <v>76618.709999999992</v>
      </c>
      <c r="BA120" s="150">
        <f t="shared" si="76"/>
        <v>1149361.8999999999</v>
      </c>
      <c r="BB120" s="150">
        <f t="shared" si="77"/>
        <v>140374.1</v>
      </c>
      <c r="BC120" s="150">
        <f t="shared" si="78"/>
        <v>0</v>
      </c>
      <c r="BD120" s="224"/>
    </row>
    <row r="121" spans="1:56" s="5" customFormat="1" ht="42" customHeight="1" x14ac:dyDescent="0.4">
      <c r="A121" s="561" t="s">
        <v>1295</v>
      </c>
      <c r="B121" s="561"/>
      <c r="C121" s="561"/>
      <c r="D121" s="26"/>
      <c r="E121" s="450">
        <f>E108+E110+E113+E119</f>
        <v>0</v>
      </c>
      <c r="F121" s="450">
        <f t="shared" ref="F121:AN121" si="106">F108+F110+F113+F119</f>
        <v>0</v>
      </c>
      <c r="G121" s="450">
        <f t="shared" si="106"/>
        <v>0</v>
      </c>
      <c r="H121" s="450">
        <f t="shared" si="106"/>
        <v>0</v>
      </c>
      <c r="I121" s="450">
        <f t="shared" si="106"/>
        <v>0</v>
      </c>
      <c r="J121" s="450">
        <f t="shared" si="106"/>
        <v>0</v>
      </c>
      <c r="K121" s="450">
        <f t="shared" si="106"/>
        <v>0</v>
      </c>
      <c r="L121" s="450">
        <f t="shared" si="106"/>
        <v>0</v>
      </c>
      <c r="M121" s="450">
        <f t="shared" si="106"/>
        <v>0</v>
      </c>
      <c r="N121" s="450">
        <f t="shared" si="106"/>
        <v>0</v>
      </c>
      <c r="O121" s="463">
        <f t="shared" si="106"/>
        <v>18939.400000000001</v>
      </c>
      <c r="P121" s="463">
        <f t="shared" si="106"/>
        <v>116.4</v>
      </c>
      <c r="Q121" s="463">
        <f t="shared" si="106"/>
        <v>18823</v>
      </c>
      <c r="R121" s="450">
        <f t="shared" si="106"/>
        <v>0</v>
      </c>
      <c r="S121" s="450">
        <f t="shared" si="106"/>
        <v>0</v>
      </c>
      <c r="T121" s="450">
        <f t="shared" si="106"/>
        <v>0</v>
      </c>
      <c r="U121" s="450">
        <f t="shared" si="106"/>
        <v>0</v>
      </c>
      <c r="V121" s="450">
        <f t="shared" si="106"/>
        <v>0</v>
      </c>
      <c r="W121" s="450">
        <f t="shared" si="106"/>
        <v>0</v>
      </c>
      <c r="X121" s="450">
        <f t="shared" si="106"/>
        <v>0</v>
      </c>
      <c r="Y121" s="450">
        <f t="shared" si="106"/>
        <v>164975</v>
      </c>
      <c r="Z121" s="450">
        <f t="shared" si="106"/>
        <v>7919</v>
      </c>
      <c r="AA121" s="450">
        <f t="shared" si="106"/>
        <v>157056</v>
      </c>
      <c r="AB121" s="450">
        <f t="shared" si="106"/>
        <v>0</v>
      </c>
      <c r="AC121" s="450">
        <f t="shared" si="106"/>
        <v>0</v>
      </c>
      <c r="AD121" s="450">
        <f t="shared" si="106"/>
        <v>16121</v>
      </c>
      <c r="AE121" s="450">
        <f t="shared" si="106"/>
        <v>0</v>
      </c>
      <c r="AF121" s="450">
        <f t="shared" si="106"/>
        <v>16121</v>
      </c>
      <c r="AG121" s="450">
        <f t="shared" si="106"/>
        <v>0</v>
      </c>
      <c r="AH121" s="450">
        <f t="shared" si="106"/>
        <v>0</v>
      </c>
      <c r="AI121" s="464">
        <f>AI108+AI110+AI113+AI119</f>
        <v>19689.099999999999</v>
      </c>
      <c r="AJ121" s="715">
        <f t="shared" ref="AJ121" si="107">AJ108+AJ110+AJ113+AJ119</f>
        <v>19689.099999999999</v>
      </c>
      <c r="AK121" s="469">
        <f t="shared" si="106"/>
        <v>0</v>
      </c>
      <c r="AL121" s="465">
        <f t="shared" si="106"/>
        <v>0</v>
      </c>
      <c r="AM121" s="450">
        <f t="shared" si="106"/>
        <v>0</v>
      </c>
      <c r="AN121" s="446">
        <f t="shared" si="106"/>
        <v>219724.5</v>
      </c>
      <c r="AO121" s="150">
        <f t="shared" si="68"/>
        <v>219724.5</v>
      </c>
      <c r="AP121" s="150">
        <f t="shared" si="69"/>
        <v>27724.5</v>
      </c>
      <c r="AQ121" s="150">
        <f t="shared" si="70"/>
        <v>192000</v>
      </c>
      <c r="AR121" s="150">
        <f t="shared" si="71"/>
        <v>0</v>
      </c>
      <c r="AS121" s="150">
        <f t="shared" si="72"/>
        <v>0</v>
      </c>
      <c r="AT121" s="165"/>
      <c r="AU121" s="164"/>
      <c r="AV121" s="164"/>
      <c r="AW121" s="164"/>
      <c r="AX121" s="164"/>
      <c r="AY121" s="150">
        <f t="shared" si="74"/>
        <v>19689.099999999999</v>
      </c>
      <c r="AZ121" s="150">
        <f t="shared" si="75"/>
        <v>19689.099999999999</v>
      </c>
      <c r="BA121" s="150">
        <f t="shared" si="76"/>
        <v>0</v>
      </c>
      <c r="BB121" s="150">
        <f t="shared" si="77"/>
        <v>0</v>
      </c>
      <c r="BC121" s="150">
        <f t="shared" si="78"/>
        <v>0</v>
      </c>
      <c r="BD121" s="224"/>
    </row>
    <row r="122" spans="1:56" s="5" customFormat="1" ht="66" customHeight="1" x14ac:dyDescent="0.4">
      <c r="A122" s="542" t="s">
        <v>1296</v>
      </c>
      <c r="B122" s="542"/>
      <c r="C122" s="542"/>
      <c r="D122" s="23"/>
      <c r="E122" s="441">
        <f>E120+E121</f>
        <v>1215736.3999999999</v>
      </c>
      <c r="F122" s="441">
        <f t="shared" ref="F122:AN122" si="108">F120+F121</f>
        <v>172300.7</v>
      </c>
      <c r="G122" s="441">
        <f t="shared" si="108"/>
        <v>1043435.7</v>
      </c>
      <c r="H122" s="441">
        <f t="shared" si="108"/>
        <v>0</v>
      </c>
      <c r="I122" s="441">
        <f t="shared" si="108"/>
        <v>0</v>
      </c>
      <c r="J122" s="441">
        <f t="shared" si="108"/>
        <v>1106389.1000000001</v>
      </c>
      <c r="K122" s="441">
        <f t="shared" si="108"/>
        <v>171788.6</v>
      </c>
      <c r="L122" s="441">
        <f t="shared" si="108"/>
        <v>780209.7</v>
      </c>
      <c r="M122" s="441">
        <f t="shared" si="108"/>
        <v>154390.79999999999</v>
      </c>
      <c r="N122" s="441">
        <f t="shared" si="108"/>
        <v>0</v>
      </c>
      <c r="O122" s="441">
        <f t="shared" si="108"/>
        <v>1466773</v>
      </c>
      <c r="P122" s="441">
        <f t="shared" si="108"/>
        <v>116479.5</v>
      </c>
      <c r="Q122" s="441">
        <f t="shared" si="108"/>
        <v>1100293.5</v>
      </c>
      <c r="R122" s="441">
        <f t="shared" si="108"/>
        <v>250000</v>
      </c>
      <c r="S122" s="441">
        <f t="shared" si="108"/>
        <v>0</v>
      </c>
      <c r="T122" s="441">
        <f t="shared" si="108"/>
        <v>1384570</v>
      </c>
      <c r="U122" s="441">
        <f t="shared" si="108"/>
        <v>117722</v>
      </c>
      <c r="V122" s="441">
        <f t="shared" si="108"/>
        <v>347729</v>
      </c>
      <c r="W122" s="441">
        <f t="shared" si="108"/>
        <v>919119</v>
      </c>
      <c r="X122" s="441">
        <f t="shared" si="108"/>
        <v>0</v>
      </c>
      <c r="Y122" s="441">
        <f t="shared" si="108"/>
        <v>1058519.5</v>
      </c>
      <c r="Z122" s="441">
        <f t="shared" si="108"/>
        <v>71257.5</v>
      </c>
      <c r="AA122" s="441">
        <f t="shared" si="108"/>
        <v>987262</v>
      </c>
      <c r="AB122" s="441">
        <f t="shared" si="108"/>
        <v>0</v>
      </c>
      <c r="AC122" s="441">
        <f t="shared" si="108"/>
        <v>0</v>
      </c>
      <c r="AD122" s="441">
        <f t="shared" si="108"/>
        <v>1236829.2</v>
      </c>
      <c r="AE122" s="441">
        <f t="shared" si="108"/>
        <v>68308.2</v>
      </c>
      <c r="AF122" s="441">
        <f t="shared" si="108"/>
        <v>968521</v>
      </c>
      <c r="AG122" s="441">
        <f t="shared" si="108"/>
        <v>200000</v>
      </c>
      <c r="AH122" s="441">
        <f t="shared" si="108"/>
        <v>0</v>
      </c>
      <c r="AI122" s="444">
        <f t="shared" si="108"/>
        <v>1386043.81</v>
      </c>
      <c r="AJ122" s="441">
        <f>AJ120+AJ121</f>
        <v>96307.81</v>
      </c>
      <c r="AK122" s="444">
        <f t="shared" si="108"/>
        <v>1149361.8999999999</v>
      </c>
      <c r="AL122" s="444">
        <f t="shared" si="108"/>
        <v>140374.1</v>
      </c>
      <c r="AM122" s="444">
        <f t="shared" si="108"/>
        <v>0</v>
      </c>
      <c r="AN122" s="447">
        <f t="shared" si="108"/>
        <v>8854861.0099999979</v>
      </c>
      <c r="AO122" s="150">
        <f t="shared" si="68"/>
        <v>8854861.0099999998</v>
      </c>
      <c r="AP122" s="150">
        <f t="shared" si="69"/>
        <v>814164.31</v>
      </c>
      <c r="AQ122" s="150">
        <f>G122+L122+Q122+V122+AA122+AF122+AK122</f>
        <v>6376812.8000000007</v>
      </c>
      <c r="AR122" s="150">
        <f t="shared" si="71"/>
        <v>1663883.9000000001</v>
      </c>
      <c r="AS122" s="150">
        <f t="shared" si="72"/>
        <v>0</v>
      </c>
      <c r="AT122" s="165"/>
      <c r="AU122" s="165"/>
      <c r="AV122" s="165"/>
      <c r="AW122" s="165"/>
      <c r="AX122" s="164"/>
      <c r="AY122" s="150">
        <f t="shared" si="74"/>
        <v>1386043.81</v>
      </c>
      <c r="AZ122" s="150">
        <f t="shared" si="75"/>
        <v>96307.81</v>
      </c>
      <c r="BA122" s="150">
        <f t="shared" si="76"/>
        <v>1149361.8999999999</v>
      </c>
      <c r="BB122" s="150">
        <f t="shared" si="77"/>
        <v>140374.1</v>
      </c>
      <c r="BC122" s="150">
        <f t="shared" si="78"/>
        <v>0</v>
      </c>
      <c r="BD122" s="224"/>
    </row>
    <row r="123" spans="1:56" s="6" customFormat="1" ht="42" customHeight="1" x14ac:dyDescent="0.4">
      <c r="A123" s="542" t="s">
        <v>89</v>
      </c>
      <c r="B123" s="543"/>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150">
        <f t="shared" si="68"/>
        <v>0</v>
      </c>
      <c r="AP123" s="150">
        <f t="shared" si="69"/>
        <v>0</v>
      </c>
      <c r="AQ123" s="150">
        <f t="shared" si="70"/>
        <v>0</v>
      </c>
      <c r="AR123" s="150">
        <f t="shared" si="71"/>
        <v>0</v>
      </c>
      <c r="AS123" s="150">
        <f t="shared" si="72"/>
        <v>0</v>
      </c>
      <c r="AT123" s="164"/>
      <c r="AU123" s="164"/>
      <c r="AV123" s="164"/>
      <c r="AW123" s="164"/>
      <c r="AX123" s="164"/>
      <c r="AY123" s="150">
        <f t="shared" si="74"/>
        <v>0</v>
      </c>
      <c r="AZ123" s="150">
        <f t="shared" si="75"/>
        <v>0</v>
      </c>
      <c r="BA123" s="150">
        <f t="shared" si="76"/>
        <v>0</v>
      </c>
      <c r="BB123" s="150">
        <f t="shared" si="77"/>
        <v>0</v>
      </c>
      <c r="BC123" s="150">
        <f t="shared" si="78"/>
        <v>0</v>
      </c>
      <c r="BD123" s="224"/>
    </row>
    <row r="124" spans="1:56" s="6" customFormat="1" ht="42" customHeight="1" x14ac:dyDescent="0.4">
      <c r="A124" s="546" t="s">
        <v>97</v>
      </c>
      <c r="B124" s="560"/>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c r="AG124" s="560"/>
      <c r="AH124" s="560"/>
      <c r="AI124" s="560"/>
      <c r="AJ124" s="560"/>
      <c r="AK124" s="560"/>
      <c r="AL124" s="560"/>
      <c r="AM124" s="560"/>
      <c r="AN124" s="560"/>
      <c r="AO124" s="150">
        <f t="shared" si="68"/>
        <v>0</v>
      </c>
      <c r="AP124" s="150">
        <f t="shared" si="69"/>
        <v>0</v>
      </c>
      <c r="AQ124" s="150">
        <f t="shared" si="70"/>
        <v>0</v>
      </c>
      <c r="AR124" s="150">
        <f t="shared" si="71"/>
        <v>0</v>
      </c>
      <c r="AS124" s="150">
        <f t="shared" si="72"/>
        <v>0</v>
      </c>
      <c r="AT124" s="164"/>
      <c r="AU124" s="164"/>
      <c r="AV124" s="164"/>
      <c r="AW124" s="164"/>
      <c r="AX124" s="164"/>
      <c r="AY124" s="150">
        <f t="shared" si="74"/>
        <v>0</v>
      </c>
      <c r="AZ124" s="150">
        <f t="shared" si="75"/>
        <v>0</v>
      </c>
      <c r="BA124" s="150">
        <f t="shared" si="76"/>
        <v>0</v>
      </c>
      <c r="BB124" s="150">
        <f t="shared" si="77"/>
        <v>0</v>
      </c>
      <c r="BC124" s="150">
        <f t="shared" si="78"/>
        <v>0</v>
      </c>
      <c r="BD124" s="224"/>
    </row>
    <row r="125" spans="1:56" s="6" customFormat="1" ht="42" customHeight="1" x14ac:dyDescent="0.4">
      <c r="A125" s="542" t="s">
        <v>83</v>
      </c>
      <c r="B125" s="542"/>
      <c r="C125" s="542"/>
      <c r="D125" s="542"/>
      <c r="E125" s="542"/>
      <c r="F125" s="542"/>
      <c r="G125" s="542"/>
      <c r="H125" s="542"/>
      <c r="I125" s="542"/>
      <c r="J125" s="542"/>
      <c r="K125" s="542"/>
      <c r="L125" s="542"/>
      <c r="M125" s="542"/>
      <c r="N125" s="542"/>
      <c r="O125" s="542"/>
      <c r="P125" s="542"/>
      <c r="Q125" s="542"/>
      <c r="R125" s="542"/>
      <c r="S125" s="542"/>
      <c r="T125" s="542"/>
      <c r="U125" s="542"/>
      <c r="V125" s="542"/>
      <c r="W125" s="542"/>
      <c r="X125" s="542"/>
      <c r="Y125" s="542"/>
      <c r="Z125" s="542"/>
      <c r="AA125" s="542"/>
      <c r="AB125" s="542"/>
      <c r="AC125" s="542"/>
      <c r="AD125" s="542"/>
      <c r="AE125" s="542"/>
      <c r="AF125" s="542"/>
      <c r="AG125" s="542"/>
      <c r="AH125" s="542"/>
      <c r="AI125" s="542"/>
      <c r="AJ125" s="542"/>
      <c r="AK125" s="542"/>
      <c r="AL125" s="542"/>
      <c r="AM125" s="542"/>
      <c r="AN125" s="542"/>
      <c r="AO125" s="150">
        <f t="shared" si="68"/>
        <v>0</v>
      </c>
      <c r="AP125" s="150">
        <f t="shared" si="69"/>
        <v>0</v>
      </c>
      <c r="AQ125" s="150">
        <f t="shared" si="70"/>
        <v>0</v>
      </c>
      <c r="AR125" s="150">
        <f t="shared" si="71"/>
        <v>0</v>
      </c>
      <c r="AS125" s="150">
        <f t="shared" si="72"/>
        <v>0</v>
      </c>
      <c r="AT125" s="164"/>
      <c r="AU125" s="164"/>
      <c r="AV125" s="164"/>
      <c r="AW125" s="164"/>
      <c r="AX125" s="164"/>
      <c r="AY125" s="150">
        <f t="shared" si="74"/>
        <v>0</v>
      </c>
      <c r="AZ125" s="150">
        <f t="shared" si="75"/>
        <v>0</v>
      </c>
      <c r="BA125" s="150">
        <f t="shared" si="76"/>
        <v>0</v>
      </c>
      <c r="BB125" s="150">
        <f t="shared" si="77"/>
        <v>0</v>
      </c>
      <c r="BC125" s="150">
        <f t="shared" si="78"/>
        <v>0</v>
      </c>
      <c r="BD125" s="224"/>
    </row>
    <row r="126" spans="1:56" s="6" customFormat="1" ht="42" customHeight="1" x14ac:dyDescent="0.4">
      <c r="A126" s="542" t="s">
        <v>72</v>
      </c>
      <c r="B126" s="543"/>
      <c r="C126" s="543"/>
      <c r="D126" s="543"/>
      <c r="E126" s="543"/>
      <c r="F126" s="543"/>
      <c r="G126" s="543"/>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150">
        <f t="shared" si="68"/>
        <v>0</v>
      </c>
      <c r="AP126" s="150">
        <f t="shared" si="69"/>
        <v>0</v>
      </c>
      <c r="AQ126" s="150">
        <f t="shared" si="70"/>
        <v>0</v>
      </c>
      <c r="AR126" s="150">
        <f t="shared" si="71"/>
        <v>0</v>
      </c>
      <c r="AS126" s="150">
        <f t="shared" si="72"/>
        <v>0</v>
      </c>
      <c r="AT126" s="164"/>
      <c r="AU126" s="164"/>
      <c r="AV126" s="164"/>
      <c r="AW126" s="164"/>
      <c r="AX126" s="164"/>
      <c r="AY126" s="150">
        <f t="shared" si="74"/>
        <v>0</v>
      </c>
      <c r="AZ126" s="150">
        <f t="shared" si="75"/>
        <v>0</v>
      </c>
      <c r="BA126" s="150">
        <f t="shared" si="76"/>
        <v>0</v>
      </c>
      <c r="BB126" s="150">
        <f t="shared" si="77"/>
        <v>0</v>
      </c>
      <c r="BC126" s="150">
        <f t="shared" si="78"/>
        <v>0</v>
      </c>
      <c r="BD126" s="224"/>
    </row>
    <row r="127" spans="1:56" s="7" customFormat="1" ht="159" customHeight="1" x14ac:dyDescent="0.4">
      <c r="A127" s="532">
        <v>69</v>
      </c>
      <c r="B127" s="533" t="s">
        <v>314</v>
      </c>
      <c r="C127" s="537" t="s">
        <v>117</v>
      </c>
      <c r="D127" s="29" t="s">
        <v>36</v>
      </c>
      <c r="E127" s="441">
        <f>F127+G127+H127+I127</f>
        <v>233719</v>
      </c>
      <c r="F127" s="445">
        <v>233719</v>
      </c>
      <c r="G127" s="448">
        <v>0</v>
      </c>
      <c r="H127" s="448">
        <v>0</v>
      </c>
      <c r="I127" s="448">
        <v>0</v>
      </c>
      <c r="J127" s="441">
        <f>K127+L127+M127+N127</f>
        <v>284132</v>
      </c>
      <c r="K127" s="445">
        <f>286179+556-1112-1491</f>
        <v>284132</v>
      </c>
      <c r="L127" s="445">
        <v>0</v>
      </c>
      <c r="M127" s="445">
        <v>0</v>
      </c>
      <c r="N127" s="445">
        <v>0</v>
      </c>
      <c r="O127" s="441">
        <f>P127+Q127+R127+S127</f>
        <v>289782</v>
      </c>
      <c r="P127" s="445">
        <v>289782</v>
      </c>
      <c r="Q127" s="445">
        <v>0</v>
      </c>
      <c r="R127" s="445">
        <v>0</v>
      </c>
      <c r="S127" s="445">
        <v>0</v>
      </c>
      <c r="T127" s="441">
        <f>U127+V127+W127+X127</f>
        <v>305312</v>
      </c>
      <c r="U127" s="445">
        <v>305312</v>
      </c>
      <c r="V127" s="445">
        <v>0</v>
      </c>
      <c r="W127" s="445">
        <v>0</v>
      </c>
      <c r="X127" s="445">
        <v>0</v>
      </c>
      <c r="Y127" s="441">
        <f>Z127+AA127+AB127+AC127</f>
        <v>345491</v>
      </c>
      <c r="Z127" s="445">
        <f>345491</f>
        <v>345491</v>
      </c>
      <c r="AA127" s="445">
        <v>0</v>
      </c>
      <c r="AB127" s="445">
        <v>0</v>
      </c>
      <c r="AC127" s="445">
        <v>0</v>
      </c>
      <c r="AD127" s="441">
        <f>AE127+AF127+AG127+AH127</f>
        <v>346664</v>
      </c>
      <c r="AE127" s="445">
        <v>346664</v>
      </c>
      <c r="AF127" s="445">
        <v>0</v>
      </c>
      <c r="AG127" s="445">
        <v>0</v>
      </c>
      <c r="AH127" s="445">
        <v>0</v>
      </c>
      <c r="AI127" s="444">
        <f>AJ127+AK127+AL127+AM127</f>
        <v>345098</v>
      </c>
      <c r="AJ127" s="445">
        <v>345098</v>
      </c>
      <c r="AK127" s="455">
        <v>0</v>
      </c>
      <c r="AL127" s="455">
        <v>0</v>
      </c>
      <c r="AM127" s="445">
        <v>0</v>
      </c>
      <c r="AN127" s="446">
        <f>E127+J127+O127+T127+Y127+AD127+AI127</f>
        <v>2150198</v>
      </c>
      <c r="AO127" s="150">
        <f t="shared" si="68"/>
        <v>2150198</v>
      </c>
      <c r="AP127" s="150">
        <f t="shared" si="69"/>
        <v>2150198</v>
      </c>
      <c r="AQ127" s="150">
        <f t="shared" si="70"/>
        <v>0</v>
      </c>
      <c r="AR127" s="150">
        <f t="shared" si="71"/>
        <v>0</v>
      </c>
      <c r="AS127" s="150">
        <f t="shared" si="72"/>
        <v>0</v>
      </c>
      <c r="AT127" s="164"/>
      <c r="AU127" s="164"/>
      <c r="AV127" s="164"/>
      <c r="AW127" s="164"/>
      <c r="AX127" s="164"/>
      <c r="AY127" s="150">
        <f t="shared" si="74"/>
        <v>345098</v>
      </c>
      <c r="AZ127" s="150">
        <f t="shared" si="75"/>
        <v>345098</v>
      </c>
      <c r="BA127" s="150">
        <f t="shared" si="76"/>
        <v>0</v>
      </c>
      <c r="BB127" s="150">
        <f t="shared" si="77"/>
        <v>0</v>
      </c>
      <c r="BC127" s="150">
        <f t="shared" si="78"/>
        <v>0</v>
      </c>
      <c r="BD127" s="229"/>
    </row>
    <row r="128" spans="1:56" s="7" customFormat="1" ht="113.1" customHeight="1" x14ac:dyDescent="0.4">
      <c r="A128" s="532">
        <v>70</v>
      </c>
      <c r="B128" s="533" t="s">
        <v>126</v>
      </c>
      <c r="C128" s="537" t="s">
        <v>117</v>
      </c>
      <c r="D128" s="29" t="s">
        <v>36</v>
      </c>
      <c r="E128" s="441">
        <f>F128+G128+H128+I128</f>
        <v>397</v>
      </c>
      <c r="F128" s="445">
        <v>397</v>
      </c>
      <c r="G128" s="445">
        <v>0</v>
      </c>
      <c r="H128" s="445">
        <v>0</v>
      </c>
      <c r="I128" s="445">
        <v>0</v>
      </c>
      <c r="J128" s="441">
        <f>K128+L128+M128+N128</f>
        <v>331</v>
      </c>
      <c r="K128" s="445">
        <v>331</v>
      </c>
      <c r="L128" s="445">
        <v>0</v>
      </c>
      <c r="M128" s="445">
        <v>0</v>
      </c>
      <c r="N128" s="445">
        <v>0</v>
      </c>
      <c r="O128" s="441">
        <f>P128+Q128+R128+S128</f>
        <v>330</v>
      </c>
      <c r="P128" s="445">
        <v>330</v>
      </c>
      <c r="Q128" s="445">
        <v>0</v>
      </c>
      <c r="R128" s="445">
        <v>0</v>
      </c>
      <c r="S128" s="445">
        <v>0</v>
      </c>
      <c r="T128" s="441">
        <f>U128+V128+W128+X128</f>
        <v>511</v>
      </c>
      <c r="U128" s="445">
        <f>438+73</f>
        <v>511</v>
      </c>
      <c r="V128" s="445">
        <v>0</v>
      </c>
      <c r="W128" s="445">
        <v>0</v>
      </c>
      <c r="X128" s="445">
        <v>0</v>
      </c>
      <c r="Y128" s="441">
        <f>Z128+AA128+AB128+AC128</f>
        <v>846</v>
      </c>
      <c r="Z128" s="445">
        <f>438+408</f>
        <v>846</v>
      </c>
      <c r="AA128" s="445">
        <v>0</v>
      </c>
      <c r="AB128" s="445">
        <v>0</v>
      </c>
      <c r="AC128" s="445">
        <v>0</v>
      </c>
      <c r="AD128" s="441">
        <f>AE128+AF128+AG128+AH128</f>
        <v>846</v>
      </c>
      <c r="AE128" s="445">
        <f>438+408</f>
        <v>846</v>
      </c>
      <c r="AF128" s="445">
        <v>0</v>
      </c>
      <c r="AG128" s="445">
        <v>0</v>
      </c>
      <c r="AH128" s="445">
        <v>0</v>
      </c>
      <c r="AI128" s="444">
        <f>AJ128+AK128+AL128+AM128</f>
        <v>846</v>
      </c>
      <c r="AJ128" s="445">
        <v>846</v>
      </c>
      <c r="AK128" s="455">
        <v>0</v>
      </c>
      <c r="AL128" s="455">
        <v>0</v>
      </c>
      <c r="AM128" s="445">
        <v>0</v>
      </c>
      <c r="AN128" s="446">
        <f>E128+J128+O128+T128+Y128+AD128+AI128</f>
        <v>4107</v>
      </c>
      <c r="AO128" s="150">
        <f t="shared" si="68"/>
        <v>4107</v>
      </c>
      <c r="AP128" s="150">
        <f t="shared" si="69"/>
        <v>4107</v>
      </c>
      <c r="AQ128" s="150">
        <f t="shared" si="70"/>
        <v>0</v>
      </c>
      <c r="AR128" s="150">
        <f t="shared" si="71"/>
        <v>0</v>
      </c>
      <c r="AS128" s="150">
        <f t="shared" si="72"/>
        <v>0</v>
      </c>
      <c r="AT128" s="164"/>
      <c r="AU128" s="164"/>
      <c r="AV128" s="164"/>
      <c r="AW128" s="164"/>
      <c r="AX128" s="164"/>
      <c r="AY128" s="150">
        <f t="shared" si="74"/>
        <v>846</v>
      </c>
      <c r="AZ128" s="150">
        <f t="shared" si="75"/>
        <v>846</v>
      </c>
      <c r="BA128" s="150">
        <f t="shared" si="76"/>
        <v>0</v>
      </c>
      <c r="BB128" s="150">
        <f t="shared" si="77"/>
        <v>0</v>
      </c>
      <c r="BC128" s="150">
        <f t="shared" si="78"/>
        <v>0</v>
      </c>
      <c r="BD128" s="229"/>
    </row>
    <row r="129" spans="1:56" s="7" customFormat="1" ht="42" customHeight="1" x14ac:dyDescent="0.4">
      <c r="A129" s="561" t="s">
        <v>73</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150">
        <f t="shared" si="68"/>
        <v>0</v>
      </c>
      <c r="AP129" s="150">
        <f t="shared" si="69"/>
        <v>0</v>
      </c>
      <c r="AQ129" s="150">
        <f t="shared" si="70"/>
        <v>0</v>
      </c>
      <c r="AR129" s="150">
        <f t="shared" si="71"/>
        <v>0</v>
      </c>
      <c r="AS129" s="150">
        <f t="shared" si="72"/>
        <v>0</v>
      </c>
      <c r="AT129" s="164"/>
      <c r="AU129" s="164"/>
      <c r="AV129" s="164"/>
      <c r="AW129" s="164"/>
      <c r="AX129" s="164"/>
      <c r="AY129" s="150">
        <f t="shared" si="74"/>
        <v>0</v>
      </c>
      <c r="AZ129" s="150">
        <f t="shared" si="75"/>
        <v>0</v>
      </c>
      <c r="BA129" s="150">
        <f t="shared" si="76"/>
        <v>0</v>
      </c>
      <c r="BB129" s="150">
        <f t="shared" si="77"/>
        <v>0</v>
      </c>
      <c r="BC129" s="150">
        <f t="shared" si="78"/>
        <v>0</v>
      </c>
      <c r="BD129" s="229"/>
    </row>
    <row r="130" spans="1:56" s="7" customFormat="1" ht="42.6" customHeight="1" x14ac:dyDescent="0.4">
      <c r="A130" s="544">
        <v>71</v>
      </c>
      <c r="B130" s="565" t="s">
        <v>53</v>
      </c>
      <c r="C130" s="567" t="s">
        <v>117</v>
      </c>
      <c r="D130" s="29" t="s">
        <v>36</v>
      </c>
      <c r="E130" s="441">
        <f>F130+G130+H130+I130</f>
        <v>8015</v>
      </c>
      <c r="F130" s="445">
        <v>8015</v>
      </c>
      <c r="G130" s="445">
        <v>0</v>
      </c>
      <c r="H130" s="445">
        <v>0</v>
      </c>
      <c r="I130" s="445">
        <v>0</v>
      </c>
      <c r="J130" s="441">
        <f>K130+L130+M130+N130</f>
        <v>17835</v>
      </c>
      <c r="K130" s="445">
        <f>18015-180</f>
        <v>17835</v>
      </c>
      <c r="L130" s="445">
        <v>0</v>
      </c>
      <c r="M130" s="445">
        <v>0</v>
      </c>
      <c r="N130" s="445">
        <v>0</v>
      </c>
      <c r="O130" s="441">
        <f>P130+Q130+R130+S130</f>
        <v>8925</v>
      </c>
      <c r="P130" s="445">
        <f>9015-45-45</f>
        <v>8925</v>
      </c>
      <c r="Q130" s="445">
        <v>0</v>
      </c>
      <c r="R130" s="445">
        <v>0</v>
      </c>
      <c r="S130" s="445">
        <v>0</v>
      </c>
      <c r="T130" s="441">
        <f>U130+V130+W130+X130</f>
        <v>17925</v>
      </c>
      <c r="U130" s="445">
        <v>17925</v>
      </c>
      <c r="V130" s="445">
        <v>0</v>
      </c>
      <c r="W130" s="445">
        <v>0</v>
      </c>
      <c r="X130" s="445">
        <v>0</v>
      </c>
      <c r="Y130" s="441">
        <f>Z130+AA130+AB130+AC130</f>
        <v>15674</v>
      </c>
      <c r="Z130" s="445">
        <v>15674</v>
      </c>
      <c r="AA130" s="445">
        <v>0</v>
      </c>
      <c r="AB130" s="445">
        <v>0</v>
      </c>
      <c r="AC130" s="445">
        <v>0</v>
      </c>
      <c r="AD130" s="441">
        <f>AE130+AF130+AG130+AH130</f>
        <v>39332</v>
      </c>
      <c r="AE130" s="445">
        <v>39332</v>
      </c>
      <c r="AF130" s="445">
        <v>0</v>
      </c>
      <c r="AG130" s="445">
        <v>0</v>
      </c>
      <c r="AH130" s="445">
        <v>0</v>
      </c>
      <c r="AI130" s="444">
        <f>AJ130+AK130+AL130+AM130</f>
        <v>45973</v>
      </c>
      <c r="AJ130" s="445">
        <f>40552+5421</f>
        <v>45973</v>
      </c>
      <c r="AK130" s="455">
        <v>0</v>
      </c>
      <c r="AL130" s="455">
        <v>0</v>
      </c>
      <c r="AM130" s="445">
        <v>0</v>
      </c>
      <c r="AN130" s="446">
        <f t="shared" ref="AN130:AN135" si="109">E130+J130+O130+T130+Y130+AD130+AI130</f>
        <v>153679</v>
      </c>
      <c r="AO130" s="150">
        <f t="shared" si="68"/>
        <v>153679</v>
      </c>
      <c r="AP130" s="150">
        <f t="shared" si="69"/>
        <v>153679</v>
      </c>
      <c r="AQ130" s="150">
        <f t="shared" si="70"/>
        <v>0</v>
      </c>
      <c r="AR130" s="150">
        <f t="shared" si="71"/>
        <v>0</v>
      </c>
      <c r="AS130" s="150">
        <f t="shared" si="72"/>
        <v>0</v>
      </c>
      <c r="AT130" s="164"/>
      <c r="AU130" s="164"/>
      <c r="AV130" s="164"/>
      <c r="AW130" s="164"/>
      <c r="AX130" s="164"/>
      <c r="AY130" s="150">
        <f t="shared" si="74"/>
        <v>45973</v>
      </c>
      <c r="AZ130" s="150">
        <f t="shared" si="75"/>
        <v>45973</v>
      </c>
      <c r="BA130" s="150">
        <f t="shared" si="76"/>
        <v>0</v>
      </c>
      <c r="BB130" s="150">
        <f t="shared" si="77"/>
        <v>0</v>
      </c>
      <c r="BC130" s="150">
        <f t="shared" si="78"/>
        <v>0</v>
      </c>
      <c r="BD130" s="229"/>
    </row>
    <row r="131" spans="1:56" s="7" customFormat="1" ht="82.95" customHeight="1" x14ac:dyDescent="0.4">
      <c r="A131" s="545"/>
      <c r="B131" s="566"/>
      <c r="C131" s="568"/>
      <c r="D131" s="412" t="s">
        <v>1291</v>
      </c>
      <c r="E131" s="441"/>
      <c r="F131" s="445"/>
      <c r="G131" s="445"/>
      <c r="H131" s="445"/>
      <c r="I131" s="445"/>
      <c r="J131" s="441"/>
      <c r="K131" s="445"/>
      <c r="L131" s="445"/>
      <c r="M131" s="445"/>
      <c r="N131" s="445"/>
      <c r="O131" s="441"/>
      <c r="P131" s="445"/>
      <c r="Q131" s="445"/>
      <c r="R131" s="445"/>
      <c r="S131" s="445"/>
      <c r="T131" s="441"/>
      <c r="U131" s="445"/>
      <c r="V131" s="445"/>
      <c r="W131" s="445"/>
      <c r="X131" s="445"/>
      <c r="Y131" s="441"/>
      <c r="Z131" s="445"/>
      <c r="AA131" s="445"/>
      <c r="AB131" s="445"/>
      <c r="AC131" s="445"/>
      <c r="AD131" s="441"/>
      <c r="AE131" s="445"/>
      <c r="AF131" s="445"/>
      <c r="AG131" s="445"/>
      <c r="AH131" s="445"/>
      <c r="AI131" s="444">
        <f>AJ131+AK131+AL131+AM131</f>
        <v>20222</v>
      </c>
      <c r="AJ131" s="445">
        <v>20222</v>
      </c>
      <c r="AK131" s="455"/>
      <c r="AL131" s="455"/>
      <c r="AM131" s="445"/>
      <c r="AN131" s="446">
        <f t="shared" si="109"/>
        <v>20222</v>
      </c>
      <c r="AO131" s="150">
        <f t="shared" si="68"/>
        <v>20222</v>
      </c>
      <c r="AP131" s="150">
        <f t="shared" si="69"/>
        <v>20222</v>
      </c>
      <c r="AQ131" s="150">
        <f t="shared" si="70"/>
        <v>0</v>
      </c>
      <c r="AR131" s="150">
        <f t="shared" si="71"/>
        <v>0</v>
      </c>
      <c r="AS131" s="150">
        <f t="shared" si="72"/>
        <v>0</v>
      </c>
      <c r="AT131" s="164"/>
      <c r="AU131" s="164"/>
      <c r="AV131" s="164"/>
      <c r="AW131" s="164"/>
      <c r="AX131" s="164"/>
      <c r="AY131" s="150">
        <f t="shared" si="74"/>
        <v>20222</v>
      </c>
      <c r="AZ131" s="150">
        <f t="shared" si="75"/>
        <v>20222</v>
      </c>
      <c r="BA131" s="150">
        <f t="shared" si="76"/>
        <v>0</v>
      </c>
      <c r="BB131" s="150">
        <f t="shared" si="77"/>
        <v>0</v>
      </c>
      <c r="BC131" s="150">
        <f t="shared" si="78"/>
        <v>0</v>
      </c>
      <c r="BD131" s="229"/>
    </row>
    <row r="132" spans="1:56" s="7" customFormat="1" ht="269.39999999999998" customHeight="1" x14ac:dyDescent="0.4">
      <c r="A132" s="532">
        <v>72</v>
      </c>
      <c r="B132" s="533" t="s">
        <v>1276</v>
      </c>
      <c r="C132" s="537" t="s">
        <v>117</v>
      </c>
      <c r="D132" s="30" t="s">
        <v>138</v>
      </c>
      <c r="E132" s="441">
        <f>F132+G132+H132+I132</f>
        <v>281</v>
      </c>
      <c r="F132" s="445">
        <f>442-161</f>
        <v>281</v>
      </c>
      <c r="G132" s="445">
        <v>0</v>
      </c>
      <c r="H132" s="445">
        <v>0</v>
      </c>
      <c r="I132" s="445">
        <v>0</v>
      </c>
      <c r="J132" s="441">
        <f>K132+L132+M132+N132</f>
        <v>0</v>
      </c>
      <c r="K132" s="445">
        <v>0</v>
      </c>
      <c r="L132" s="445">
        <v>0</v>
      </c>
      <c r="M132" s="445">
        <v>0</v>
      </c>
      <c r="N132" s="445">
        <v>0</v>
      </c>
      <c r="O132" s="441">
        <f>P132+Q132+R132+S132</f>
        <v>0</v>
      </c>
      <c r="P132" s="445">
        <v>0</v>
      </c>
      <c r="Q132" s="445">
        <v>0</v>
      </c>
      <c r="R132" s="445">
        <v>0</v>
      </c>
      <c r="S132" s="445">
        <v>0</v>
      </c>
      <c r="T132" s="441">
        <f t="shared" ref="T132:T135" si="110">U132+V132+W132+X132</f>
        <v>0</v>
      </c>
      <c r="U132" s="445">
        <v>0</v>
      </c>
      <c r="V132" s="445">
        <v>0</v>
      </c>
      <c r="W132" s="445">
        <v>0</v>
      </c>
      <c r="X132" s="445">
        <v>0</v>
      </c>
      <c r="Y132" s="441">
        <f t="shared" ref="Y132:Y135" si="111">Z132+AA132+AB132+AC132</f>
        <v>0</v>
      </c>
      <c r="Z132" s="445">
        <v>0</v>
      </c>
      <c r="AA132" s="445">
        <v>0</v>
      </c>
      <c r="AB132" s="445">
        <v>0</v>
      </c>
      <c r="AC132" s="445">
        <v>0</v>
      </c>
      <c r="AD132" s="441">
        <f t="shared" ref="AD132:AD135" si="112">AE132+AF132+AG132+AH132</f>
        <v>669</v>
      </c>
      <c r="AE132" s="445">
        <f>671-2</f>
        <v>669</v>
      </c>
      <c r="AF132" s="445">
        <v>0</v>
      </c>
      <c r="AG132" s="445">
        <v>0</v>
      </c>
      <c r="AH132" s="445">
        <v>0</v>
      </c>
      <c r="AI132" s="444">
        <f t="shared" ref="AI132:AI135" si="113">AJ132+AK132+AL132+AM132</f>
        <v>0</v>
      </c>
      <c r="AJ132" s="445">
        <v>0</v>
      </c>
      <c r="AK132" s="455">
        <v>0</v>
      </c>
      <c r="AL132" s="455">
        <v>0</v>
      </c>
      <c r="AM132" s="445">
        <v>0</v>
      </c>
      <c r="AN132" s="446">
        <f t="shared" si="109"/>
        <v>950</v>
      </c>
      <c r="AO132" s="150">
        <f t="shared" si="68"/>
        <v>950</v>
      </c>
      <c r="AP132" s="150">
        <f t="shared" si="69"/>
        <v>950</v>
      </c>
      <c r="AQ132" s="150">
        <f t="shared" si="70"/>
        <v>0</v>
      </c>
      <c r="AR132" s="150">
        <f t="shared" si="71"/>
        <v>0</v>
      </c>
      <c r="AS132" s="150">
        <f t="shared" si="72"/>
        <v>0</v>
      </c>
      <c r="AT132" s="164"/>
      <c r="AU132" s="164"/>
      <c r="AV132" s="164"/>
      <c r="AW132" s="164"/>
      <c r="AX132" s="164"/>
      <c r="AY132" s="150">
        <f t="shared" si="74"/>
        <v>0</v>
      </c>
      <c r="AZ132" s="150">
        <f t="shared" si="75"/>
        <v>0</v>
      </c>
      <c r="BA132" s="150">
        <f t="shared" si="76"/>
        <v>0</v>
      </c>
      <c r="BB132" s="150">
        <f t="shared" si="77"/>
        <v>0</v>
      </c>
      <c r="BC132" s="150">
        <f t="shared" si="78"/>
        <v>0</v>
      </c>
      <c r="BD132" s="229"/>
    </row>
    <row r="133" spans="1:56" s="7" customFormat="1" ht="111.6" customHeight="1" x14ac:dyDescent="0.4">
      <c r="A133" s="544">
        <v>73</v>
      </c>
      <c r="B133" s="717" t="s">
        <v>145</v>
      </c>
      <c r="C133" s="567" t="s">
        <v>117</v>
      </c>
      <c r="D133" s="31" t="s">
        <v>124</v>
      </c>
      <c r="E133" s="441">
        <f>F133+G133+H133+I133</f>
        <v>0</v>
      </c>
      <c r="F133" s="445">
        <v>0</v>
      </c>
      <c r="G133" s="445">
        <v>0</v>
      </c>
      <c r="H133" s="445">
        <v>0</v>
      </c>
      <c r="I133" s="445">
        <v>0</v>
      </c>
      <c r="J133" s="441">
        <f>K133+L133+M133+N133</f>
        <v>0</v>
      </c>
      <c r="K133" s="445">
        <v>0</v>
      </c>
      <c r="L133" s="445">
        <v>0</v>
      </c>
      <c r="M133" s="445">
        <v>0</v>
      </c>
      <c r="N133" s="445">
        <v>0</v>
      </c>
      <c r="O133" s="441">
        <f>P133+Q133+R133+S133</f>
        <v>0</v>
      </c>
      <c r="P133" s="445">
        <f>854-854</f>
        <v>0</v>
      </c>
      <c r="Q133" s="445">
        <v>0</v>
      </c>
      <c r="R133" s="445">
        <v>0</v>
      </c>
      <c r="S133" s="445">
        <v>0</v>
      </c>
      <c r="T133" s="441">
        <f t="shared" si="110"/>
        <v>495</v>
      </c>
      <c r="U133" s="445">
        <v>495</v>
      </c>
      <c r="V133" s="445">
        <v>0</v>
      </c>
      <c r="W133" s="445">
        <v>0</v>
      </c>
      <c r="X133" s="445">
        <v>0</v>
      </c>
      <c r="Y133" s="441">
        <f t="shared" si="111"/>
        <v>5324</v>
      </c>
      <c r="Z133" s="445">
        <v>5324</v>
      </c>
      <c r="AA133" s="445">
        <v>0</v>
      </c>
      <c r="AB133" s="445">
        <v>0</v>
      </c>
      <c r="AC133" s="445">
        <v>0</v>
      </c>
      <c r="AD133" s="441">
        <f t="shared" si="112"/>
        <v>1901</v>
      </c>
      <c r="AE133" s="445">
        <f>1936-35</f>
        <v>1901</v>
      </c>
      <c r="AF133" s="445">
        <v>0</v>
      </c>
      <c r="AG133" s="445">
        <v>0</v>
      </c>
      <c r="AH133" s="445">
        <v>0</v>
      </c>
      <c r="AI133" s="444">
        <f t="shared" si="113"/>
        <v>0</v>
      </c>
      <c r="AJ133" s="445">
        <v>0</v>
      </c>
      <c r="AK133" s="455">
        <v>0</v>
      </c>
      <c r="AL133" s="455">
        <v>0</v>
      </c>
      <c r="AM133" s="445">
        <v>0</v>
      </c>
      <c r="AN133" s="446">
        <f t="shared" si="109"/>
        <v>7720</v>
      </c>
      <c r="AO133" s="150">
        <f t="shared" si="68"/>
        <v>7720</v>
      </c>
      <c r="AP133" s="150">
        <f t="shared" si="69"/>
        <v>7720</v>
      </c>
      <c r="AQ133" s="150">
        <f t="shared" si="70"/>
        <v>0</v>
      </c>
      <c r="AR133" s="150">
        <f t="shared" si="71"/>
        <v>0</v>
      </c>
      <c r="AS133" s="150">
        <f t="shared" si="72"/>
        <v>0</v>
      </c>
      <c r="AT133" s="164"/>
      <c r="AU133" s="164"/>
      <c r="AV133" s="164"/>
      <c r="AW133" s="164"/>
      <c r="AX133" s="164"/>
      <c r="AY133" s="150">
        <f t="shared" si="74"/>
        <v>0</v>
      </c>
      <c r="AZ133" s="150">
        <f t="shared" si="75"/>
        <v>0</v>
      </c>
      <c r="BA133" s="150">
        <f t="shared" si="76"/>
        <v>0</v>
      </c>
      <c r="BB133" s="150">
        <f t="shared" si="77"/>
        <v>0</v>
      </c>
      <c r="BC133" s="150">
        <f t="shared" si="78"/>
        <v>0</v>
      </c>
      <c r="BD133" s="229"/>
    </row>
    <row r="134" spans="1:56" s="7" customFormat="1" ht="60" customHeight="1" x14ac:dyDescent="0.4">
      <c r="A134" s="545"/>
      <c r="B134" s="718"/>
      <c r="C134" s="568"/>
      <c r="D134" s="412" t="s">
        <v>1291</v>
      </c>
      <c r="E134" s="441"/>
      <c r="F134" s="445"/>
      <c r="G134" s="445"/>
      <c r="H134" s="445"/>
      <c r="I134" s="445"/>
      <c r="J134" s="441"/>
      <c r="K134" s="445"/>
      <c r="L134" s="445"/>
      <c r="M134" s="445"/>
      <c r="N134" s="445"/>
      <c r="O134" s="441"/>
      <c r="P134" s="445"/>
      <c r="Q134" s="445"/>
      <c r="R134" s="445"/>
      <c r="S134" s="445"/>
      <c r="T134" s="441"/>
      <c r="U134" s="445"/>
      <c r="V134" s="445"/>
      <c r="W134" s="445"/>
      <c r="X134" s="445"/>
      <c r="Y134" s="441"/>
      <c r="Z134" s="445"/>
      <c r="AA134" s="445"/>
      <c r="AB134" s="445"/>
      <c r="AC134" s="445"/>
      <c r="AD134" s="441"/>
      <c r="AE134" s="445"/>
      <c r="AF134" s="445"/>
      <c r="AG134" s="445"/>
      <c r="AH134" s="445"/>
      <c r="AI134" s="441">
        <f t="shared" si="113"/>
        <v>1900</v>
      </c>
      <c r="AJ134" s="445">
        <v>1900</v>
      </c>
      <c r="AK134" s="445">
        <v>0</v>
      </c>
      <c r="AL134" s="445">
        <v>0</v>
      </c>
      <c r="AM134" s="445">
        <v>0</v>
      </c>
      <c r="AN134" s="446">
        <f t="shared" si="109"/>
        <v>1900</v>
      </c>
      <c r="AO134" s="150"/>
      <c r="AP134" s="150"/>
      <c r="AQ134" s="150"/>
      <c r="AR134" s="150"/>
      <c r="AS134" s="150"/>
      <c r="AT134" s="164"/>
      <c r="AU134" s="164"/>
      <c r="AV134" s="164"/>
      <c r="AW134" s="164"/>
      <c r="AX134" s="164"/>
      <c r="AY134" s="150"/>
      <c r="AZ134" s="150">
        <f t="shared" si="75"/>
        <v>1900</v>
      </c>
      <c r="BA134" s="150"/>
      <c r="BB134" s="150"/>
      <c r="BC134" s="150"/>
      <c r="BD134" s="229"/>
    </row>
    <row r="135" spans="1:56" s="7" customFormat="1" ht="137.4" customHeight="1" x14ac:dyDescent="0.4">
      <c r="A135" s="532">
        <v>74</v>
      </c>
      <c r="B135" s="533" t="s">
        <v>144</v>
      </c>
      <c r="C135" s="537" t="s">
        <v>117</v>
      </c>
      <c r="D135" s="30">
        <v>2018</v>
      </c>
      <c r="E135" s="441">
        <f>F135+G135+H135+I135</f>
        <v>0</v>
      </c>
      <c r="F135" s="445">
        <v>0</v>
      </c>
      <c r="G135" s="445">
        <v>0</v>
      </c>
      <c r="H135" s="445">
        <v>0</v>
      </c>
      <c r="I135" s="445">
        <v>0</v>
      </c>
      <c r="J135" s="441">
        <f>K135+L135+M135+N135</f>
        <v>0</v>
      </c>
      <c r="K135" s="445">
        <v>0</v>
      </c>
      <c r="L135" s="445">
        <v>0</v>
      </c>
      <c r="M135" s="445">
        <v>0</v>
      </c>
      <c r="N135" s="445">
        <v>0</v>
      </c>
      <c r="O135" s="441">
        <f>P135+Q135+R135+S135</f>
        <v>0</v>
      </c>
      <c r="P135" s="445">
        <f>854-854</f>
        <v>0</v>
      </c>
      <c r="Q135" s="445">
        <v>0</v>
      </c>
      <c r="R135" s="445">
        <v>0</v>
      </c>
      <c r="S135" s="445">
        <v>0</v>
      </c>
      <c r="T135" s="441">
        <f t="shared" si="110"/>
        <v>0</v>
      </c>
      <c r="U135" s="445">
        <v>0</v>
      </c>
      <c r="V135" s="445">
        <v>0</v>
      </c>
      <c r="W135" s="445">
        <v>0</v>
      </c>
      <c r="X135" s="445">
        <v>0</v>
      </c>
      <c r="Y135" s="441">
        <f t="shared" si="111"/>
        <v>3239</v>
      </c>
      <c r="Z135" s="445">
        <v>3239</v>
      </c>
      <c r="AA135" s="445">
        <v>0</v>
      </c>
      <c r="AB135" s="445">
        <v>0</v>
      </c>
      <c r="AC135" s="445">
        <v>0</v>
      </c>
      <c r="AD135" s="441">
        <f t="shared" si="112"/>
        <v>0</v>
      </c>
      <c r="AE135" s="445">
        <v>0</v>
      </c>
      <c r="AF135" s="445">
        <v>0</v>
      </c>
      <c r="AG135" s="445">
        <v>0</v>
      </c>
      <c r="AH135" s="445">
        <v>0</v>
      </c>
      <c r="AI135" s="444">
        <f t="shared" si="113"/>
        <v>0</v>
      </c>
      <c r="AJ135" s="445">
        <v>0</v>
      </c>
      <c r="AK135" s="455">
        <v>0</v>
      </c>
      <c r="AL135" s="455">
        <v>0</v>
      </c>
      <c r="AM135" s="445">
        <v>0</v>
      </c>
      <c r="AN135" s="446">
        <f t="shared" si="109"/>
        <v>3239</v>
      </c>
      <c r="AO135" s="150">
        <f t="shared" si="68"/>
        <v>3239</v>
      </c>
      <c r="AP135" s="150">
        <f t="shared" si="69"/>
        <v>3239</v>
      </c>
      <c r="AQ135" s="150">
        <f t="shared" si="70"/>
        <v>0</v>
      </c>
      <c r="AR135" s="150">
        <f t="shared" si="71"/>
        <v>0</v>
      </c>
      <c r="AS135" s="150">
        <f t="shared" si="72"/>
        <v>0</v>
      </c>
      <c r="AT135" s="164"/>
      <c r="AU135" s="164"/>
      <c r="AV135" s="164"/>
      <c r="AW135" s="164"/>
      <c r="AX135" s="164"/>
      <c r="AY135" s="150">
        <f t="shared" si="74"/>
        <v>0</v>
      </c>
      <c r="AZ135" s="150">
        <f t="shared" si="75"/>
        <v>0</v>
      </c>
      <c r="BA135" s="150">
        <f t="shared" si="76"/>
        <v>0</v>
      </c>
      <c r="BB135" s="150">
        <f t="shared" si="77"/>
        <v>0</v>
      </c>
      <c r="BC135" s="150">
        <f t="shared" si="78"/>
        <v>0</v>
      </c>
      <c r="BD135" s="229"/>
    </row>
    <row r="136" spans="1:56" s="11" customFormat="1" ht="42" customHeight="1" x14ac:dyDescent="0.4">
      <c r="A136" s="28"/>
      <c r="B136" s="562" t="s">
        <v>1307</v>
      </c>
      <c r="C136" s="564"/>
      <c r="D136" s="26"/>
      <c r="E136" s="441">
        <f>SUM(E127:E135)</f>
        <v>242412</v>
      </c>
      <c r="F136" s="441">
        <f t="shared" ref="F136:AH136" si="114">SUM(F127:F135)</f>
        <v>242412</v>
      </c>
      <c r="G136" s="441">
        <f t="shared" si="114"/>
        <v>0</v>
      </c>
      <c r="H136" s="441">
        <f t="shared" si="114"/>
        <v>0</v>
      </c>
      <c r="I136" s="441">
        <f t="shared" si="114"/>
        <v>0</v>
      </c>
      <c r="J136" s="441">
        <f t="shared" si="114"/>
        <v>302298</v>
      </c>
      <c r="K136" s="441">
        <f t="shared" si="114"/>
        <v>302298</v>
      </c>
      <c r="L136" s="441">
        <f t="shared" si="114"/>
        <v>0</v>
      </c>
      <c r="M136" s="441">
        <f t="shared" si="114"/>
        <v>0</v>
      </c>
      <c r="N136" s="441">
        <f t="shared" si="114"/>
        <v>0</v>
      </c>
      <c r="O136" s="441">
        <f t="shared" si="114"/>
        <v>299037</v>
      </c>
      <c r="P136" s="441">
        <f t="shared" si="114"/>
        <v>299037</v>
      </c>
      <c r="Q136" s="441">
        <f t="shared" si="114"/>
        <v>0</v>
      </c>
      <c r="R136" s="441">
        <f t="shared" si="114"/>
        <v>0</v>
      </c>
      <c r="S136" s="441">
        <f t="shared" si="114"/>
        <v>0</v>
      </c>
      <c r="T136" s="441">
        <f t="shared" si="114"/>
        <v>324243</v>
      </c>
      <c r="U136" s="441">
        <f t="shared" si="114"/>
        <v>324243</v>
      </c>
      <c r="V136" s="441">
        <f t="shared" si="114"/>
        <v>0</v>
      </c>
      <c r="W136" s="441">
        <f t="shared" si="114"/>
        <v>0</v>
      </c>
      <c r="X136" s="441">
        <f t="shared" si="114"/>
        <v>0</v>
      </c>
      <c r="Y136" s="441">
        <f t="shared" si="114"/>
        <v>370574</v>
      </c>
      <c r="Z136" s="441">
        <f t="shared" si="114"/>
        <v>370574</v>
      </c>
      <c r="AA136" s="441">
        <f t="shared" si="114"/>
        <v>0</v>
      </c>
      <c r="AB136" s="441">
        <f t="shared" si="114"/>
        <v>0</v>
      </c>
      <c r="AC136" s="441">
        <f t="shared" si="114"/>
        <v>0</v>
      </c>
      <c r="AD136" s="441">
        <f t="shared" si="114"/>
        <v>389412</v>
      </c>
      <c r="AE136" s="441">
        <f t="shared" si="114"/>
        <v>389412</v>
      </c>
      <c r="AF136" s="441">
        <f t="shared" si="114"/>
        <v>0</v>
      </c>
      <c r="AG136" s="441">
        <f t="shared" si="114"/>
        <v>0</v>
      </c>
      <c r="AH136" s="441">
        <f t="shared" si="114"/>
        <v>0</v>
      </c>
      <c r="AI136" s="444">
        <f>SUM(AI127:AI135)-AI131-AI134</f>
        <v>391917</v>
      </c>
      <c r="AJ136" s="441">
        <f>SUM(AJ127:AJ135)-AJ131-AJ134</f>
        <v>391917</v>
      </c>
      <c r="AK136" s="444">
        <f t="shared" ref="AK136:AM136" si="115">SUM(AK127:AK135)-AK131</f>
        <v>0</v>
      </c>
      <c r="AL136" s="444">
        <f t="shared" si="115"/>
        <v>0</v>
      </c>
      <c r="AM136" s="441">
        <f t="shared" si="115"/>
        <v>0</v>
      </c>
      <c r="AN136" s="446">
        <f>SUM(AN127:AN135)-AN131-AN134</f>
        <v>2319893</v>
      </c>
      <c r="AO136" s="150">
        <f>E136+J136+O136+T136+Y136+AD136+AI136</f>
        <v>2319893</v>
      </c>
      <c r="AP136" s="150">
        <f t="shared" si="69"/>
        <v>2319893</v>
      </c>
      <c r="AQ136" s="150">
        <f t="shared" si="70"/>
        <v>0</v>
      </c>
      <c r="AR136" s="150">
        <f t="shared" si="71"/>
        <v>0</v>
      </c>
      <c r="AS136" s="150">
        <f t="shared" si="72"/>
        <v>0</v>
      </c>
      <c r="AT136" s="164"/>
      <c r="AU136" s="164"/>
      <c r="AV136" s="164"/>
      <c r="AW136" s="164"/>
      <c r="AX136" s="164"/>
      <c r="AY136" s="150">
        <f t="shared" si="74"/>
        <v>391917</v>
      </c>
      <c r="AZ136" s="150">
        <f t="shared" si="75"/>
        <v>391917</v>
      </c>
      <c r="BA136" s="150">
        <f t="shared" si="76"/>
        <v>0</v>
      </c>
      <c r="BB136" s="150">
        <f t="shared" si="77"/>
        <v>0</v>
      </c>
      <c r="BC136" s="150">
        <f t="shared" si="78"/>
        <v>0</v>
      </c>
      <c r="BD136" s="230"/>
    </row>
    <row r="137" spans="1:56" s="11" customFormat="1" ht="42" customHeight="1" x14ac:dyDescent="0.4">
      <c r="A137" s="28"/>
      <c r="B137" s="536" t="s">
        <v>1295</v>
      </c>
      <c r="C137" s="171"/>
      <c r="D137" s="17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4">
        <f>AI131+AI134</f>
        <v>22122</v>
      </c>
      <c r="AJ137" s="441">
        <f t="shared" ref="AJ137:AP137" si="116">AJ131+AJ134</f>
        <v>22122</v>
      </c>
      <c r="AK137" s="444">
        <f t="shared" si="116"/>
        <v>0</v>
      </c>
      <c r="AL137" s="444">
        <f t="shared" si="116"/>
        <v>0</v>
      </c>
      <c r="AM137" s="441">
        <f t="shared" si="116"/>
        <v>0</v>
      </c>
      <c r="AN137" s="446">
        <f t="shared" si="116"/>
        <v>22122</v>
      </c>
      <c r="AO137" s="150">
        <f t="shared" si="116"/>
        <v>20222</v>
      </c>
      <c r="AP137" s="150">
        <f t="shared" si="116"/>
        <v>20222</v>
      </c>
      <c r="AQ137" s="150">
        <f t="shared" si="70"/>
        <v>0</v>
      </c>
      <c r="AR137" s="150">
        <f t="shared" si="71"/>
        <v>0</v>
      </c>
      <c r="AS137" s="150">
        <f t="shared" si="72"/>
        <v>0</v>
      </c>
      <c r="AT137" s="170"/>
      <c r="AU137" s="164"/>
      <c r="AV137" s="164"/>
      <c r="AW137" s="164"/>
      <c r="AX137" s="164"/>
      <c r="AY137" s="150">
        <f t="shared" si="74"/>
        <v>22122</v>
      </c>
      <c r="AZ137" s="150">
        <f t="shared" si="75"/>
        <v>22122</v>
      </c>
      <c r="BA137" s="150">
        <f t="shared" si="76"/>
        <v>0</v>
      </c>
      <c r="BB137" s="150">
        <f t="shared" si="77"/>
        <v>0</v>
      </c>
      <c r="BC137" s="150">
        <f t="shared" si="78"/>
        <v>0</v>
      </c>
      <c r="BD137" s="230"/>
    </row>
    <row r="138" spans="1:56" s="11" customFormat="1" ht="63.6" customHeight="1" x14ac:dyDescent="0.4">
      <c r="A138" s="28"/>
      <c r="B138" s="569" t="s">
        <v>1308</v>
      </c>
      <c r="C138" s="570"/>
      <c r="D138" s="172"/>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4">
        <f>AI136+AI137</f>
        <v>414039</v>
      </c>
      <c r="AJ138" s="441">
        <f t="shared" ref="AJ138:AN138" si="117">AJ136+AJ137</f>
        <v>414039</v>
      </c>
      <c r="AK138" s="444">
        <f t="shared" si="117"/>
        <v>0</v>
      </c>
      <c r="AL138" s="444">
        <f t="shared" si="117"/>
        <v>0</v>
      </c>
      <c r="AM138" s="441">
        <f t="shared" si="117"/>
        <v>0</v>
      </c>
      <c r="AN138" s="446">
        <f t="shared" si="117"/>
        <v>2342015</v>
      </c>
      <c r="AO138" s="150">
        <f t="shared" si="68"/>
        <v>414039</v>
      </c>
      <c r="AP138" s="150">
        <f t="shared" si="69"/>
        <v>414039</v>
      </c>
      <c r="AQ138" s="150">
        <f t="shared" si="70"/>
        <v>0</v>
      </c>
      <c r="AR138" s="150">
        <f t="shared" si="71"/>
        <v>0</v>
      </c>
      <c r="AS138" s="150">
        <f t="shared" si="72"/>
        <v>0</v>
      </c>
      <c r="AT138" s="170"/>
      <c r="AU138" s="164"/>
      <c r="AV138" s="164"/>
      <c r="AW138" s="164"/>
      <c r="AX138" s="164"/>
      <c r="AY138" s="150">
        <f t="shared" si="74"/>
        <v>414039</v>
      </c>
      <c r="AZ138" s="150">
        <f t="shared" si="75"/>
        <v>414039</v>
      </c>
      <c r="BA138" s="150">
        <f t="shared" si="76"/>
        <v>0</v>
      </c>
      <c r="BB138" s="150">
        <f t="shared" si="77"/>
        <v>0</v>
      </c>
      <c r="BC138" s="150">
        <f t="shared" si="78"/>
        <v>0</v>
      </c>
      <c r="BD138" s="230"/>
    </row>
    <row r="139" spans="1:56" s="11" customFormat="1" ht="58.65" customHeight="1" x14ac:dyDescent="0.3">
      <c r="A139" s="562" t="s">
        <v>1300</v>
      </c>
      <c r="B139" s="562"/>
      <c r="C139" s="562"/>
      <c r="D139" s="26"/>
      <c r="E139" s="441">
        <f t="shared" ref="E139:AN139" si="118">E68+E80+E102+E120+E136</f>
        <v>2006497.5</v>
      </c>
      <c r="F139" s="441">
        <f t="shared" si="118"/>
        <v>582020.6</v>
      </c>
      <c r="G139" s="441">
        <f t="shared" si="118"/>
        <v>1194976.7</v>
      </c>
      <c r="H139" s="441">
        <f t="shared" si="118"/>
        <v>190000</v>
      </c>
      <c r="I139" s="441">
        <f t="shared" si="118"/>
        <v>39500.199999999997</v>
      </c>
      <c r="J139" s="441">
        <f t="shared" si="118"/>
        <v>2047596.6</v>
      </c>
      <c r="K139" s="441">
        <f t="shared" si="118"/>
        <v>812390.5</v>
      </c>
      <c r="L139" s="441">
        <f t="shared" si="118"/>
        <v>894209.7</v>
      </c>
      <c r="M139" s="441">
        <f t="shared" si="118"/>
        <v>304390.8</v>
      </c>
      <c r="N139" s="441">
        <f t="shared" si="118"/>
        <v>36605.599999999999</v>
      </c>
      <c r="O139" s="441">
        <f t="shared" si="118"/>
        <v>2196030.9000000004</v>
      </c>
      <c r="P139" s="441">
        <f t="shared" si="118"/>
        <v>829811.8</v>
      </c>
      <c r="Q139" s="441">
        <f t="shared" si="118"/>
        <v>1081470.5</v>
      </c>
      <c r="R139" s="441">
        <f t="shared" si="118"/>
        <v>250000</v>
      </c>
      <c r="S139" s="441">
        <f t="shared" si="118"/>
        <v>34748.6</v>
      </c>
      <c r="T139" s="441">
        <f t="shared" si="118"/>
        <v>2498130.2999999998</v>
      </c>
      <c r="U139" s="441">
        <f t="shared" si="118"/>
        <v>1040021.3</v>
      </c>
      <c r="V139" s="441">
        <f t="shared" si="118"/>
        <v>502863</v>
      </c>
      <c r="W139" s="441">
        <f t="shared" si="118"/>
        <v>919119</v>
      </c>
      <c r="X139" s="441">
        <f t="shared" si="118"/>
        <v>36127</v>
      </c>
      <c r="Y139" s="441">
        <f t="shared" si="118"/>
        <v>1778556</v>
      </c>
      <c r="Z139" s="441">
        <f t="shared" si="118"/>
        <v>948237.5</v>
      </c>
      <c r="AA139" s="441">
        <f t="shared" si="118"/>
        <v>830206</v>
      </c>
      <c r="AB139" s="441">
        <f t="shared" si="118"/>
        <v>0</v>
      </c>
      <c r="AC139" s="441">
        <f t="shared" si="118"/>
        <v>112.5</v>
      </c>
      <c r="AD139" s="441">
        <f t="shared" si="118"/>
        <v>2099636.7000000002</v>
      </c>
      <c r="AE139" s="441">
        <f t="shared" si="118"/>
        <v>777447.2</v>
      </c>
      <c r="AF139" s="441">
        <f t="shared" si="118"/>
        <v>1122077</v>
      </c>
      <c r="AG139" s="441">
        <f t="shared" si="118"/>
        <v>200000</v>
      </c>
      <c r="AH139" s="441">
        <f t="shared" si="118"/>
        <v>112.5</v>
      </c>
      <c r="AI139" s="444">
        <f t="shared" si="118"/>
        <v>2222135.81</v>
      </c>
      <c r="AJ139" s="441">
        <f t="shared" si="118"/>
        <v>873238.30999999994</v>
      </c>
      <c r="AK139" s="444">
        <f t="shared" si="118"/>
        <v>1208410.8999999999</v>
      </c>
      <c r="AL139" s="444">
        <f t="shared" si="118"/>
        <v>140374.1</v>
      </c>
      <c r="AM139" s="441">
        <f t="shared" si="118"/>
        <v>112.5</v>
      </c>
      <c r="AN139" s="446">
        <f t="shared" si="118"/>
        <v>14848583.809999999</v>
      </c>
      <c r="AO139" s="150">
        <f t="shared" si="68"/>
        <v>14848583.810000001</v>
      </c>
      <c r="AP139" s="150">
        <f t="shared" si="69"/>
        <v>5863167.21</v>
      </c>
      <c r="AQ139" s="150">
        <f t="shared" si="70"/>
        <v>6834213.8000000007</v>
      </c>
      <c r="AR139" s="150">
        <f t="shared" si="71"/>
        <v>2003883.9000000001</v>
      </c>
      <c r="AS139" s="150">
        <f>I139+N139+S139+X139+AC139+AH139+AM139</f>
        <v>147318.9</v>
      </c>
      <c r="AT139" s="231">
        <v>2119526</v>
      </c>
      <c r="AU139" s="232">
        <v>888809</v>
      </c>
      <c r="AV139" s="232">
        <v>1170604.5</v>
      </c>
      <c r="AW139" s="232">
        <v>60000</v>
      </c>
      <c r="AX139" s="232">
        <v>112.5</v>
      </c>
      <c r="AY139" s="150">
        <f t="shared" si="74"/>
        <v>102609.81000000006</v>
      </c>
      <c r="AZ139" s="150">
        <f t="shared" si="75"/>
        <v>-15570.690000000061</v>
      </c>
      <c r="BA139" s="150">
        <f t="shared" si="76"/>
        <v>37806.399999999907</v>
      </c>
      <c r="BB139" s="150">
        <f t="shared" si="77"/>
        <v>80374.100000000006</v>
      </c>
      <c r="BC139" s="150">
        <f t="shared" si="78"/>
        <v>0</v>
      </c>
      <c r="BD139" s="216"/>
    </row>
    <row r="140" spans="1:56" s="11" customFormat="1" ht="31.95" customHeight="1" x14ac:dyDescent="0.4">
      <c r="A140" s="561" t="s">
        <v>1295</v>
      </c>
      <c r="B140" s="561"/>
      <c r="C140" s="561"/>
      <c r="D140" s="26"/>
      <c r="E140" s="441">
        <f t="shared" ref="E140:AH140" si="119">E69+E121</f>
        <v>0</v>
      </c>
      <c r="F140" s="441">
        <f t="shared" si="119"/>
        <v>0</v>
      </c>
      <c r="G140" s="441">
        <f t="shared" si="119"/>
        <v>0</v>
      </c>
      <c r="H140" s="441">
        <f t="shared" si="119"/>
        <v>0</v>
      </c>
      <c r="I140" s="441">
        <f t="shared" si="119"/>
        <v>0</v>
      </c>
      <c r="J140" s="445">
        <f t="shared" si="119"/>
        <v>0</v>
      </c>
      <c r="K140" s="445">
        <f t="shared" si="119"/>
        <v>0</v>
      </c>
      <c r="L140" s="445">
        <f t="shared" si="119"/>
        <v>0</v>
      </c>
      <c r="M140" s="445">
        <f t="shared" si="119"/>
        <v>0</v>
      </c>
      <c r="N140" s="441">
        <f t="shared" si="119"/>
        <v>0</v>
      </c>
      <c r="O140" s="441">
        <f t="shared" si="119"/>
        <v>28195.4</v>
      </c>
      <c r="P140" s="441">
        <f t="shared" si="119"/>
        <v>9372.4</v>
      </c>
      <c r="Q140" s="441">
        <f t="shared" si="119"/>
        <v>18823</v>
      </c>
      <c r="R140" s="441">
        <f t="shared" si="119"/>
        <v>0</v>
      </c>
      <c r="S140" s="441">
        <f t="shared" si="119"/>
        <v>0</v>
      </c>
      <c r="T140" s="445">
        <f t="shared" si="119"/>
        <v>0</v>
      </c>
      <c r="U140" s="445">
        <f t="shared" si="119"/>
        <v>0</v>
      </c>
      <c r="V140" s="445">
        <f t="shared" si="119"/>
        <v>0</v>
      </c>
      <c r="W140" s="445">
        <f t="shared" si="119"/>
        <v>0</v>
      </c>
      <c r="X140" s="445">
        <f t="shared" si="119"/>
        <v>0</v>
      </c>
      <c r="Y140" s="445">
        <f t="shared" si="119"/>
        <v>164975</v>
      </c>
      <c r="Z140" s="445">
        <f t="shared" si="119"/>
        <v>7919</v>
      </c>
      <c r="AA140" s="445">
        <f t="shared" si="119"/>
        <v>157056</v>
      </c>
      <c r="AB140" s="445">
        <f t="shared" si="119"/>
        <v>0</v>
      </c>
      <c r="AC140" s="445">
        <f t="shared" si="119"/>
        <v>0</v>
      </c>
      <c r="AD140" s="445">
        <f t="shared" si="119"/>
        <v>16121</v>
      </c>
      <c r="AE140" s="445">
        <f t="shared" si="119"/>
        <v>0</v>
      </c>
      <c r="AF140" s="445">
        <f t="shared" si="119"/>
        <v>16121</v>
      </c>
      <c r="AG140" s="445">
        <f t="shared" si="119"/>
        <v>0</v>
      </c>
      <c r="AH140" s="445">
        <f t="shared" si="119"/>
        <v>0</v>
      </c>
      <c r="AI140" s="444">
        <f>AI69+AI121+AI137</f>
        <v>44177.1</v>
      </c>
      <c r="AJ140" s="445">
        <f t="shared" ref="AJ140:AN140" si="120">AJ69+AJ121+AJ137</f>
        <v>44177.1</v>
      </c>
      <c r="AK140" s="455">
        <f t="shared" si="120"/>
        <v>0</v>
      </c>
      <c r="AL140" s="455">
        <f t="shared" si="120"/>
        <v>0</v>
      </c>
      <c r="AM140" s="445">
        <f t="shared" si="120"/>
        <v>0</v>
      </c>
      <c r="AN140" s="446">
        <f t="shared" si="120"/>
        <v>253468.5</v>
      </c>
      <c r="AO140" s="150">
        <f t="shared" si="68"/>
        <v>253468.5</v>
      </c>
      <c r="AP140" s="150">
        <f t="shared" si="69"/>
        <v>61468.5</v>
      </c>
      <c r="AQ140" s="150">
        <f t="shared" si="70"/>
        <v>192000</v>
      </c>
      <c r="AR140" s="150">
        <f t="shared" si="71"/>
        <v>0</v>
      </c>
      <c r="AS140" s="150">
        <f t="shared" si="72"/>
        <v>0</v>
      </c>
      <c r="AT140" s="426">
        <v>19689.099999999999</v>
      </c>
      <c r="AU140" s="426">
        <v>19689.099999999999</v>
      </c>
      <c r="AV140" s="426"/>
      <c r="AW140" s="426"/>
      <c r="AX140" s="426"/>
      <c r="AY140" s="150">
        <f t="shared" si="74"/>
        <v>24488</v>
      </c>
      <c r="AZ140" s="150">
        <f t="shared" si="75"/>
        <v>24488</v>
      </c>
      <c r="BA140" s="150">
        <f t="shared" si="76"/>
        <v>0</v>
      </c>
      <c r="BB140" s="150">
        <f t="shared" si="77"/>
        <v>0</v>
      </c>
      <c r="BC140" s="150">
        <f t="shared" si="78"/>
        <v>0</v>
      </c>
      <c r="BD140" s="230"/>
    </row>
    <row r="141" spans="1:56" s="12" customFormat="1" ht="42" customHeight="1" x14ac:dyDescent="0.4">
      <c r="A141" s="562" t="s">
        <v>1301</v>
      </c>
      <c r="B141" s="562"/>
      <c r="C141" s="562"/>
      <c r="D141" s="26"/>
      <c r="E141" s="441">
        <f>E139+E140</f>
        <v>2006497.5</v>
      </c>
      <c r="F141" s="441">
        <f t="shared" ref="F141:AN141" si="121">F139+F140</f>
        <v>582020.6</v>
      </c>
      <c r="G141" s="441">
        <f t="shared" si="121"/>
        <v>1194976.7</v>
      </c>
      <c r="H141" s="441">
        <f t="shared" si="121"/>
        <v>190000</v>
      </c>
      <c r="I141" s="441">
        <f t="shared" si="121"/>
        <v>39500.199999999997</v>
      </c>
      <c r="J141" s="441">
        <f t="shared" si="121"/>
        <v>2047596.6</v>
      </c>
      <c r="K141" s="441">
        <f t="shared" si="121"/>
        <v>812390.5</v>
      </c>
      <c r="L141" s="441">
        <f t="shared" si="121"/>
        <v>894209.7</v>
      </c>
      <c r="M141" s="441">
        <f t="shared" si="121"/>
        <v>304390.8</v>
      </c>
      <c r="N141" s="441">
        <f t="shared" si="121"/>
        <v>36605.599999999999</v>
      </c>
      <c r="O141" s="441">
        <f t="shared" si="121"/>
        <v>2224226.3000000003</v>
      </c>
      <c r="P141" s="441">
        <f t="shared" si="121"/>
        <v>839184.20000000007</v>
      </c>
      <c r="Q141" s="441">
        <f t="shared" si="121"/>
        <v>1100293.5</v>
      </c>
      <c r="R141" s="441">
        <f t="shared" si="121"/>
        <v>250000</v>
      </c>
      <c r="S141" s="441">
        <f t="shared" si="121"/>
        <v>34748.6</v>
      </c>
      <c r="T141" s="441">
        <f t="shared" si="121"/>
        <v>2498130.2999999998</v>
      </c>
      <c r="U141" s="441">
        <f t="shared" si="121"/>
        <v>1040021.3</v>
      </c>
      <c r="V141" s="441">
        <f t="shared" si="121"/>
        <v>502863</v>
      </c>
      <c r="W141" s="441">
        <f t="shared" si="121"/>
        <v>919119</v>
      </c>
      <c r="X141" s="441">
        <f t="shared" si="121"/>
        <v>36127</v>
      </c>
      <c r="Y141" s="441">
        <f t="shared" si="121"/>
        <v>1943531</v>
      </c>
      <c r="Z141" s="441">
        <f t="shared" si="121"/>
        <v>956156.5</v>
      </c>
      <c r="AA141" s="441">
        <f t="shared" si="121"/>
        <v>987262</v>
      </c>
      <c r="AB141" s="441">
        <f t="shared" si="121"/>
        <v>0</v>
      </c>
      <c r="AC141" s="441">
        <f t="shared" si="121"/>
        <v>112.5</v>
      </c>
      <c r="AD141" s="441">
        <f t="shared" si="121"/>
        <v>2115757.7000000002</v>
      </c>
      <c r="AE141" s="441">
        <f t="shared" si="121"/>
        <v>777447.2</v>
      </c>
      <c r="AF141" s="441">
        <f t="shared" si="121"/>
        <v>1138198</v>
      </c>
      <c r="AG141" s="441">
        <f t="shared" si="121"/>
        <v>200000</v>
      </c>
      <c r="AH141" s="441">
        <f t="shared" si="121"/>
        <v>112.5</v>
      </c>
      <c r="AI141" s="444">
        <f>AI139+AI140</f>
        <v>2266312.91</v>
      </c>
      <c r="AJ141" s="441">
        <f>AJ139+AJ140</f>
        <v>917415.40999999992</v>
      </c>
      <c r="AK141" s="444">
        <f t="shared" si="121"/>
        <v>1208410.8999999999</v>
      </c>
      <c r="AL141" s="444">
        <f t="shared" si="121"/>
        <v>140374.1</v>
      </c>
      <c r="AM141" s="441">
        <f t="shared" si="121"/>
        <v>112.5</v>
      </c>
      <c r="AN141" s="446">
        <f t="shared" si="121"/>
        <v>15102052.309999999</v>
      </c>
      <c r="AO141" s="150">
        <f t="shared" si="68"/>
        <v>15102052.309999999</v>
      </c>
      <c r="AP141" s="150">
        <f t="shared" si="69"/>
        <v>5924635.7100000009</v>
      </c>
      <c r="AQ141" s="150">
        <f t="shared" si="70"/>
        <v>7026213.8000000007</v>
      </c>
      <c r="AR141" s="150">
        <f t="shared" si="71"/>
        <v>2003883.9000000001</v>
      </c>
      <c r="AS141" s="150">
        <f t="shared" si="72"/>
        <v>147318.9</v>
      </c>
      <c r="AT141" s="426">
        <v>2139215.1</v>
      </c>
      <c r="AU141" s="426">
        <v>902498.1</v>
      </c>
      <c r="AV141" s="426">
        <v>1170604.5</v>
      </c>
      <c r="AW141" s="426">
        <v>60000</v>
      </c>
      <c r="AX141" s="426">
        <v>112.5</v>
      </c>
      <c r="AY141" s="150">
        <f t="shared" si="74"/>
        <v>127097.81000000006</v>
      </c>
      <c r="AZ141" s="150">
        <f t="shared" si="75"/>
        <v>14917.309999999939</v>
      </c>
      <c r="BA141" s="150">
        <f t="shared" si="76"/>
        <v>37806.399999999907</v>
      </c>
      <c r="BB141" s="150">
        <f t="shared" si="77"/>
        <v>80374.100000000006</v>
      </c>
      <c r="BC141" s="150">
        <f t="shared" si="78"/>
        <v>0</v>
      </c>
      <c r="BD141" s="229"/>
    </row>
    <row r="142" spans="1:56" s="13" customFormat="1" ht="60" customHeight="1" x14ac:dyDescent="0.4">
      <c r="A142" s="156"/>
      <c r="B142" s="181"/>
      <c r="C142" s="157"/>
      <c r="D142" s="158"/>
      <c r="E142" s="159"/>
      <c r="F142" s="159"/>
      <c r="G142" s="159"/>
      <c r="H142" s="159"/>
      <c r="I142" s="159"/>
      <c r="J142" s="159"/>
      <c r="K142" s="159"/>
      <c r="L142" s="159"/>
      <c r="M142" s="159"/>
      <c r="N142" s="159"/>
      <c r="O142" s="159"/>
      <c r="P142" s="159"/>
      <c r="Q142" s="160"/>
      <c r="R142" s="160"/>
      <c r="S142" s="160"/>
      <c r="T142" s="160"/>
      <c r="U142" s="160"/>
      <c r="V142" s="159"/>
      <c r="W142" s="159"/>
      <c r="X142" s="159"/>
      <c r="Y142" s="159"/>
      <c r="Z142" s="159"/>
      <c r="AA142" s="159"/>
      <c r="AB142" s="159"/>
      <c r="AC142" s="159"/>
      <c r="AD142" s="159"/>
      <c r="AE142" s="159"/>
      <c r="AF142" s="159"/>
      <c r="AG142" s="161"/>
      <c r="AH142" s="161"/>
      <c r="AI142" s="161"/>
      <c r="AJ142" s="716"/>
      <c r="AK142" s="161"/>
      <c r="AL142" s="161"/>
      <c r="AM142" s="161"/>
      <c r="AN142" s="161"/>
      <c r="AO142" s="234"/>
      <c r="AP142" s="229"/>
      <c r="AQ142" s="229"/>
      <c r="AR142" s="229"/>
      <c r="AS142" s="229"/>
      <c r="AT142" s="233"/>
      <c r="AU142" s="233"/>
      <c r="AV142" s="233"/>
      <c r="AW142" s="233"/>
      <c r="AX142" s="233"/>
      <c r="AY142" s="229"/>
      <c r="AZ142" s="229"/>
      <c r="BA142" s="229"/>
      <c r="BB142" s="229"/>
      <c r="BC142" s="229"/>
      <c r="BD142" s="235"/>
    </row>
    <row r="143" spans="1:56" s="14" customFormat="1" ht="42" customHeight="1" x14ac:dyDescent="0.35">
      <c r="A143" s="33"/>
      <c r="B143" s="182"/>
      <c r="C143" s="33"/>
      <c r="D143" s="33"/>
      <c r="E143" s="32"/>
      <c r="F143" s="33"/>
      <c r="G143" s="33"/>
      <c r="H143" s="33"/>
      <c r="I143" s="33"/>
      <c r="J143" s="32"/>
      <c r="K143" s="33"/>
      <c r="L143" s="33"/>
      <c r="M143" s="33"/>
      <c r="N143" s="33"/>
      <c r="O143" s="32"/>
      <c r="P143" s="33"/>
      <c r="Q143" s="33"/>
      <c r="R143" s="33"/>
      <c r="S143" s="33"/>
      <c r="T143" s="32"/>
      <c r="U143" s="33"/>
      <c r="V143" s="33"/>
      <c r="W143" s="33"/>
      <c r="X143" s="33"/>
      <c r="Y143" s="32"/>
      <c r="Z143" s="33"/>
      <c r="AA143" s="33"/>
      <c r="AB143" s="33"/>
      <c r="AC143" s="33"/>
      <c r="AD143" s="32"/>
      <c r="AE143" s="33"/>
      <c r="AF143" s="33"/>
      <c r="AG143" s="33"/>
      <c r="AH143" s="33"/>
      <c r="AI143" s="32"/>
      <c r="AJ143" s="15"/>
      <c r="AK143" s="33"/>
      <c r="AL143" s="33"/>
      <c r="AM143" s="33"/>
      <c r="AN143" s="32"/>
      <c r="AO143" s="217"/>
      <c r="AP143" s="217"/>
      <c r="AQ143" s="217"/>
      <c r="AR143" s="217"/>
      <c r="AS143" s="217"/>
      <c r="AT143" s="218"/>
      <c r="AU143" s="218"/>
      <c r="AV143" s="218"/>
      <c r="AW143" s="218"/>
      <c r="AX143" s="218"/>
      <c r="AY143" s="217"/>
      <c r="AZ143" s="217"/>
      <c r="BA143" s="217"/>
      <c r="BB143" s="217"/>
      <c r="BC143" s="217"/>
      <c r="BD143" s="236"/>
    </row>
    <row r="144" spans="1:56" s="14" customFormat="1" ht="42" customHeight="1" x14ac:dyDescent="0.35">
      <c r="A144" s="33"/>
      <c r="B144" s="182"/>
      <c r="C144" s="33"/>
      <c r="D144" s="33"/>
      <c r="E144" s="32"/>
      <c r="F144" s="33"/>
      <c r="G144" s="33"/>
      <c r="H144" s="33"/>
      <c r="I144" s="33"/>
      <c r="J144" s="32"/>
      <c r="K144" s="33"/>
      <c r="L144" s="33"/>
      <c r="M144" s="33"/>
      <c r="N144" s="33"/>
      <c r="O144" s="32"/>
      <c r="P144" s="33"/>
      <c r="Q144" s="33"/>
      <c r="R144" s="33"/>
      <c r="S144" s="33"/>
      <c r="T144" s="32"/>
      <c r="U144" s="33"/>
      <c r="V144" s="33"/>
      <c r="W144" s="33"/>
      <c r="X144" s="33"/>
      <c r="Y144" s="32"/>
      <c r="Z144" s="33"/>
      <c r="AA144" s="33"/>
      <c r="AB144" s="33"/>
      <c r="AC144" s="33"/>
      <c r="AD144" s="32"/>
      <c r="AE144" s="33"/>
      <c r="AF144" s="33"/>
      <c r="AG144" s="33"/>
      <c r="AH144" s="33"/>
      <c r="AI144" s="32"/>
      <c r="AJ144" s="15"/>
      <c r="AK144" s="33"/>
      <c r="AL144" s="33"/>
      <c r="AM144" s="33"/>
      <c r="AN144" s="32"/>
      <c r="AO144" s="217"/>
      <c r="AP144" s="217"/>
      <c r="AQ144" s="217"/>
      <c r="AR144" s="217"/>
      <c r="AS144" s="217"/>
      <c r="AT144" s="218"/>
      <c r="AU144" s="218"/>
      <c r="AV144" s="218"/>
      <c r="AW144" s="218"/>
      <c r="AX144" s="218"/>
      <c r="AY144" s="217"/>
      <c r="AZ144" s="217"/>
      <c r="BA144" s="217"/>
      <c r="BB144" s="217"/>
      <c r="BC144" s="217"/>
      <c r="BD144" s="236"/>
    </row>
    <row r="145" spans="1:56" s="14" customFormat="1" ht="42" customHeight="1" x14ac:dyDescent="0.35">
      <c r="A145" s="33"/>
      <c r="B145" s="182"/>
      <c r="C145" s="33"/>
      <c r="D145" s="33"/>
      <c r="E145" s="32"/>
      <c r="F145" s="33"/>
      <c r="G145" s="33"/>
      <c r="H145" s="33"/>
      <c r="I145" s="33"/>
      <c r="J145" s="32"/>
      <c r="K145" s="33"/>
      <c r="L145" s="33"/>
      <c r="M145" s="33"/>
      <c r="N145" s="33"/>
      <c r="O145" s="32"/>
      <c r="P145" s="33"/>
      <c r="Q145" s="33"/>
      <c r="R145" s="33"/>
      <c r="S145" s="33"/>
      <c r="T145" s="32"/>
      <c r="U145" s="33"/>
      <c r="V145" s="33"/>
      <c r="W145" s="33"/>
      <c r="X145" s="33"/>
      <c r="Y145" s="32"/>
      <c r="Z145" s="33"/>
      <c r="AA145" s="33"/>
      <c r="AB145" s="33"/>
      <c r="AC145" s="33"/>
      <c r="AD145" s="32"/>
      <c r="AE145" s="33"/>
      <c r="AF145" s="33"/>
      <c r="AG145" s="33"/>
      <c r="AH145" s="33"/>
      <c r="AI145" s="32"/>
      <c r="AJ145" s="15"/>
      <c r="AK145" s="33"/>
      <c r="AL145" s="33"/>
      <c r="AM145" s="33"/>
      <c r="AN145" s="32"/>
      <c r="AO145" s="217"/>
      <c r="AP145" s="217"/>
      <c r="AQ145" s="217"/>
      <c r="AR145" s="217"/>
      <c r="AS145" s="217"/>
      <c r="AT145" s="218"/>
      <c r="AU145" s="218"/>
      <c r="AV145" s="218"/>
      <c r="AW145" s="218"/>
      <c r="AX145" s="218"/>
      <c r="AY145" s="217"/>
      <c r="AZ145" s="217"/>
      <c r="BA145" s="217"/>
      <c r="BB145" s="217"/>
      <c r="BC145" s="217"/>
      <c r="BD145" s="236"/>
    </row>
    <row r="146" spans="1:56" s="2" customFormat="1" ht="42" customHeight="1" x14ac:dyDescent="0.35">
      <c r="A146" s="33"/>
      <c r="B146" s="182"/>
      <c r="C146" s="33"/>
      <c r="D146" s="33"/>
      <c r="E146" s="32"/>
      <c r="F146" s="33"/>
      <c r="G146" s="33"/>
      <c r="H146" s="33"/>
      <c r="I146" s="33"/>
      <c r="J146" s="32"/>
      <c r="K146" s="33"/>
      <c r="L146" s="33"/>
      <c r="M146" s="33"/>
      <c r="N146" s="33"/>
      <c r="O146" s="32"/>
      <c r="P146" s="33"/>
      <c r="Q146" s="33"/>
      <c r="R146" s="33"/>
      <c r="S146" s="33"/>
      <c r="T146" s="32"/>
      <c r="U146" s="33"/>
      <c r="V146" s="33"/>
      <c r="W146" s="33"/>
      <c r="X146" s="33"/>
      <c r="Y146" s="32"/>
      <c r="Z146" s="33"/>
      <c r="AA146" s="33"/>
      <c r="AB146" s="33"/>
      <c r="AC146" s="33"/>
      <c r="AD146" s="32"/>
      <c r="AE146" s="33"/>
      <c r="AF146" s="33"/>
      <c r="AG146" s="33"/>
      <c r="AH146" s="33"/>
      <c r="AI146" s="32"/>
      <c r="AJ146" s="15"/>
      <c r="AK146" s="33"/>
      <c r="AL146" s="33"/>
      <c r="AM146" s="33"/>
      <c r="AN146" s="32"/>
      <c r="AO146" s="217"/>
      <c r="AP146" s="217"/>
      <c r="AQ146" s="217"/>
      <c r="AR146" s="217"/>
      <c r="AS146" s="217"/>
      <c r="AT146" s="218"/>
      <c r="AU146" s="218"/>
      <c r="AV146" s="218"/>
      <c r="AW146" s="218"/>
      <c r="AX146" s="218"/>
      <c r="AY146" s="217"/>
      <c r="AZ146" s="217"/>
      <c r="BA146" s="217"/>
      <c r="BB146" s="217"/>
      <c r="BC146" s="217"/>
      <c r="BD146" s="237"/>
    </row>
    <row r="147" spans="1:56" s="2" customFormat="1" ht="42" customHeight="1" x14ac:dyDescent="0.35">
      <c r="A147" s="33"/>
      <c r="B147" s="182"/>
      <c r="C147" s="33"/>
      <c r="D147" s="33"/>
      <c r="E147" s="32"/>
      <c r="F147" s="33"/>
      <c r="G147" s="33"/>
      <c r="H147" s="33"/>
      <c r="I147" s="33"/>
      <c r="J147" s="32"/>
      <c r="K147" s="33"/>
      <c r="L147" s="33"/>
      <c r="M147" s="33"/>
      <c r="N147" s="33"/>
      <c r="O147" s="32"/>
      <c r="P147" s="33"/>
      <c r="Q147" s="33"/>
      <c r="R147" s="33"/>
      <c r="S147" s="33"/>
      <c r="T147" s="32"/>
      <c r="U147" s="33"/>
      <c r="V147" s="33"/>
      <c r="W147" s="33"/>
      <c r="X147" s="33"/>
      <c r="Y147" s="32"/>
      <c r="Z147" s="33"/>
      <c r="AA147" s="33"/>
      <c r="AB147" s="33"/>
      <c r="AC147" s="33"/>
      <c r="AD147" s="32"/>
      <c r="AE147" s="33"/>
      <c r="AF147" s="33"/>
      <c r="AG147" s="33"/>
      <c r="AH147" s="33"/>
      <c r="AI147" s="32"/>
      <c r="AJ147" s="15"/>
      <c r="AK147" s="33"/>
      <c r="AL147" s="33"/>
      <c r="AM147" s="33"/>
      <c r="AN147" s="32"/>
      <c r="AO147" s="217"/>
      <c r="AP147" s="217"/>
      <c r="AQ147" s="217"/>
      <c r="AR147" s="217"/>
      <c r="AS147" s="217"/>
      <c r="AT147" s="218"/>
      <c r="AU147" s="218"/>
      <c r="AV147" s="218"/>
      <c r="AW147" s="218"/>
      <c r="AX147" s="218"/>
      <c r="AY147" s="217"/>
      <c r="AZ147" s="217"/>
      <c r="BA147" s="217"/>
      <c r="BB147" s="217"/>
      <c r="BC147" s="217"/>
      <c r="BD147" s="237"/>
    </row>
    <row r="148" spans="1:56" s="2" customFormat="1" ht="42" customHeight="1" x14ac:dyDescent="0.35">
      <c r="A148" s="33"/>
      <c r="B148" s="182"/>
      <c r="C148" s="33"/>
      <c r="D148" s="33"/>
      <c r="E148" s="32"/>
      <c r="F148" s="33"/>
      <c r="G148" s="33"/>
      <c r="H148" s="33"/>
      <c r="I148" s="33"/>
      <c r="J148" s="32"/>
      <c r="K148" s="33"/>
      <c r="L148" s="33"/>
      <c r="M148" s="33"/>
      <c r="N148" s="33"/>
      <c r="O148" s="32"/>
      <c r="P148" s="33"/>
      <c r="Q148" s="33"/>
      <c r="R148" s="33"/>
      <c r="S148" s="33"/>
      <c r="T148" s="32"/>
      <c r="U148" s="33"/>
      <c r="V148" s="33"/>
      <c r="W148" s="33"/>
      <c r="X148" s="33"/>
      <c r="Y148" s="32"/>
      <c r="Z148" s="33"/>
      <c r="AA148" s="33"/>
      <c r="AB148" s="33"/>
      <c r="AC148" s="33"/>
      <c r="AD148" s="32"/>
      <c r="AE148" s="33"/>
      <c r="AF148" s="33"/>
      <c r="AG148" s="33"/>
      <c r="AH148" s="33"/>
      <c r="AI148" s="32"/>
      <c r="AJ148" s="15"/>
      <c r="AK148" s="33"/>
      <c r="AL148" s="33"/>
      <c r="AM148" s="33"/>
      <c r="AN148" s="32"/>
      <c r="AO148" s="217"/>
      <c r="AP148" s="217"/>
      <c r="AQ148" s="217"/>
      <c r="AR148" s="217"/>
      <c r="AS148" s="217"/>
      <c r="AT148" s="218"/>
      <c r="AU148" s="218"/>
      <c r="AV148" s="218"/>
      <c r="AW148" s="218"/>
      <c r="AX148" s="218"/>
      <c r="AY148" s="217"/>
      <c r="AZ148" s="217"/>
      <c r="BA148" s="217"/>
      <c r="BB148" s="217"/>
      <c r="BC148" s="217"/>
      <c r="BD148" s="237"/>
    </row>
    <row r="149" spans="1:56" s="2" customFormat="1" ht="42" customHeight="1" x14ac:dyDescent="0.35">
      <c r="A149" s="33"/>
      <c r="B149" s="182"/>
      <c r="C149" s="33"/>
      <c r="D149" s="33"/>
      <c r="E149" s="32"/>
      <c r="F149" s="33"/>
      <c r="G149" s="33"/>
      <c r="H149" s="33"/>
      <c r="I149" s="33"/>
      <c r="J149" s="32"/>
      <c r="K149" s="33"/>
      <c r="L149" s="33"/>
      <c r="M149" s="33"/>
      <c r="N149" s="33"/>
      <c r="O149" s="32"/>
      <c r="P149" s="33"/>
      <c r="Q149" s="33"/>
      <c r="R149" s="33"/>
      <c r="S149" s="33"/>
      <c r="T149" s="32"/>
      <c r="U149" s="33"/>
      <c r="V149" s="33"/>
      <c r="W149" s="33"/>
      <c r="X149" s="33"/>
      <c r="Y149" s="32"/>
      <c r="Z149" s="33"/>
      <c r="AA149" s="33"/>
      <c r="AB149" s="33"/>
      <c r="AC149" s="33"/>
      <c r="AD149" s="32"/>
      <c r="AE149" s="33"/>
      <c r="AF149" s="33"/>
      <c r="AG149" s="33"/>
      <c r="AH149" s="33"/>
      <c r="AI149" s="32"/>
      <c r="AJ149" s="15"/>
      <c r="AK149" s="33"/>
      <c r="AL149" s="33"/>
      <c r="AM149" s="33"/>
      <c r="AN149" s="32"/>
      <c r="AO149" s="217"/>
      <c r="AP149" s="217"/>
      <c r="AQ149" s="217"/>
      <c r="AR149" s="217"/>
      <c r="AS149" s="217"/>
      <c r="AT149" s="218"/>
      <c r="AU149" s="218"/>
      <c r="AV149" s="218"/>
      <c r="AW149" s="218"/>
      <c r="AX149" s="218"/>
      <c r="AY149" s="217"/>
      <c r="AZ149" s="217"/>
      <c r="BA149" s="217"/>
      <c r="BB149" s="217"/>
      <c r="BC149" s="217"/>
      <c r="BD149" s="237"/>
    </row>
    <row r="150" spans="1:56" s="2" customFormat="1" ht="42" customHeight="1" x14ac:dyDescent="0.35">
      <c r="A150" s="33"/>
      <c r="B150" s="182"/>
      <c r="C150" s="33"/>
      <c r="D150" s="33"/>
      <c r="E150" s="32"/>
      <c r="F150" s="33"/>
      <c r="G150" s="33"/>
      <c r="H150" s="33"/>
      <c r="I150" s="33"/>
      <c r="J150" s="32"/>
      <c r="K150" s="33"/>
      <c r="L150" s="33"/>
      <c r="M150" s="33"/>
      <c r="N150" s="33"/>
      <c r="O150" s="32"/>
      <c r="P150" s="33"/>
      <c r="Q150" s="33"/>
      <c r="R150" s="33"/>
      <c r="S150" s="33"/>
      <c r="T150" s="32"/>
      <c r="U150" s="33"/>
      <c r="V150" s="33"/>
      <c r="W150" s="33"/>
      <c r="X150" s="33"/>
      <c r="Y150" s="32"/>
      <c r="Z150" s="33"/>
      <c r="AA150" s="33"/>
      <c r="AB150" s="33"/>
      <c r="AC150" s="33"/>
      <c r="AD150" s="32"/>
      <c r="AE150" s="33"/>
      <c r="AF150" s="33"/>
      <c r="AG150" s="33"/>
      <c r="AH150" s="33"/>
      <c r="AI150" s="32"/>
      <c r="AJ150" s="15"/>
      <c r="AK150" s="33"/>
      <c r="AL150" s="33"/>
      <c r="AM150" s="33"/>
      <c r="AN150" s="32"/>
      <c r="AO150" s="217"/>
      <c r="AP150" s="217"/>
      <c r="AQ150" s="217"/>
      <c r="AR150" s="217"/>
      <c r="AS150" s="217"/>
      <c r="AT150" s="218"/>
      <c r="AU150" s="218"/>
      <c r="AV150" s="218"/>
      <c r="AW150" s="218"/>
      <c r="AX150" s="218"/>
      <c r="AY150" s="217"/>
      <c r="AZ150" s="217"/>
      <c r="BA150" s="217"/>
      <c r="BB150" s="217"/>
      <c r="BC150" s="217"/>
      <c r="BD150" s="237"/>
    </row>
    <row r="151" spans="1:56" s="8" customFormat="1" ht="42" customHeight="1" x14ac:dyDescent="0.35">
      <c r="A151" s="33"/>
      <c r="B151" s="182"/>
      <c r="C151" s="33"/>
      <c r="D151" s="33"/>
      <c r="E151" s="32"/>
      <c r="F151" s="33"/>
      <c r="G151" s="33"/>
      <c r="H151" s="33"/>
      <c r="I151" s="33"/>
      <c r="J151" s="32"/>
      <c r="K151" s="33"/>
      <c r="L151" s="33"/>
      <c r="M151" s="33"/>
      <c r="N151" s="33"/>
      <c r="O151" s="32"/>
      <c r="P151" s="33"/>
      <c r="Q151" s="33"/>
      <c r="R151" s="33"/>
      <c r="S151" s="33"/>
      <c r="T151" s="32"/>
      <c r="U151" s="33"/>
      <c r="V151" s="33"/>
      <c r="W151" s="33"/>
      <c r="X151" s="33"/>
      <c r="Y151" s="32"/>
      <c r="Z151" s="33"/>
      <c r="AA151" s="33"/>
      <c r="AB151" s="33"/>
      <c r="AC151" s="33"/>
      <c r="AD151" s="32"/>
      <c r="AE151" s="33"/>
      <c r="AF151" s="33"/>
      <c r="AG151" s="33"/>
      <c r="AH151" s="33"/>
      <c r="AI151" s="32"/>
      <c r="AJ151" s="15"/>
      <c r="AK151" s="33"/>
      <c r="AL151" s="33"/>
      <c r="AM151" s="33"/>
      <c r="AN151" s="32"/>
      <c r="AO151" s="217"/>
      <c r="AP151" s="217"/>
      <c r="AQ151" s="217"/>
      <c r="AR151" s="217"/>
      <c r="AS151" s="217"/>
      <c r="AT151" s="218"/>
      <c r="AU151" s="218"/>
      <c r="AV151" s="218"/>
      <c r="AW151" s="218"/>
      <c r="AX151" s="218"/>
      <c r="AY151" s="217"/>
      <c r="AZ151" s="217"/>
      <c r="BA151" s="217"/>
      <c r="BB151" s="217"/>
      <c r="BC151" s="217"/>
      <c r="BD151" s="226"/>
    </row>
    <row r="152" spans="1:56" s="8" customFormat="1" ht="42" customHeight="1" x14ac:dyDescent="0.35">
      <c r="A152" s="33"/>
      <c r="B152" s="182"/>
      <c r="C152" s="33"/>
      <c r="D152" s="33"/>
      <c r="E152" s="32"/>
      <c r="F152" s="33"/>
      <c r="G152" s="33"/>
      <c r="H152" s="33"/>
      <c r="I152" s="33"/>
      <c r="J152" s="32"/>
      <c r="K152" s="33"/>
      <c r="L152" s="33"/>
      <c r="M152" s="33"/>
      <c r="N152" s="33"/>
      <c r="O152" s="32"/>
      <c r="P152" s="33"/>
      <c r="Q152" s="33"/>
      <c r="R152" s="33"/>
      <c r="S152" s="33"/>
      <c r="T152" s="32"/>
      <c r="U152" s="33"/>
      <c r="V152" s="33"/>
      <c r="W152" s="33"/>
      <c r="X152" s="33"/>
      <c r="Y152" s="32"/>
      <c r="Z152" s="33"/>
      <c r="AA152" s="33"/>
      <c r="AB152" s="33"/>
      <c r="AC152" s="33"/>
      <c r="AD152" s="32"/>
      <c r="AE152" s="33"/>
      <c r="AF152" s="33"/>
      <c r="AG152" s="33"/>
      <c r="AH152" s="33"/>
      <c r="AI152" s="32"/>
      <c r="AJ152" s="15"/>
      <c r="AK152" s="33"/>
      <c r="AL152" s="33"/>
      <c r="AM152" s="33"/>
      <c r="AN152" s="32"/>
      <c r="AO152" s="217"/>
      <c r="AP152" s="217"/>
      <c r="AQ152" s="217"/>
      <c r="AR152" s="217"/>
      <c r="AS152" s="217"/>
      <c r="AT152" s="218"/>
      <c r="AU152" s="218"/>
      <c r="AV152" s="218"/>
      <c r="AW152" s="218"/>
      <c r="AX152" s="218"/>
      <c r="AY152" s="217"/>
      <c r="AZ152" s="217"/>
      <c r="BA152" s="217"/>
      <c r="BB152" s="217"/>
      <c r="BC152" s="217"/>
      <c r="BD152" s="226"/>
    </row>
    <row r="153" spans="1:56" s="8" customFormat="1" ht="42" customHeight="1" x14ac:dyDescent="0.35">
      <c r="A153" s="33"/>
      <c r="B153" s="182"/>
      <c r="C153" s="33"/>
      <c r="D153" s="33"/>
      <c r="E153" s="32"/>
      <c r="F153" s="33"/>
      <c r="G153" s="33"/>
      <c r="H153" s="33"/>
      <c r="I153" s="33"/>
      <c r="J153" s="32"/>
      <c r="K153" s="33"/>
      <c r="L153" s="33"/>
      <c r="M153" s="33"/>
      <c r="N153" s="33"/>
      <c r="O153" s="32"/>
      <c r="P153" s="33"/>
      <c r="Q153" s="33"/>
      <c r="R153" s="33"/>
      <c r="S153" s="33"/>
      <c r="T153" s="32"/>
      <c r="U153" s="33"/>
      <c r="V153" s="33"/>
      <c r="W153" s="33"/>
      <c r="X153" s="33"/>
      <c r="Y153" s="32"/>
      <c r="Z153" s="33"/>
      <c r="AA153" s="33"/>
      <c r="AB153" s="33"/>
      <c r="AC153" s="33"/>
      <c r="AD153" s="32"/>
      <c r="AE153" s="33"/>
      <c r="AF153" s="33"/>
      <c r="AG153" s="33"/>
      <c r="AH153" s="33"/>
      <c r="AI153" s="32"/>
      <c r="AJ153" s="15"/>
      <c r="AK153" s="33"/>
      <c r="AL153" s="33"/>
      <c r="AM153" s="33"/>
      <c r="AN153" s="32"/>
      <c r="AO153" s="217"/>
      <c r="AP153" s="217"/>
      <c r="AQ153" s="217"/>
      <c r="AR153" s="217"/>
      <c r="AS153" s="217"/>
      <c r="AT153" s="218"/>
      <c r="AU153" s="218"/>
      <c r="AV153" s="218"/>
      <c r="AW153" s="218"/>
      <c r="AX153" s="218"/>
      <c r="AY153" s="217"/>
      <c r="AZ153" s="217"/>
      <c r="BA153" s="217"/>
      <c r="BB153" s="217"/>
      <c r="BC153" s="217"/>
      <c r="BD153" s="226"/>
    </row>
    <row r="154" spans="1:56" s="8" customFormat="1" ht="42" customHeight="1" x14ac:dyDescent="0.35">
      <c r="A154" s="33"/>
      <c r="B154" s="182"/>
      <c r="C154" s="33"/>
      <c r="D154" s="33"/>
      <c r="E154" s="32"/>
      <c r="F154" s="33"/>
      <c r="G154" s="33"/>
      <c r="H154" s="33"/>
      <c r="I154" s="33"/>
      <c r="J154" s="32"/>
      <c r="K154" s="33"/>
      <c r="L154" s="33"/>
      <c r="M154" s="33"/>
      <c r="N154" s="33"/>
      <c r="O154" s="32"/>
      <c r="P154" s="33"/>
      <c r="Q154" s="33"/>
      <c r="R154" s="33"/>
      <c r="S154" s="33"/>
      <c r="T154" s="32"/>
      <c r="U154" s="33"/>
      <c r="V154" s="33"/>
      <c r="W154" s="33"/>
      <c r="X154" s="33"/>
      <c r="Y154" s="32"/>
      <c r="Z154" s="33"/>
      <c r="AA154" s="33"/>
      <c r="AB154" s="33"/>
      <c r="AC154" s="33"/>
      <c r="AD154" s="32"/>
      <c r="AE154" s="33"/>
      <c r="AF154" s="33"/>
      <c r="AG154" s="33"/>
      <c r="AH154" s="33"/>
      <c r="AI154" s="32"/>
      <c r="AJ154" s="15"/>
      <c r="AK154" s="33"/>
      <c r="AL154" s="33"/>
      <c r="AM154" s="33"/>
      <c r="AN154" s="32"/>
      <c r="AO154" s="217"/>
      <c r="AP154" s="217"/>
      <c r="AQ154" s="217"/>
      <c r="AR154" s="217"/>
      <c r="AS154" s="217"/>
      <c r="AT154" s="218"/>
      <c r="AU154" s="218"/>
      <c r="AV154" s="218"/>
      <c r="AW154" s="218"/>
      <c r="AX154" s="218"/>
      <c r="AY154" s="217"/>
      <c r="AZ154" s="217"/>
      <c r="BA154" s="217"/>
      <c r="BB154" s="217"/>
      <c r="BC154" s="217"/>
      <c r="BD154" s="226"/>
    </row>
    <row r="155" spans="1:56" s="8" customFormat="1" ht="42" customHeight="1" x14ac:dyDescent="0.35">
      <c r="A155" s="33"/>
      <c r="B155" s="182"/>
      <c r="C155" s="33"/>
      <c r="D155" s="33"/>
      <c r="E155" s="32"/>
      <c r="F155" s="33"/>
      <c r="G155" s="33"/>
      <c r="H155" s="33"/>
      <c r="I155" s="33"/>
      <c r="J155" s="32"/>
      <c r="K155" s="33"/>
      <c r="L155" s="33"/>
      <c r="M155" s="33"/>
      <c r="N155" s="33"/>
      <c r="O155" s="32"/>
      <c r="P155" s="33"/>
      <c r="Q155" s="33"/>
      <c r="R155" s="33"/>
      <c r="S155" s="33"/>
      <c r="T155" s="32"/>
      <c r="U155" s="33"/>
      <c r="V155" s="33"/>
      <c r="W155" s="33"/>
      <c r="X155" s="33"/>
      <c r="Y155" s="32"/>
      <c r="Z155" s="33"/>
      <c r="AA155" s="33"/>
      <c r="AB155" s="33"/>
      <c r="AC155" s="33"/>
      <c r="AD155" s="32"/>
      <c r="AE155" s="33"/>
      <c r="AF155" s="33"/>
      <c r="AG155" s="33"/>
      <c r="AH155" s="33"/>
      <c r="AI155" s="32"/>
      <c r="AJ155" s="15"/>
      <c r="AK155" s="33"/>
      <c r="AL155" s="33"/>
      <c r="AM155" s="33"/>
      <c r="AN155" s="32"/>
      <c r="AO155" s="217"/>
      <c r="AP155" s="217"/>
      <c r="AQ155" s="217"/>
      <c r="AR155" s="217"/>
      <c r="AS155" s="217"/>
      <c r="AT155" s="218"/>
      <c r="AU155" s="218"/>
      <c r="AV155" s="218"/>
      <c r="AW155" s="218"/>
      <c r="AX155" s="218"/>
      <c r="AY155" s="217"/>
      <c r="AZ155" s="217"/>
      <c r="BA155" s="217"/>
      <c r="BB155" s="217"/>
      <c r="BC155" s="217"/>
      <c r="BD155" s="226"/>
    </row>
    <row r="156" spans="1:56" s="8" customFormat="1" ht="42" customHeight="1" x14ac:dyDescent="0.35">
      <c r="A156" s="33"/>
      <c r="B156" s="182"/>
      <c r="C156" s="33"/>
      <c r="D156" s="33"/>
      <c r="E156" s="32"/>
      <c r="F156" s="33"/>
      <c r="G156" s="33"/>
      <c r="H156" s="33"/>
      <c r="I156" s="33"/>
      <c r="J156" s="32"/>
      <c r="K156" s="33"/>
      <c r="L156" s="33"/>
      <c r="M156" s="33"/>
      <c r="N156" s="33"/>
      <c r="O156" s="32"/>
      <c r="P156" s="33"/>
      <c r="Q156" s="33"/>
      <c r="R156" s="33"/>
      <c r="S156" s="33"/>
      <c r="T156" s="32"/>
      <c r="U156" s="33"/>
      <c r="V156" s="33"/>
      <c r="W156" s="33"/>
      <c r="X156" s="33"/>
      <c r="Y156" s="32"/>
      <c r="Z156" s="33"/>
      <c r="AA156" s="33"/>
      <c r="AB156" s="33"/>
      <c r="AC156" s="33"/>
      <c r="AD156" s="32"/>
      <c r="AE156" s="33"/>
      <c r="AF156" s="33"/>
      <c r="AG156" s="33"/>
      <c r="AH156" s="33"/>
      <c r="AI156" s="32"/>
      <c r="AJ156" s="15"/>
      <c r="AK156" s="33"/>
      <c r="AL156" s="33"/>
      <c r="AM156" s="33"/>
      <c r="AN156" s="32"/>
      <c r="AO156" s="217"/>
      <c r="AP156" s="217"/>
      <c r="AQ156" s="217"/>
      <c r="AR156" s="217"/>
      <c r="AS156" s="217"/>
      <c r="AT156" s="218"/>
      <c r="AU156" s="218"/>
      <c r="AV156" s="218"/>
      <c r="AW156" s="218"/>
      <c r="AX156" s="218"/>
      <c r="AY156" s="217"/>
      <c r="AZ156" s="217"/>
      <c r="BA156" s="217"/>
      <c r="BB156" s="217"/>
      <c r="BC156" s="217"/>
      <c r="BD156" s="226"/>
    </row>
    <row r="157" spans="1:56" s="8" customFormat="1" ht="42" customHeight="1" x14ac:dyDescent="0.35">
      <c r="A157" s="33"/>
      <c r="B157" s="182"/>
      <c r="C157" s="33"/>
      <c r="D157" s="33"/>
      <c r="E157" s="32"/>
      <c r="F157" s="33"/>
      <c r="G157" s="33"/>
      <c r="H157" s="33"/>
      <c r="I157" s="33"/>
      <c r="J157" s="32"/>
      <c r="K157" s="33"/>
      <c r="L157" s="33"/>
      <c r="M157" s="33"/>
      <c r="N157" s="33"/>
      <c r="O157" s="32"/>
      <c r="P157" s="33"/>
      <c r="Q157" s="33"/>
      <c r="R157" s="33"/>
      <c r="S157" s="33"/>
      <c r="T157" s="32"/>
      <c r="U157" s="33"/>
      <c r="V157" s="33"/>
      <c r="W157" s="33"/>
      <c r="X157" s="33"/>
      <c r="Y157" s="32"/>
      <c r="Z157" s="33"/>
      <c r="AA157" s="33"/>
      <c r="AB157" s="33"/>
      <c r="AC157" s="33"/>
      <c r="AD157" s="32"/>
      <c r="AE157" s="33"/>
      <c r="AF157" s="33"/>
      <c r="AG157" s="33"/>
      <c r="AH157" s="33"/>
      <c r="AI157" s="32"/>
      <c r="AJ157" s="15"/>
      <c r="AK157" s="33"/>
      <c r="AL157" s="33"/>
      <c r="AM157" s="33"/>
      <c r="AN157" s="32"/>
      <c r="AO157" s="217"/>
      <c r="AP157" s="217"/>
      <c r="AQ157" s="217"/>
      <c r="AR157" s="217"/>
      <c r="AS157" s="217"/>
      <c r="AT157" s="218"/>
      <c r="AU157" s="218"/>
      <c r="AV157" s="218"/>
      <c r="AW157" s="218"/>
      <c r="AX157" s="218"/>
      <c r="AY157" s="217"/>
      <c r="AZ157" s="217"/>
      <c r="BA157" s="217"/>
      <c r="BB157" s="217"/>
      <c r="BC157" s="217"/>
      <c r="BD157" s="226"/>
    </row>
    <row r="158" spans="1:56" s="8" customFormat="1" ht="42" customHeight="1" x14ac:dyDescent="0.35">
      <c r="A158" s="33"/>
      <c r="B158" s="182"/>
      <c r="C158" s="33"/>
      <c r="D158" s="33"/>
      <c r="E158" s="32"/>
      <c r="F158" s="33"/>
      <c r="G158" s="33"/>
      <c r="H158" s="33"/>
      <c r="I158" s="33"/>
      <c r="J158" s="32"/>
      <c r="K158" s="33"/>
      <c r="L158" s="33"/>
      <c r="M158" s="33"/>
      <c r="N158" s="33"/>
      <c r="O158" s="32"/>
      <c r="P158" s="33"/>
      <c r="Q158" s="33"/>
      <c r="R158" s="33"/>
      <c r="S158" s="33"/>
      <c r="T158" s="32"/>
      <c r="U158" s="33"/>
      <c r="V158" s="33"/>
      <c r="W158" s="33"/>
      <c r="X158" s="33"/>
      <c r="Y158" s="32"/>
      <c r="Z158" s="33"/>
      <c r="AA158" s="33"/>
      <c r="AB158" s="33"/>
      <c r="AC158" s="33"/>
      <c r="AD158" s="32"/>
      <c r="AE158" s="33"/>
      <c r="AF158" s="33"/>
      <c r="AG158" s="33"/>
      <c r="AH158" s="33"/>
      <c r="AI158" s="32"/>
      <c r="AJ158" s="15"/>
      <c r="AK158" s="33"/>
      <c r="AL158" s="33"/>
      <c r="AM158" s="33"/>
      <c r="AN158" s="32"/>
      <c r="AO158" s="217"/>
      <c r="AP158" s="217"/>
      <c r="AQ158" s="217"/>
      <c r="AR158" s="217"/>
      <c r="AS158" s="217"/>
      <c r="AT158" s="218"/>
      <c r="AU158" s="218"/>
      <c r="AV158" s="218"/>
      <c r="AW158" s="218"/>
      <c r="AX158" s="218"/>
      <c r="AY158" s="217"/>
      <c r="AZ158" s="217"/>
      <c r="BA158" s="217"/>
      <c r="BB158" s="217"/>
      <c r="BC158" s="217"/>
      <c r="BD158" s="226"/>
    </row>
    <row r="159" spans="1:56" s="8" customFormat="1" ht="42" customHeight="1" x14ac:dyDescent="0.35">
      <c r="A159" s="33"/>
      <c r="B159" s="182"/>
      <c r="C159" s="33"/>
      <c r="D159" s="33"/>
      <c r="E159" s="32"/>
      <c r="F159" s="33"/>
      <c r="G159" s="33"/>
      <c r="H159" s="33"/>
      <c r="I159" s="33"/>
      <c r="J159" s="32"/>
      <c r="K159" s="33"/>
      <c r="L159" s="33"/>
      <c r="M159" s="33"/>
      <c r="N159" s="33"/>
      <c r="O159" s="32"/>
      <c r="P159" s="33"/>
      <c r="Q159" s="33"/>
      <c r="R159" s="33"/>
      <c r="S159" s="33"/>
      <c r="T159" s="32"/>
      <c r="U159" s="33"/>
      <c r="V159" s="33"/>
      <c r="W159" s="33"/>
      <c r="X159" s="33"/>
      <c r="Y159" s="32"/>
      <c r="Z159" s="33"/>
      <c r="AA159" s="33"/>
      <c r="AB159" s="33"/>
      <c r="AC159" s="33"/>
      <c r="AD159" s="32"/>
      <c r="AE159" s="33"/>
      <c r="AF159" s="33"/>
      <c r="AG159" s="33"/>
      <c r="AH159" s="33"/>
      <c r="AI159" s="32"/>
      <c r="AJ159" s="15"/>
      <c r="AK159" s="33"/>
      <c r="AL159" s="33"/>
      <c r="AM159" s="33"/>
      <c r="AN159" s="32"/>
      <c r="AO159" s="217"/>
      <c r="AP159" s="217"/>
      <c r="AQ159" s="217"/>
      <c r="AR159" s="217"/>
      <c r="AS159" s="217"/>
      <c r="AT159" s="218"/>
      <c r="AU159" s="218"/>
      <c r="AV159" s="218"/>
      <c r="AW159" s="218"/>
      <c r="AX159" s="218"/>
      <c r="AY159" s="217"/>
      <c r="AZ159" s="217"/>
      <c r="BA159" s="217"/>
      <c r="BB159" s="217"/>
      <c r="BC159" s="217"/>
      <c r="BD159" s="226"/>
    </row>
    <row r="160" spans="1:56" s="8" customFormat="1" ht="42" customHeight="1" x14ac:dyDescent="0.35">
      <c r="A160" s="33"/>
      <c r="B160" s="182"/>
      <c r="C160" s="33"/>
      <c r="D160" s="33"/>
      <c r="E160" s="32"/>
      <c r="F160" s="33"/>
      <c r="G160" s="33"/>
      <c r="H160" s="33"/>
      <c r="I160" s="33"/>
      <c r="J160" s="32"/>
      <c r="K160" s="33"/>
      <c r="L160" s="33"/>
      <c r="M160" s="33"/>
      <c r="N160" s="33"/>
      <c r="O160" s="32"/>
      <c r="P160" s="33"/>
      <c r="Q160" s="33"/>
      <c r="R160" s="33"/>
      <c r="S160" s="33"/>
      <c r="T160" s="32"/>
      <c r="U160" s="33"/>
      <c r="V160" s="33"/>
      <c r="W160" s="33"/>
      <c r="X160" s="33"/>
      <c r="Y160" s="32"/>
      <c r="Z160" s="33"/>
      <c r="AA160" s="33"/>
      <c r="AB160" s="33"/>
      <c r="AC160" s="33"/>
      <c r="AD160" s="32"/>
      <c r="AE160" s="33"/>
      <c r="AF160" s="33"/>
      <c r="AG160" s="33"/>
      <c r="AH160" s="33"/>
      <c r="AI160" s="32"/>
      <c r="AJ160" s="15"/>
      <c r="AK160" s="33"/>
      <c r="AL160" s="33"/>
      <c r="AM160" s="33"/>
      <c r="AN160" s="32"/>
      <c r="AO160" s="217"/>
      <c r="AP160" s="217"/>
      <c r="AQ160" s="217"/>
      <c r="AR160" s="217"/>
      <c r="AS160" s="217"/>
      <c r="AT160" s="218"/>
      <c r="AU160" s="218"/>
      <c r="AV160" s="218"/>
      <c r="AW160" s="218"/>
      <c r="AX160" s="218"/>
      <c r="AY160" s="217"/>
      <c r="AZ160" s="217"/>
      <c r="BA160" s="217"/>
      <c r="BB160" s="217"/>
      <c r="BC160" s="217"/>
      <c r="BD160" s="226"/>
    </row>
    <row r="161" spans="1:56" s="8" customFormat="1" ht="42" customHeight="1" x14ac:dyDescent="0.35">
      <c r="A161" s="33"/>
      <c r="B161" s="182"/>
      <c r="C161" s="33"/>
      <c r="D161" s="33"/>
      <c r="E161" s="32"/>
      <c r="F161" s="33"/>
      <c r="G161" s="33"/>
      <c r="H161" s="33"/>
      <c r="I161" s="33"/>
      <c r="J161" s="32"/>
      <c r="K161" s="33"/>
      <c r="L161" s="33"/>
      <c r="M161" s="33"/>
      <c r="N161" s="33"/>
      <c r="O161" s="32"/>
      <c r="P161" s="33"/>
      <c r="Q161" s="33"/>
      <c r="R161" s="33"/>
      <c r="S161" s="33"/>
      <c r="T161" s="32"/>
      <c r="U161" s="33"/>
      <c r="V161" s="33"/>
      <c r="W161" s="33"/>
      <c r="X161" s="33"/>
      <c r="Y161" s="32"/>
      <c r="Z161" s="33"/>
      <c r="AA161" s="33"/>
      <c r="AB161" s="33"/>
      <c r="AC161" s="33"/>
      <c r="AD161" s="32"/>
      <c r="AE161" s="33"/>
      <c r="AF161" s="33"/>
      <c r="AG161" s="33"/>
      <c r="AH161" s="33"/>
      <c r="AI161" s="32"/>
      <c r="AJ161" s="15"/>
      <c r="AK161" s="33"/>
      <c r="AL161" s="33"/>
      <c r="AM161" s="33"/>
      <c r="AN161" s="32"/>
      <c r="AO161" s="217"/>
      <c r="AP161" s="217"/>
      <c r="AQ161" s="217"/>
      <c r="AR161" s="217"/>
      <c r="AS161" s="217"/>
      <c r="AT161" s="218"/>
      <c r="AU161" s="218"/>
      <c r="AV161" s="218"/>
      <c r="AW161" s="218"/>
      <c r="AX161" s="218"/>
      <c r="AY161" s="217"/>
      <c r="AZ161" s="217"/>
      <c r="BA161" s="217"/>
      <c r="BB161" s="217"/>
      <c r="BC161" s="217"/>
      <c r="BD161" s="226"/>
    </row>
    <row r="162" spans="1:56" s="8" customFormat="1" ht="42" customHeight="1" x14ac:dyDescent="0.35">
      <c r="A162" s="33"/>
      <c r="B162" s="182"/>
      <c r="C162" s="33"/>
      <c r="D162" s="33"/>
      <c r="E162" s="32"/>
      <c r="F162" s="33"/>
      <c r="G162" s="33"/>
      <c r="H162" s="33"/>
      <c r="I162" s="33"/>
      <c r="J162" s="32"/>
      <c r="K162" s="33"/>
      <c r="L162" s="33"/>
      <c r="M162" s="33"/>
      <c r="N162" s="33"/>
      <c r="O162" s="32"/>
      <c r="P162" s="33"/>
      <c r="Q162" s="33"/>
      <c r="R162" s="33"/>
      <c r="S162" s="33"/>
      <c r="T162" s="32"/>
      <c r="U162" s="33"/>
      <c r="V162" s="33"/>
      <c r="W162" s="33"/>
      <c r="X162" s="33"/>
      <c r="Y162" s="32"/>
      <c r="Z162" s="33"/>
      <c r="AA162" s="33"/>
      <c r="AB162" s="33"/>
      <c r="AC162" s="33"/>
      <c r="AD162" s="32"/>
      <c r="AE162" s="33"/>
      <c r="AF162" s="33"/>
      <c r="AG162" s="33"/>
      <c r="AH162" s="33"/>
      <c r="AI162" s="32"/>
      <c r="AJ162" s="15"/>
      <c r="AK162" s="33"/>
      <c r="AL162" s="33"/>
      <c r="AM162" s="33"/>
      <c r="AN162" s="32"/>
      <c r="AO162" s="217"/>
      <c r="AP162" s="217"/>
      <c r="AQ162" s="217"/>
      <c r="AR162" s="217"/>
      <c r="AS162" s="217"/>
      <c r="AT162" s="218"/>
      <c r="AU162" s="218"/>
      <c r="AV162" s="218"/>
      <c r="AW162" s="218"/>
      <c r="AX162" s="218"/>
      <c r="AY162" s="217"/>
      <c r="AZ162" s="217"/>
      <c r="BA162" s="217"/>
      <c r="BB162" s="217"/>
      <c r="BC162" s="217"/>
      <c r="BD162" s="226"/>
    </row>
    <row r="163" spans="1:56" s="8" customFormat="1" ht="42" customHeight="1" x14ac:dyDescent="0.35">
      <c r="A163" s="33"/>
      <c r="B163" s="182"/>
      <c r="C163" s="33"/>
      <c r="D163" s="33"/>
      <c r="E163" s="32"/>
      <c r="F163" s="33"/>
      <c r="G163" s="33"/>
      <c r="H163" s="33"/>
      <c r="I163" s="33"/>
      <c r="J163" s="32"/>
      <c r="K163" s="33"/>
      <c r="L163" s="33"/>
      <c r="M163" s="33"/>
      <c r="N163" s="33"/>
      <c r="O163" s="32"/>
      <c r="P163" s="33"/>
      <c r="Q163" s="33"/>
      <c r="R163" s="33"/>
      <c r="S163" s="33"/>
      <c r="T163" s="32"/>
      <c r="U163" s="33"/>
      <c r="V163" s="33"/>
      <c r="W163" s="33"/>
      <c r="X163" s="33"/>
      <c r="Y163" s="32"/>
      <c r="Z163" s="33"/>
      <c r="AA163" s="33"/>
      <c r="AB163" s="33"/>
      <c r="AC163" s="33"/>
      <c r="AD163" s="32"/>
      <c r="AE163" s="33"/>
      <c r="AF163" s="33"/>
      <c r="AG163" s="33"/>
      <c r="AH163" s="33"/>
      <c r="AI163" s="32"/>
      <c r="AJ163" s="15"/>
      <c r="AK163" s="33"/>
      <c r="AL163" s="33"/>
      <c r="AM163" s="33"/>
      <c r="AN163" s="32"/>
      <c r="AO163" s="217"/>
      <c r="AP163" s="217"/>
      <c r="AQ163" s="217"/>
      <c r="AR163" s="217"/>
      <c r="AS163" s="217"/>
      <c r="AT163" s="218"/>
      <c r="AU163" s="218"/>
      <c r="AV163" s="218"/>
      <c r="AW163" s="218"/>
      <c r="AX163" s="218"/>
      <c r="AY163" s="217"/>
      <c r="AZ163" s="217"/>
      <c r="BA163" s="217"/>
      <c r="BB163" s="217"/>
      <c r="BC163" s="217"/>
      <c r="BD163" s="226"/>
    </row>
    <row r="164" spans="1:56" s="8" customFormat="1" ht="42" customHeight="1" x14ac:dyDescent="0.35">
      <c r="A164" s="33"/>
      <c r="B164" s="182"/>
      <c r="C164" s="33"/>
      <c r="D164" s="33"/>
      <c r="E164" s="32"/>
      <c r="F164" s="33"/>
      <c r="G164" s="33"/>
      <c r="H164" s="33"/>
      <c r="I164" s="33"/>
      <c r="J164" s="32"/>
      <c r="K164" s="33"/>
      <c r="L164" s="33"/>
      <c r="M164" s="33"/>
      <c r="N164" s="33"/>
      <c r="O164" s="32"/>
      <c r="P164" s="33"/>
      <c r="Q164" s="33"/>
      <c r="R164" s="33"/>
      <c r="S164" s="33"/>
      <c r="T164" s="32"/>
      <c r="U164" s="33"/>
      <c r="V164" s="33"/>
      <c r="W164" s="33"/>
      <c r="X164" s="33"/>
      <c r="Y164" s="32"/>
      <c r="Z164" s="33"/>
      <c r="AA164" s="33"/>
      <c r="AB164" s="33"/>
      <c r="AC164" s="33"/>
      <c r="AD164" s="32"/>
      <c r="AE164" s="33"/>
      <c r="AF164" s="33"/>
      <c r="AG164" s="33"/>
      <c r="AH164" s="33"/>
      <c r="AI164" s="32"/>
      <c r="AJ164" s="15"/>
      <c r="AK164" s="33"/>
      <c r="AL164" s="33"/>
      <c r="AM164" s="33"/>
      <c r="AN164" s="32"/>
      <c r="AO164" s="217"/>
      <c r="AP164" s="217"/>
      <c r="AQ164" s="217"/>
      <c r="AR164" s="217"/>
      <c r="AS164" s="217"/>
      <c r="AT164" s="218"/>
      <c r="AU164" s="218"/>
      <c r="AV164" s="218"/>
      <c r="AW164" s="218"/>
      <c r="AX164" s="218"/>
      <c r="AY164" s="217"/>
      <c r="AZ164" s="217"/>
      <c r="BA164" s="217"/>
      <c r="BB164" s="217"/>
      <c r="BC164" s="217"/>
      <c r="BD164" s="226"/>
    </row>
    <row r="165" spans="1:56" s="8" customFormat="1" ht="42" customHeight="1" x14ac:dyDescent="0.35">
      <c r="A165" s="33"/>
      <c r="B165" s="182"/>
      <c r="C165" s="33"/>
      <c r="D165" s="33"/>
      <c r="E165" s="32"/>
      <c r="F165" s="33"/>
      <c r="G165" s="33"/>
      <c r="H165" s="33"/>
      <c r="I165" s="33"/>
      <c r="J165" s="32"/>
      <c r="K165" s="33"/>
      <c r="L165" s="33"/>
      <c r="M165" s="33"/>
      <c r="N165" s="33"/>
      <c r="O165" s="32"/>
      <c r="P165" s="33"/>
      <c r="Q165" s="33"/>
      <c r="R165" s="33"/>
      <c r="S165" s="33"/>
      <c r="T165" s="32"/>
      <c r="U165" s="33"/>
      <c r="V165" s="33"/>
      <c r="W165" s="33"/>
      <c r="X165" s="33"/>
      <c r="Y165" s="32"/>
      <c r="Z165" s="33"/>
      <c r="AA165" s="33"/>
      <c r="AB165" s="33"/>
      <c r="AC165" s="33"/>
      <c r="AD165" s="32"/>
      <c r="AE165" s="33"/>
      <c r="AF165" s="33"/>
      <c r="AG165" s="33"/>
      <c r="AH165" s="33"/>
      <c r="AI165" s="32"/>
      <c r="AJ165" s="15"/>
      <c r="AK165" s="33"/>
      <c r="AL165" s="33"/>
      <c r="AM165" s="33"/>
      <c r="AN165" s="32"/>
      <c r="AO165" s="217"/>
      <c r="AP165" s="217"/>
      <c r="AQ165" s="217"/>
      <c r="AR165" s="217"/>
      <c r="AS165" s="217"/>
      <c r="AT165" s="218"/>
      <c r="AU165" s="218"/>
      <c r="AV165" s="218"/>
      <c r="AW165" s="218"/>
      <c r="AX165" s="218"/>
      <c r="AY165" s="217"/>
      <c r="AZ165" s="217"/>
      <c r="BA165" s="217"/>
      <c r="BB165" s="217"/>
      <c r="BC165" s="217"/>
      <c r="BD165" s="226"/>
    </row>
    <row r="166" spans="1:56" s="8" customFormat="1" ht="42" customHeight="1" x14ac:dyDescent="0.35">
      <c r="A166" s="33"/>
      <c r="B166" s="182"/>
      <c r="C166" s="33"/>
      <c r="D166" s="33"/>
      <c r="E166" s="32"/>
      <c r="F166" s="33"/>
      <c r="G166" s="33"/>
      <c r="H166" s="33"/>
      <c r="I166" s="33"/>
      <c r="J166" s="32"/>
      <c r="K166" s="33"/>
      <c r="L166" s="33"/>
      <c r="M166" s="33"/>
      <c r="N166" s="33"/>
      <c r="O166" s="32"/>
      <c r="P166" s="33"/>
      <c r="Q166" s="33"/>
      <c r="R166" s="33"/>
      <c r="S166" s="33"/>
      <c r="T166" s="32"/>
      <c r="U166" s="33"/>
      <c r="V166" s="33"/>
      <c r="W166" s="33"/>
      <c r="X166" s="33"/>
      <c r="Y166" s="32"/>
      <c r="Z166" s="33"/>
      <c r="AA166" s="33"/>
      <c r="AB166" s="33"/>
      <c r="AC166" s="33"/>
      <c r="AD166" s="32"/>
      <c r="AE166" s="33"/>
      <c r="AF166" s="33"/>
      <c r="AG166" s="33"/>
      <c r="AH166" s="33"/>
      <c r="AI166" s="32"/>
      <c r="AJ166" s="15"/>
      <c r="AK166" s="33"/>
      <c r="AL166" s="33"/>
      <c r="AM166" s="33"/>
      <c r="AN166" s="32"/>
      <c r="AO166" s="217"/>
      <c r="AP166" s="217"/>
      <c r="AQ166" s="217"/>
      <c r="AR166" s="217"/>
      <c r="AS166" s="217"/>
      <c r="AT166" s="218"/>
      <c r="AU166" s="218"/>
      <c r="AV166" s="218"/>
      <c r="AW166" s="218"/>
      <c r="AX166" s="218"/>
      <c r="AY166" s="217"/>
      <c r="AZ166" s="217"/>
      <c r="BA166" s="217"/>
      <c r="BB166" s="217"/>
      <c r="BC166" s="217"/>
      <c r="BD166" s="226"/>
    </row>
    <row r="167" spans="1:56" s="8" customFormat="1" ht="42" customHeight="1" x14ac:dyDescent="0.35">
      <c r="A167" s="33"/>
      <c r="B167" s="182"/>
      <c r="C167" s="33"/>
      <c r="D167" s="33"/>
      <c r="E167" s="32"/>
      <c r="F167" s="33"/>
      <c r="G167" s="33"/>
      <c r="H167" s="33"/>
      <c r="I167" s="33"/>
      <c r="J167" s="32"/>
      <c r="K167" s="33"/>
      <c r="L167" s="33"/>
      <c r="M167" s="33"/>
      <c r="N167" s="33"/>
      <c r="O167" s="32"/>
      <c r="P167" s="33"/>
      <c r="Q167" s="33"/>
      <c r="R167" s="33"/>
      <c r="S167" s="33"/>
      <c r="T167" s="32"/>
      <c r="U167" s="33"/>
      <c r="V167" s="33"/>
      <c r="W167" s="33"/>
      <c r="X167" s="33"/>
      <c r="Y167" s="32"/>
      <c r="Z167" s="33"/>
      <c r="AA167" s="33"/>
      <c r="AB167" s="33"/>
      <c r="AC167" s="33"/>
      <c r="AD167" s="32"/>
      <c r="AE167" s="33"/>
      <c r="AF167" s="33"/>
      <c r="AG167" s="33"/>
      <c r="AH167" s="33"/>
      <c r="AI167" s="32"/>
      <c r="AJ167" s="15"/>
      <c r="AK167" s="33"/>
      <c r="AL167" s="33"/>
      <c r="AM167" s="33"/>
      <c r="AN167" s="32"/>
      <c r="AO167" s="217"/>
      <c r="AP167" s="217"/>
      <c r="AQ167" s="217"/>
      <c r="AR167" s="217"/>
      <c r="AS167" s="217"/>
      <c r="AT167" s="218"/>
      <c r="AU167" s="218"/>
      <c r="AV167" s="218"/>
      <c r="AW167" s="218"/>
      <c r="AX167" s="218"/>
      <c r="AY167" s="217"/>
      <c r="AZ167" s="217"/>
      <c r="BA167" s="217"/>
      <c r="BB167" s="217"/>
      <c r="BC167" s="217"/>
      <c r="BD167" s="226"/>
    </row>
    <row r="168" spans="1:56" s="8" customFormat="1" ht="42" customHeight="1" x14ac:dyDescent="0.35">
      <c r="A168" s="33"/>
      <c r="B168" s="182"/>
      <c r="C168" s="33"/>
      <c r="D168" s="33"/>
      <c r="E168" s="32"/>
      <c r="F168" s="33"/>
      <c r="G168" s="33"/>
      <c r="H168" s="33"/>
      <c r="I168" s="33"/>
      <c r="J168" s="32"/>
      <c r="K168" s="33"/>
      <c r="L168" s="33"/>
      <c r="M168" s="33"/>
      <c r="N168" s="33"/>
      <c r="O168" s="32"/>
      <c r="P168" s="33"/>
      <c r="Q168" s="33"/>
      <c r="R168" s="33"/>
      <c r="S168" s="33"/>
      <c r="T168" s="32"/>
      <c r="U168" s="33"/>
      <c r="V168" s="33"/>
      <c r="W168" s="33"/>
      <c r="X168" s="33"/>
      <c r="Y168" s="32"/>
      <c r="Z168" s="33"/>
      <c r="AA168" s="33"/>
      <c r="AB168" s="33"/>
      <c r="AC168" s="33"/>
      <c r="AD168" s="32"/>
      <c r="AE168" s="33"/>
      <c r="AF168" s="33"/>
      <c r="AG168" s="33"/>
      <c r="AH168" s="33"/>
      <c r="AI168" s="32"/>
      <c r="AJ168" s="15"/>
      <c r="AK168" s="33"/>
      <c r="AL168" s="33"/>
      <c r="AM168" s="33"/>
      <c r="AN168" s="32"/>
      <c r="AO168" s="217"/>
      <c r="AP168" s="217"/>
      <c r="AQ168" s="217"/>
      <c r="AR168" s="217"/>
      <c r="AS168" s="217"/>
      <c r="AT168" s="218"/>
      <c r="AU168" s="218"/>
      <c r="AV168" s="218"/>
      <c r="AW168" s="218"/>
      <c r="AX168" s="218"/>
      <c r="AY168" s="217"/>
      <c r="AZ168" s="217"/>
      <c r="BA168" s="217"/>
      <c r="BB168" s="217"/>
      <c r="BC168" s="217"/>
      <c r="BD168" s="226"/>
    </row>
    <row r="169" spans="1:56" s="8" customFormat="1" ht="42" customHeight="1" x14ac:dyDescent="0.35">
      <c r="A169" s="33"/>
      <c r="B169" s="182"/>
      <c r="C169" s="33"/>
      <c r="D169" s="33"/>
      <c r="E169" s="32"/>
      <c r="F169" s="33"/>
      <c r="G169" s="33"/>
      <c r="H169" s="33"/>
      <c r="I169" s="33"/>
      <c r="J169" s="32"/>
      <c r="K169" s="33"/>
      <c r="L169" s="33"/>
      <c r="M169" s="33"/>
      <c r="N169" s="33"/>
      <c r="O169" s="32"/>
      <c r="P169" s="33"/>
      <c r="Q169" s="33"/>
      <c r="R169" s="33"/>
      <c r="S169" s="33"/>
      <c r="T169" s="32"/>
      <c r="U169" s="33"/>
      <c r="V169" s="33"/>
      <c r="W169" s="33"/>
      <c r="X169" s="33"/>
      <c r="Y169" s="32"/>
      <c r="Z169" s="33"/>
      <c r="AA169" s="33"/>
      <c r="AB169" s="33"/>
      <c r="AC169" s="33"/>
      <c r="AD169" s="32"/>
      <c r="AE169" s="33"/>
      <c r="AF169" s="33"/>
      <c r="AG169" s="33"/>
      <c r="AH169" s="33"/>
      <c r="AI169" s="32"/>
      <c r="AJ169" s="15"/>
      <c r="AK169" s="33"/>
      <c r="AL169" s="33"/>
      <c r="AM169" s="33"/>
      <c r="AN169" s="32"/>
      <c r="AO169" s="217"/>
      <c r="AP169" s="217"/>
      <c r="AQ169" s="217"/>
      <c r="AR169" s="217"/>
      <c r="AS169" s="217"/>
      <c r="AT169" s="218"/>
      <c r="AU169" s="218"/>
      <c r="AV169" s="218"/>
      <c r="AW169" s="218"/>
      <c r="AX169" s="218"/>
      <c r="AY169" s="217"/>
      <c r="AZ169" s="217"/>
      <c r="BA169" s="217"/>
      <c r="BB169" s="217"/>
      <c r="BC169" s="217"/>
      <c r="BD169" s="226"/>
    </row>
    <row r="170" spans="1:56" s="8" customFormat="1" ht="42" customHeight="1" x14ac:dyDescent="0.35">
      <c r="A170" s="33"/>
      <c r="B170" s="182"/>
      <c r="C170" s="33"/>
      <c r="D170" s="33"/>
      <c r="E170" s="32"/>
      <c r="F170" s="33"/>
      <c r="G170" s="33"/>
      <c r="H170" s="33"/>
      <c r="I170" s="33"/>
      <c r="J170" s="32"/>
      <c r="K170" s="33"/>
      <c r="L170" s="33"/>
      <c r="M170" s="33"/>
      <c r="N170" s="33"/>
      <c r="O170" s="32"/>
      <c r="P170" s="33"/>
      <c r="Q170" s="33"/>
      <c r="R170" s="33"/>
      <c r="S170" s="33"/>
      <c r="T170" s="32"/>
      <c r="U170" s="33"/>
      <c r="V170" s="33"/>
      <c r="W170" s="33"/>
      <c r="X170" s="33"/>
      <c r="Y170" s="32"/>
      <c r="Z170" s="33"/>
      <c r="AA170" s="33"/>
      <c r="AB170" s="33"/>
      <c r="AC170" s="33"/>
      <c r="AD170" s="32"/>
      <c r="AE170" s="33"/>
      <c r="AF170" s="33"/>
      <c r="AG170" s="33"/>
      <c r="AH170" s="33"/>
      <c r="AI170" s="32"/>
      <c r="AJ170" s="15"/>
      <c r="AK170" s="33"/>
      <c r="AL170" s="33"/>
      <c r="AM170" s="33"/>
      <c r="AN170" s="32"/>
      <c r="AO170" s="217"/>
      <c r="AP170" s="217"/>
      <c r="AQ170" s="217"/>
      <c r="AR170" s="217"/>
      <c r="AS170" s="217"/>
      <c r="AT170" s="218"/>
      <c r="AU170" s="218"/>
      <c r="AV170" s="218"/>
      <c r="AW170" s="218"/>
      <c r="AX170" s="218"/>
      <c r="AY170" s="217"/>
      <c r="AZ170" s="217"/>
      <c r="BA170" s="217"/>
      <c r="BB170" s="217"/>
      <c r="BC170" s="217"/>
      <c r="BD170" s="226"/>
    </row>
    <row r="171" spans="1:56" s="8" customFormat="1" ht="42" customHeight="1" x14ac:dyDescent="0.35">
      <c r="A171" s="33"/>
      <c r="B171" s="182"/>
      <c r="C171" s="33"/>
      <c r="D171" s="33"/>
      <c r="E171" s="32"/>
      <c r="F171" s="33"/>
      <c r="G171" s="33"/>
      <c r="H171" s="33"/>
      <c r="I171" s="33"/>
      <c r="J171" s="32"/>
      <c r="K171" s="33"/>
      <c r="L171" s="33"/>
      <c r="M171" s="33"/>
      <c r="N171" s="33"/>
      <c r="O171" s="32"/>
      <c r="P171" s="33"/>
      <c r="Q171" s="33"/>
      <c r="R171" s="33"/>
      <c r="S171" s="33"/>
      <c r="T171" s="32"/>
      <c r="U171" s="33"/>
      <c r="V171" s="33"/>
      <c r="W171" s="33"/>
      <c r="X171" s="33"/>
      <c r="Y171" s="32"/>
      <c r="Z171" s="33"/>
      <c r="AA171" s="33"/>
      <c r="AB171" s="33"/>
      <c r="AC171" s="33"/>
      <c r="AD171" s="32"/>
      <c r="AE171" s="33"/>
      <c r="AF171" s="33"/>
      <c r="AG171" s="33"/>
      <c r="AH171" s="33"/>
      <c r="AI171" s="32"/>
      <c r="AJ171" s="15"/>
      <c r="AK171" s="33"/>
      <c r="AL171" s="33"/>
      <c r="AM171" s="33"/>
      <c r="AN171" s="32"/>
      <c r="AO171" s="217"/>
      <c r="AP171" s="217"/>
      <c r="AQ171" s="217"/>
      <c r="AR171" s="217"/>
      <c r="AS171" s="217"/>
      <c r="AT171" s="218"/>
      <c r="AU171" s="218"/>
      <c r="AV171" s="218"/>
      <c r="AW171" s="218"/>
      <c r="AX171" s="218"/>
      <c r="AY171" s="217"/>
      <c r="AZ171" s="217"/>
      <c r="BA171" s="217"/>
      <c r="BB171" s="217"/>
      <c r="BC171" s="217"/>
      <c r="BD171" s="226"/>
    </row>
    <row r="172" spans="1:56" s="8" customFormat="1" ht="42" customHeight="1" x14ac:dyDescent="0.35">
      <c r="A172" s="33"/>
      <c r="B172" s="182"/>
      <c r="C172" s="33"/>
      <c r="D172" s="33"/>
      <c r="E172" s="32"/>
      <c r="F172" s="33"/>
      <c r="G172" s="33"/>
      <c r="H172" s="33"/>
      <c r="I172" s="33"/>
      <c r="J172" s="32"/>
      <c r="K172" s="33"/>
      <c r="L172" s="33"/>
      <c r="M172" s="33"/>
      <c r="N172" s="33"/>
      <c r="O172" s="32"/>
      <c r="P172" s="33"/>
      <c r="Q172" s="33"/>
      <c r="R172" s="33"/>
      <c r="S172" s="33"/>
      <c r="T172" s="32"/>
      <c r="U172" s="33"/>
      <c r="V172" s="33"/>
      <c r="W172" s="33"/>
      <c r="X172" s="33"/>
      <c r="Y172" s="32"/>
      <c r="Z172" s="33"/>
      <c r="AA172" s="33"/>
      <c r="AB172" s="33"/>
      <c r="AC172" s="33"/>
      <c r="AD172" s="32"/>
      <c r="AE172" s="33"/>
      <c r="AF172" s="33"/>
      <c r="AG172" s="33"/>
      <c r="AH172" s="33"/>
      <c r="AI172" s="32"/>
      <c r="AJ172" s="15"/>
      <c r="AK172" s="33"/>
      <c r="AL172" s="33"/>
      <c r="AM172" s="33"/>
      <c r="AN172" s="32"/>
      <c r="AO172" s="217"/>
      <c r="AP172" s="217"/>
      <c r="AQ172" s="217"/>
      <c r="AR172" s="217"/>
      <c r="AS172" s="217"/>
      <c r="AT172" s="218"/>
      <c r="AU172" s="218"/>
      <c r="AV172" s="218"/>
      <c r="AW172" s="218"/>
      <c r="AX172" s="218"/>
      <c r="AY172" s="217"/>
      <c r="AZ172" s="217"/>
      <c r="BA172" s="217"/>
      <c r="BB172" s="217"/>
      <c r="BC172" s="217"/>
      <c r="BD172" s="226"/>
    </row>
    <row r="173" spans="1:56" s="8" customFormat="1" ht="42" customHeight="1" x14ac:dyDescent="0.35">
      <c r="A173" s="33"/>
      <c r="B173" s="182"/>
      <c r="C173" s="33"/>
      <c r="D173" s="33"/>
      <c r="E173" s="32"/>
      <c r="F173" s="33"/>
      <c r="G173" s="33"/>
      <c r="H173" s="33"/>
      <c r="I173" s="33"/>
      <c r="J173" s="32"/>
      <c r="K173" s="33"/>
      <c r="L173" s="33"/>
      <c r="M173" s="33"/>
      <c r="N173" s="33"/>
      <c r="O173" s="32"/>
      <c r="P173" s="33"/>
      <c r="Q173" s="33"/>
      <c r="R173" s="33"/>
      <c r="S173" s="33"/>
      <c r="T173" s="32"/>
      <c r="U173" s="33"/>
      <c r="V173" s="33"/>
      <c r="W173" s="33"/>
      <c r="X173" s="33"/>
      <c r="Y173" s="32"/>
      <c r="Z173" s="33"/>
      <c r="AA173" s="33"/>
      <c r="AB173" s="33"/>
      <c r="AC173" s="33"/>
      <c r="AD173" s="32"/>
      <c r="AE173" s="33"/>
      <c r="AF173" s="33"/>
      <c r="AG173" s="33"/>
      <c r="AH173" s="33"/>
      <c r="AI173" s="32"/>
      <c r="AJ173" s="15"/>
      <c r="AK173" s="33"/>
      <c r="AL173" s="33"/>
      <c r="AM173" s="33"/>
      <c r="AN173" s="32"/>
      <c r="AO173" s="217"/>
      <c r="AP173" s="217"/>
      <c r="AQ173" s="217"/>
      <c r="AR173" s="217"/>
      <c r="AS173" s="217"/>
      <c r="AT173" s="218"/>
      <c r="AU173" s="218"/>
      <c r="AV173" s="218"/>
      <c r="AW173" s="218"/>
      <c r="AX173" s="218"/>
      <c r="AY173" s="217"/>
      <c r="AZ173" s="217"/>
      <c r="BA173" s="217"/>
      <c r="BB173" s="217"/>
      <c r="BC173" s="217"/>
      <c r="BD173" s="226"/>
    </row>
    <row r="174" spans="1:56" s="8" customFormat="1" ht="42" customHeight="1" x14ac:dyDescent="0.35">
      <c r="A174" s="33"/>
      <c r="B174" s="182"/>
      <c r="C174" s="33"/>
      <c r="D174" s="33"/>
      <c r="E174" s="32"/>
      <c r="F174" s="33"/>
      <c r="G174" s="33"/>
      <c r="H174" s="33"/>
      <c r="I174" s="33"/>
      <c r="J174" s="32"/>
      <c r="K174" s="33"/>
      <c r="L174" s="33"/>
      <c r="M174" s="33"/>
      <c r="N174" s="33"/>
      <c r="O174" s="32"/>
      <c r="P174" s="33"/>
      <c r="Q174" s="33"/>
      <c r="R174" s="33"/>
      <c r="S174" s="33"/>
      <c r="T174" s="32"/>
      <c r="U174" s="33"/>
      <c r="V174" s="33"/>
      <c r="W174" s="33"/>
      <c r="X174" s="33"/>
      <c r="Y174" s="32"/>
      <c r="Z174" s="33"/>
      <c r="AA174" s="33"/>
      <c r="AB174" s="33"/>
      <c r="AC174" s="33"/>
      <c r="AD174" s="32"/>
      <c r="AE174" s="33"/>
      <c r="AF174" s="33"/>
      <c r="AG174" s="33"/>
      <c r="AH174" s="33"/>
      <c r="AI174" s="32"/>
      <c r="AJ174" s="15"/>
      <c r="AK174" s="33"/>
      <c r="AL174" s="33"/>
      <c r="AM174" s="33"/>
      <c r="AN174" s="32"/>
      <c r="AO174" s="217"/>
      <c r="AP174" s="217"/>
      <c r="AQ174" s="217"/>
      <c r="AR174" s="217"/>
      <c r="AS174" s="217"/>
      <c r="AT174" s="218"/>
      <c r="AU174" s="218"/>
      <c r="AV174" s="218"/>
      <c r="AW174" s="218"/>
      <c r="AX174" s="218"/>
      <c r="AY174" s="217"/>
      <c r="AZ174" s="217"/>
      <c r="BA174" s="217"/>
      <c r="BB174" s="217"/>
      <c r="BC174" s="217"/>
      <c r="BD174" s="226"/>
    </row>
    <row r="175" spans="1:56" s="8" customFormat="1" ht="42" customHeight="1" x14ac:dyDescent="0.35">
      <c r="A175" s="33"/>
      <c r="B175" s="182"/>
      <c r="C175" s="33"/>
      <c r="D175" s="33"/>
      <c r="E175" s="32"/>
      <c r="F175" s="33"/>
      <c r="G175" s="33"/>
      <c r="H175" s="33"/>
      <c r="I175" s="33"/>
      <c r="J175" s="32"/>
      <c r="K175" s="33"/>
      <c r="L175" s="33"/>
      <c r="M175" s="33"/>
      <c r="N175" s="33"/>
      <c r="O175" s="32"/>
      <c r="P175" s="33"/>
      <c r="Q175" s="33"/>
      <c r="R175" s="33"/>
      <c r="S175" s="33"/>
      <c r="T175" s="32"/>
      <c r="U175" s="33"/>
      <c r="V175" s="33"/>
      <c r="W175" s="33"/>
      <c r="X175" s="33"/>
      <c r="Y175" s="32"/>
      <c r="Z175" s="33"/>
      <c r="AA175" s="33"/>
      <c r="AB175" s="33"/>
      <c r="AC175" s="33"/>
      <c r="AD175" s="32"/>
      <c r="AE175" s="33"/>
      <c r="AF175" s="33"/>
      <c r="AG175" s="33"/>
      <c r="AH175" s="33"/>
      <c r="AI175" s="32"/>
      <c r="AJ175" s="15"/>
      <c r="AK175" s="33"/>
      <c r="AL175" s="33"/>
      <c r="AM175" s="33"/>
      <c r="AN175" s="32"/>
      <c r="AO175" s="217"/>
      <c r="AP175" s="217"/>
      <c r="AQ175" s="217"/>
      <c r="AR175" s="217"/>
      <c r="AS175" s="217"/>
      <c r="AT175" s="218"/>
      <c r="AU175" s="218"/>
      <c r="AV175" s="218"/>
      <c r="AW175" s="218"/>
      <c r="AX175" s="218"/>
      <c r="AY175" s="217"/>
      <c r="AZ175" s="217"/>
      <c r="BA175" s="217"/>
      <c r="BB175" s="217"/>
      <c r="BC175" s="217"/>
      <c r="BD175" s="226"/>
    </row>
    <row r="176" spans="1:56" s="8" customFormat="1" ht="42" customHeight="1" x14ac:dyDescent="0.35">
      <c r="A176" s="33"/>
      <c r="B176" s="182"/>
      <c r="C176" s="33"/>
      <c r="D176" s="33"/>
      <c r="E176" s="32"/>
      <c r="F176" s="33"/>
      <c r="G176" s="33"/>
      <c r="H176" s="33"/>
      <c r="I176" s="33"/>
      <c r="J176" s="32"/>
      <c r="K176" s="33"/>
      <c r="L176" s="33"/>
      <c r="M176" s="33"/>
      <c r="N176" s="33"/>
      <c r="O176" s="32"/>
      <c r="P176" s="33"/>
      <c r="Q176" s="33"/>
      <c r="R176" s="33"/>
      <c r="S176" s="33"/>
      <c r="T176" s="32"/>
      <c r="U176" s="33"/>
      <c r="V176" s="33"/>
      <c r="W176" s="33"/>
      <c r="X176" s="33"/>
      <c r="Y176" s="32"/>
      <c r="Z176" s="33"/>
      <c r="AA176" s="33"/>
      <c r="AB176" s="33"/>
      <c r="AC176" s="33"/>
      <c r="AD176" s="32"/>
      <c r="AE176" s="33"/>
      <c r="AF176" s="33"/>
      <c r="AG176" s="33"/>
      <c r="AH176" s="33"/>
      <c r="AI176" s="32"/>
      <c r="AJ176" s="15"/>
      <c r="AK176" s="33"/>
      <c r="AL176" s="33"/>
      <c r="AM176" s="33"/>
      <c r="AN176" s="32"/>
      <c r="AO176" s="217"/>
      <c r="AP176" s="217"/>
      <c r="AQ176" s="217"/>
      <c r="AR176" s="217"/>
      <c r="AS176" s="217"/>
      <c r="AT176" s="218"/>
      <c r="AU176" s="218"/>
      <c r="AV176" s="218"/>
      <c r="AW176" s="218"/>
      <c r="AX176" s="218"/>
      <c r="AY176" s="217"/>
      <c r="AZ176" s="217"/>
      <c r="BA176" s="217"/>
      <c r="BB176" s="217"/>
      <c r="BC176" s="217"/>
      <c r="BD176" s="226"/>
    </row>
    <row r="177" spans="1:56" s="8" customFormat="1" ht="42" customHeight="1" x14ac:dyDescent="0.35">
      <c r="A177" s="33"/>
      <c r="B177" s="182"/>
      <c r="C177" s="33"/>
      <c r="D177" s="33"/>
      <c r="E177" s="32"/>
      <c r="F177" s="33"/>
      <c r="G177" s="33"/>
      <c r="H177" s="33"/>
      <c r="I177" s="33"/>
      <c r="J177" s="32"/>
      <c r="K177" s="33"/>
      <c r="L177" s="33"/>
      <c r="M177" s="33"/>
      <c r="N177" s="33"/>
      <c r="O177" s="32"/>
      <c r="P177" s="33"/>
      <c r="Q177" s="33"/>
      <c r="R177" s="33"/>
      <c r="S177" s="33"/>
      <c r="T177" s="32"/>
      <c r="U177" s="33"/>
      <c r="V177" s="33"/>
      <c r="W177" s="33"/>
      <c r="X177" s="33"/>
      <c r="Y177" s="32"/>
      <c r="Z177" s="33"/>
      <c r="AA177" s="33"/>
      <c r="AB177" s="33"/>
      <c r="AC177" s="33"/>
      <c r="AD177" s="32"/>
      <c r="AE177" s="33"/>
      <c r="AF177" s="33"/>
      <c r="AG177" s="33"/>
      <c r="AH177" s="33"/>
      <c r="AI177" s="32"/>
      <c r="AJ177" s="15"/>
      <c r="AK177" s="33"/>
      <c r="AL177" s="33"/>
      <c r="AM177" s="33"/>
      <c r="AN177" s="32"/>
      <c r="AO177" s="217"/>
      <c r="AP177" s="217"/>
      <c r="AQ177" s="217"/>
      <c r="AR177" s="217"/>
      <c r="AS177" s="217"/>
      <c r="AT177" s="218"/>
      <c r="AU177" s="218"/>
      <c r="AV177" s="218"/>
      <c r="AW177" s="218"/>
      <c r="AX177" s="218"/>
      <c r="AY177" s="217"/>
      <c r="AZ177" s="217"/>
      <c r="BA177" s="217"/>
      <c r="BB177" s="217"/>
      <c r="BC177" s="217"/>
      <c r="BD177" s="226"/>
    </row>
    <row r="178" spans="1:56" s="8" customFormat="1" ht="42" customHeight="1" x14ac:dyDescent="0.35">
      <c r="A178" s="33"/>
      <c r="B178" s="182"/>
      <c r="C178" s="33"/>
      <c r="D178" s="33"/>
      <c r="E178" s="32"/>
      <c r="F178" s="33"/>
      <c r="G178" s="33"/>
      <c r="H178" s="33"/>
      <c r="I178" s="33"/>
      <c r="J178" s="32"/>
      <c r="K178" s="33"/>
      <c r="L178" s="33"/>
      <c r="M178" s="33"/>
      <c r="N178" s="33"/>
      <c r="O178" s="32"/>
      <c r="P178" s="33"/>
      <c r="Q178" s="33"/>
      <c r="R178" s="33"/>
      <c r="S178" s="33"/>
      <c r="T178" s="32"/>
      <c r="U178" s="33"/>
      <c r="V178" s="33"/>
      <c r="W178" s="33"/>
      <c r="X178" s="33"/>
      <c r="Y178" s="32"/>
      <c r="Z178" s="33"/>
      <c r="AA178" s="33"/>
      <c r="AB178" s="33"/>
      <c r="AC178" s="33"/>
      <c r="AD178" s="32"/>
      <c r="AE178" s="33"/>
      <c r="AF178" s="33"/>
      <c r="AG178" s="33"/>
      <c r="AH178" s="33"/>
      <c r="AI178" s="32"/>
      <c r="AJ178" s="15"/>
      <c r="AK178" s="33"/>
      <c r="AL178" s="33"/>
      <c r="AM178" s="33"/>
      <c r="AN178" s="32"/>
      <c r="AO178" s="217"/>
      <c r="AP178" s="217"/>
      <c r="AQ178" s="217"/>
      <c r="AR178" s="217"/>
      <c r="AS178" s="217"/>
      <c r="AT178" s="218"/>
      <c r="AU178" s="218"/>
      <c r="AV178" s="218"/>
      <c r="AW178" s="218"/>
      <c r="AX178" s="218"/>
      <c r="AY178" s="217"/>
      <c r="AZ178" s="217"/>
      <c r="BA178" s="217"/>
      <c r="BB178" s="217"/>
      <c r="BC178" s="217"/>
      <c r="BD178" s="226"/>
    </row>
    <row r="179" spans="1:56" s="8" customFormat="1" ht="42" customHeight="1" x14ac:dyDescent="0.35">
      <c r="A179" s="33"/>
      <c r="B179" s="182"/>
      <c r="C179" s="33"/>
      <c r="D179" s="33"/>
      <c r="E179" s="32"/>
      <c r="F179" s="33"/>
      <c r="G179" s="33"/>
      <c r="H179" s="33"/>
      <c r="I179" s="33"/>
      <c r="J179" s="32"/>
      <c r="K179" s="33"/>
      <c r="L179" s="33"/>
      <c r="M179" s="33"/>
      <c r="N179" s="33"/>
      <c r="O179" s="32"/>
      <c r="P179" s="33"/>
      <c r="Q179" s="33"/>
      <c r="R179" s="33"/>
      <c r="S179" s="33"/>
      <c r="T179" s="32"/>
      <c r="U179" s="33"/>
      <c r="V179" s="33"/>
      <c r="W179" s="33"/>
      <c r="X179" s="33"/>
      <c r="Y179" s="32"/>
      <c r="Z179" s="33"/>
      <c r="AA179" s="33"/>
      <c r="AB179" s="33"/>
      <c r="AC179" s="33"/>
      <c r="AD179" s="32"/>
      <c r="AE179" s="33"/>
      <c r="AF179" s="33"/>
      <c r="AG179" s="33"/>
      <c r="AH179" s="33"/>
      <c r="AI179" s="32"/>
      <c r="AJ179" s="15"/>
      <c r="AK179" s="33"/>
      <c r="AL179" s="33"/>
      <c r="AM179" s="33"/>
      <c r="AN179" s="32"/>
      <c r="AO179" s="217"/>
      <c r="AP179" s="217"/>
      <c r="AQ179" s="217"/>
      <c r="AR179" s="217"/>
      <c r="AS179" s="217"/>
      <c r="AT179" s="218"/>
      <c r="AU179" s="218"/>
      <c r="AV179" s="218"/>
      <c r="AW179" s="218"/>
      <c r="AX179" s="218"/>
      <c r="AY179" s="217"/>
      <c r="AZ179" s="217"/>
      <c r="BA179" s="217"/>
      <c r="BB179" s="217"/>
      <c r="BC179" s="217"/>
      <c r="BD179" s="226"/>
    </row>
    <row r="180" spans="1:56" s="8" customFormat="1" ht="42" customHeight="1" x14ac:dyDescent="0.35">
      <c r="A180" s="33"/>
      <c r="B180" s="182"/>
      <c r="C180" s="33"/>
      <c r="D180" s="33"/>
      <c r="E180" s="32"/>
      <c r="F180" s="33"/>
      <c r="G180" s="33"/>
      <c r="H180" s="33"/>
      <c r="I180" s="33"/>
      <c r="J180" s="32"/>
      <c r="K180" s="33"/>
      <c r="L180" s="33"/>
      <c r="M180" s="33"/>
      <c r="N180" s="33"/>
      <c r="O180" s="32"/>
      <c r="P180" s="33"/>
      <c r="Q180" s="33"/>
      <c r="R180" s="33"/>
      <c r="S180" s="33"/>
      <c r="T180" s="32"/>
      <c r="U180" s="33"/>
      <c r="V180" s="33"/>
      <c r="W180" s="33"/>
      <c r="X180" s="33"/>
      <c r="Y180" s="32"/>
      <c r="Z180" s="33"/>
      <c r="AA180" s="33"/>
      <c r="AB180" s="33"/>
      <c r="AC180" s="33"/>
      <c r="AD180" s="32"/>
      <c r="AE180" s="33"/>
      <c r="AF180" s="33"/>
      <c r="AG180" s="33"/>
      <c r="AH180" s="33"/>
      <c r="AI180" s="32"/>
      <c r="AJ180" s="15"/>
      <c r="AK180" s="33"/>
      <c r="AL180" s="33"/>
      <c r="AM180" s="33"/>
      <c r="AN180" s="32"/>
      <c r="AO180" s="217"/>
      <c r="AP180" s="217"/>
      <c r="AQ180" s="217"/>
      <c r="AR180" s="217"/>
      <c r="AS180" s="217"/>
      <c r="AT180" s="218"/>
      <c r="AU180" s="218"/>
      <c r="AV180" s="218"/>
      <c r="AW180" s="218"/>
      <c r="AX180" s="218"/>
      <c r="AY180" s="217"/>
      <c r="AZ180" s="217"/>
      <c r="BA180" s="217"/>
      <c r="BB180" s="217"/>
      <c r="BC180" s="217"/>
      <c r="BD180" s="226"/>
    </row>
    <row r="181" spans="1:56" s="8" customFormat="1" ht="42" customHeight="1" x14ac:dyDescent="0.35">
      <c r="A181" s="33"/>
      <c r="B181" s="182"/>
      <c r="C181" s="33"/>
      <c r="D181" s="33"/>
      <c r="E181" s="32"/>
      <c r="F181" s="33"/>
      <c r="G181" s="33"/>
      <c r="H181" s="33"/>
      <c r="I181" s="33"/>
      <c r="J181" s="32"/>
      <c r="K181" s="33"/>
      <c r="L181" s="33"/>
      <c r="M181" s="33"/>
      <c r="N181" s="33"/>
      <c r="O181" s="32"/>
      <c r="P181" s="33"/>
      <c r="Q181" s="33"/>
      <c r="R181" s="33"/>
      <c r="S181" s="33"/>
      <c r="T181" s="32"/>
      <c r="U181" s="33"/>
      <c r="V181" s="33"/>
      <c r="W181" s="33"/>
      <c r="X181" s="33"/>
      <c r="Y181" s="32"/>
      <c r="Z181" s="33"/>
      <c r="AA181" s="33"/>
      <c r="AB181" s="33"/>
      <c r="AC181" s="33"/>
      <c r="AD181" s="32"/>
      <c r="AE181" s="33"/>
      <c r="AF181" s="33"/>
      <c r="AG181" s="33"/>
      <c r="AH181" s="33"/>
      <c r="AI181" s="32"/>
      <c r="AJ181" s="15"/>
      <c r="AK181" s="33"/>
      <c r="AL181" s="33"/>
      <c r="AM181" s="33"/>
      <c r="AN181" s="32"/>
      <c r="AO181" s="217"/>
      <c r="AP181" s="217"/>
      <c r="AQ181" s="217"/>
      <c r="AR181" s="217"/>
      <c r="AS181" s="217"/>
      <c r="AT181" s="218"/>
      <c r="AU181" s="218"/>
      <c r="AV181" s="218"/>
      <c r="AW181" s="218"/>
      <c r="AX181" s="218"/>
      <c r="AY181" s="217"/>
      <c r="AZ181" s="217"/>
      <c r="BA181" s="217"/>
      <c r="BB181" s="217"/>
      <c r="BC181" s="217"/>
      <c r="BD181" s="226"/>
    </row>
    <row r="182" spans="1:56" s="8" customFormat="1" ht="42" customHeight="1" x14ac:dyDescent="0.35">
      <c r="A182" s="33"/>
      <c r="B182" s="182"/>
      <c r="C182" s="33"/>
      <c r="D182" s="33"/>
      <c r="E182" s="32"/>
      <c r="F182" s="33"/>
      <c r="G182" s="33"/>
      <c r="H182" s="33"/>
      <c r="I182" s="33"/>
      <c r="J182" s="32"/>
      <c r="K182" s="33"/>
      <c r="L182" s="33"/>
      <c r="M182" s="33"/>
      <c r="N182" s="33"/>
      <c r="O182" s="32"/>
      <c r="P182" s="33"/>
      <c r="Q182" s="33"/>
      <c r="R182" s="33"/>
      <c r="S182" s="33"/>
      <c r="T182" s="32"/>
      <c r="U182" s="33"/>
      <c r="V182" s="33"/>
      <c r="W182" s="33"/>
      <c r="X182" s="33"/>
      <c r="Y182" s="32"/>
      <c r="Z182" s="33"/>
      <c r="AA182" s="33"/>
      <c r="AB182" s="33"/>
      <c r="AC182" s="33"/>
      <c r="AD182" s="32"/>
      <c r="AE182" s="33"/>
      <c r="AF182" s="33"/>
      <c r="AG182" s="33"/>
      <c r="AH182" s="33"/>
      <c r="AI182" s="32"/>
      <c r="AJ182" s="15"/>
      <c r="AK182" s="33"/>
      <c r="AL182" s="33"/>
      <c r="AM182" s="33"/>
      <c r="AN182" s="32"/>
      <c r="AO182" s="217"/>
      <c r="AP182" s="217"/>
      <c r="AQ182" s="217"/>
      <c r="AR182" s="217"/>
      <c r="AS182" s="217"/>
      <c r="AT182" s="218"/>
      <c r="AU182" s="218"/>
      <c r="AV182" s="218"/>
      <c r="AW182" s="218"/>
      <c r="AX182" s="218"/>
      <c r="AY182" s="217"/>
      <c r="AZ182" s="217"/>
      <c r="BA182" s="217"/>
      <c r="BB182" s="217"/>
      <c r="BC182" s="217"/>
      <c r="BD182" s="226"/>
    </row>
    <row r="183" spans="1:56" s="8" customFormat="1" ht="42" customHeight="1" x14ac:dyDescent="0.35">
      <c r="A183" s="33"/>
      <c r="B183" s="182"/>
      <c r="C183" s="33"/>
      <c r="D183" s="33"/>
      <c r="E183" s="32"/>
      <c r="F183" s="33"/>
      <c r="G183" s="33"/>
      <c r="H183" s="33"/>
      <c r="I183" s="33"/>
      <c r="J183" s="32"/>
      <c r="K183" s="33"/>
      <c r="L183" s="33"/>
      <c r="M183" s="33"/>
      <c r="N183" s="33"/>
      <c r="O183" s="32"/>
      <c r="P183" s="33"/>
      <c r="Q183" s="33"/>
      <c r="R183" s="33"/>
      <c r="S183" s="33"/>
      <c r="T183" s="32"/>
      <c r="U183" s="33"/>
      <c r="V183" s="33"/>
      <c r="W183" s="33"/>
      <c r="X183" s="33"/>
      <c r="Y183" s="32"/>
      <c r="Z183" s="33"/>
      <c r="AA183" s="33"/>
      <c r="AB183" s="33"/>
      <c r="AC183" s="33"/>
      <c r="AD183" s="32"/>
      <c r="AE183" s="33"/>
      <c r="AF183" s="33"/>
      <c r="AG183" s="33"/>
      <c r="AH183" s="33"/>
      <c r="AI183" s="32"/>
      <c r="AJ183" s="15"/>
      <c r="AK183" s="33"/>
      <c r="AL183" s="33"/>
      <c r="AM183" s="33"/>
      <c r="AN183" s="32"/>
      <c r="AO183" s="217"/>
      <c r="AP183" s="217"/>
      <c r="AQ183" s="217"/>
      <c r="AR183" s="217"/>
      <c r="AS183" s="217"/>
      <c r="AT183" s="218"/>
      <c r="AU183" s="218"/>
      <c r="AV183" s="218"/>
      <c r="AW183" s="218"/>
      <c r="AX183" s="218"/>
      <c r="AY183" s="217"/>
      <c r="AZ183" s="217"/>
      <c r="BA183" s="217"/>
      <c r="BB183" s="217"/>
      <c r="BC183" s="217"/>
      <c r="BD183" s="226"/>
    </row>
    <row r="184" spans="1:56" s="8" customFormat="1" ht="42" customHeight="1" x14ac:dyDescent="0.35">
      <c r="A184" s="33"/>
      <c r="B184" s="182"/>
      <c r="C184" s="33"/>
      <c r="D184" s="33"/>
      <c r="E184" s="32"/>
      <c r="F184" s="33"/>
      <c r="G184" s="33"/>
      <c r="H184" s="33"/>
      <c r="I184" s="33"/>
      <c r="J184" s="32"/>
      <c r="K184" s="33"/>
      <c r="L184" s="33"/>
      <c r="M184" s="33"/>
      <c r="N184" s="33"/>
      <c r="O184" s="32"/>
      <c r="P184" s="33"/>
      <c r="Q184" s="33"/>
      <c r="R184" s="33"/>
      <c r="S184" s="33"/>
      <c r="T184" s="32"/>
      <c r="U184" s="33"/>
      <c r="V184" s="33"/>
      <c r="W184" s="33"/>
      <c r="X184" s="33"/>
      <c r="Y184" s="32"/>
      <c r="Z184" s="33"/>
      <c r="AA184" s="33"/>
      <c r="AB184" s="33"/>
      <c r="AC184" s="33"/>
      <c r="AD184" s="32"/>
      <c r="AE184" s="33"/>
      <c r="AF184" s="33"/>
      <c r="AG184" s="33"/>
      <c r="AH184" s="33"/>
      <c r="AI184" s="32"/>
      <c r="AJ184" s="15"/>
      <c r="AK184" s="33"/>
      <c r="AL184" s="33"/>
      <c r="AM184" s="33"/>
      <c r="AN184" s="32"/>
      <c r="AO184" s="217"/>
      <c r="AP184" s="217"/>
      <c r="AQ184" s="217"/>
      <c r="AR184" s="217"/>
      <c r="AS184" s="217"/>
      <c r="AT184" s="218"/>
      <c r="AU184" s="218"/>
      <c r="AV184" s="218"/>
      <c r="AW184" s="218"/>
      <c r="AX184" s="218"/>
      <c r="AY184" s="217"/>
      <c r="AZ184" s="217"/>
      <c r="BA184" s="217"/>
      <c r="BB184" s="217"/>
      <c r="BC184" s="217"/>
      <c r="BD184" s="226"/>
    </row>
    <row r="185" spans="1:56" s="8" customFormat="1" ht="42" customHeight="1" x14ac:dyDescent="0.35">
      <c r="A185" s="33"/>
      <c r="B185" s="182"/>
      <c r="C185" s="33"/>
      <c r="D185" s="33"/>
      <c r="E185" s="32"/>
      <c r="F185" s="33"/>
      <c r="G185" s="33"/>
      <c r="H185" s="33"/>
      <c r="I185" s="33"/>
      <c r="J185" s="32"/>
      <c r="K185" s="33"/>
      <c r="L185" s="33"/>
      <c r="M185" s="33"/>
      <c r="N185" s="33"/>
      <c r="O185" s="32"/>
      <c r="P185" s="33"/>
      <c r="Q185" s="33"/>
      <c r="R185" s="33"/>
      <c r="S185" s="33"/>
      <c r="T185" s="32"/>
      <c r="U185" s="33"/>
      <c r="V185" s="33"/>
      <c r="W185" s="33"/>
      <c r="X185" s="33"/>
      <c r="Y185" s="32"/>
      <c r="Z185" s="33"/>
      <c r="AA185" s="33"/>
      <c r="AB185" s="33"/>
      <c r="AC185" s="33"/>
      <c r="AD185" s="32"/>
      <c r="AE185" s="33"/>
      <c r="AF185" s="33"/>
      <c r="AG185" s="33"/>
      <c r="AH185" s="33"/>
      <c r="AI185" s="32"/>
      <c r="AJ185" s="15"/>
      <c r="AK185" s="33"/>
      <c r="AL185" s="33"/>
      <c r="AM185" s="33"/>
      <c r="AN185" s="32"/>
      <c r="AO185" s="217"/>
      <c r="AP185" s="217"/>
      <c r="AQ185" s="217"/>
      <c r="AR185" s="217"/>
      <c r="AS185" s="217"/>
      <c r="AT185" s="218"/>
      <c r="AU185" s="218"/>
      <c r="AV185" s="218"/>
      <c r="AW185" s="218"/>
      <c r="AX185" s="218"/>
      <c r="AY185" s="217"/>
      <c r="AZ185" s="217"/>
      <c r="BA185" s="217"/>
      <c r="BB185" s="217"/>
      <c r="BC185" s="217"/>
      <c r="BD185" s="226"/>
    </row>
    <row r="186" spans="1:56" s="8" customFormat="1" ht="42" customHeight="1" x14ac:dyDescent="0.35">
      <c r="A186" s="33"/>
      <c r="B186" s="182"/>
      <c r="C186" s="33"/>
      <c r="D186" s="33"/>
      <c r="E186" s="32"/>
      <c r="F186" s="33"/>
      <c r="G186" s="33"/>
      <c r="H186" s="33"/>
      <c r="I186" s="33"/>
      <c r="J186" s="32"/>
      <c r="K186" s="33"/>
      <c r="L186" s="33"/>
      <c r="M186" s="33"/>
      <c r="N186" s="33"/>
      <c r="O186" s="32"/>
      <c r="P186" s="33"/>
      <c r="Q186" s="33"/>
      <c r="R186" s="33"/>
      <c r="S186" s="33"/>
      <c r="T186" s="32"/>
      <c r="U186" s="33"/>
      <c r="V186" s="33"/>
      <c r="W186" s="33"/>
      <c r="X186" s="33"/>
      <c r="Y186" s="32"/>
      <c r="Z186" s="33"/>
      <c r="AA186" s="33"/>
      <c r="AB186" s="33"/>
      <c r="AC186" s="33"/>
      <c r="AD186" s="32"/>
      <c r="AE186" s="33"/>
      <c r="AF186" s="33"/>
      <c r="AG186" s="33"/>
      <c r="AH186" s="33"/>
      <c r="AI186" s="32"/>
      <c r="AJ186" s="15"/>
      <c r="AK186" s="33"/>
      <c r="AL186" s="33"/>
      <c r="AM186" s="33"/>
      <c r="AN186" s="32"/>
      <c r="AO186" s="217"/>
      <c r="AP186" s="217"/>
      <c r="AQ186" s="217"/>
      <c r="AR186" s="217"/>
      <c r="AS186" s="217"/>
      <c r="AT186" s="218"/>
      <c r="AU186" s="218"/>
      <c r="AV186" s="218"/>
      <c r="AW186" s="218"/>
      <c r="AX186" s="218"/>
      <c r="AY186" s="217"/>
      <c r="AZ186" s="217"/>
      <c r="BA186" s="217"/>
      <c r="BB186" s="217"/>
      <c r="BC186" s="217"/>
      <c r="BD186" s="226"/>
    </row>
    <row r="187" spans="1:56" s="8" customFormat="1" ht="42" customHeight="1" x14ac:dyDescent="0.35">
      <c r="A187" s="33"/>
      <c r="B187" s="182"/>
      <c r="C187" s="33"/>
      <c r="D187" s="33"/>
      <c r="E187" s="32"/>
      <c r="F187" s="33"/>
      <c r="G187" s="33"/>
      <c r="H187" s="33"/>
      <c r="I187" s="33"/>
      <c r="J187" s="32"/>
      <c r="K187" s="33"/>
      <c r="L187" s="33"/>
      <c r="M187" s="33"/>
      <c r="N187" s="33"/>
      <c r="O187" s="32"/>
      <c r="P187" s="33"/>
      <c r="Q187" s="33"/>
      <c r="R187" s="33"/>
      <c r="S187" s="33"/>
      <c r="T187" s="32"/>
      <c r="U187" s="33"/>
      <c r="V187" s="33"/>
      <c r="W187" s="33"/>
      <c r="X187" s="33"/>
      <c r="Y187" s="32"/>
      <c r="Z187" s="33"/>
      <c r="AA187" s="33"/>
      <c r="AB187" s="33"/>
      <c r="AC187" s="33"/>
      <c r="AD187" s="32"/>
      <c r="AE187" s="33"/>
      <c r="AF187" s="33"/>
      <c r="AG187" s="33"/>
      <c r="AH187" s="33"/>
      <c r="AI187" s="32"/>
      <c r="AJ187" s="15"/>
      <c r="AK187" s="33"/>
      <c r="AL187" s="33"/>
      <c r="AM187" s="33"/>
      <c r="AN187" s="32"/>
      <c r="AO187" s="217"/>
      <c r="AP187" s="217"/>
      <c r="AQ187" s="217"/>
      <c r="AR187" s="217"/>
      <c r="AS187" s="217"/>
      <c r="AT187" s="218"/>
      <c r="AU187" s="218"/>
      <c r="AV187" s="218"/>
      <c r="AW187" s="218"/>
      <c r="AX187" s="218"/>
      <c r="AY187" s="217"/>
      <c r="AZ187" s="217"/>
      <c r="BA187" s="217"/>
      <c r="BB187" s="217"/>
      <c r="BC187" s="217"/>
      <c r="BD187" s="226"/>
    </row>
    <row r="188" spans="1:56" s="8" customFormat="1" ht="42" customHeight="1" x14ac:dyDescent="0.35">
      <c r="A188" s="33"/>
      <c r="B188" s="182"/>
      <c r="C188" s="33"/>
      <c r="D188" s="33"/>
      <c r="E188" s="32"/>
      <c r="F188" s="33"/>
      <c r="G188" s="33"/>
      <c r="H188" s="33"/>
      <c r="I188" s="33"/>
      <c r="J188" s="32"/>
      <c r="K188" s="33"/>
      <c r="L188" s="33"/>
      <c r="M188" s="33"/>
      <c r="N188" s="33"/>
      <c r="O188" s="32"/>
      <c r="P188" s="33"/>
      <c r="Q188" s="33"/>
      <c r="R188" s="33"/>
      <c r="S188" s="33"/>
      <c r="T188" s="32"/>
      <c r="U188" s="33"/>
      <c r="V188" s="33"/>
      <c r="W188" s="33"/>
      <c r="X188" s="33"/>
      <c r="Y188" s="32"/>
      <c r="Z188" s="33"/>
      <c r="AA188" s="33"/>
      <c r="AB188" s="33"/>
      <c r="AC188" s="33"/>
      <c r="AD188" s="32"/>
      <c r="AE188" s="33"/>
      <c r="AF188" s="33"/>
      <c r="AG188" s="33"/>
      <c r="AH188" s="33"/>
      <c r="AI188" s="32"/>
      <c r="AJ188" s="15"/>
      <c r="AK188" s="33"/>
      <c r="AL188" s="33"/>
      <c r="AM188" s="33"/>
      <c r="AN188" s="32"/>
      <c r="AO188" s="217"/>
      <c r="AP188" s="217"/>
      <c r="AQ188" s="217"/>
      <c r="AR188" s="217"/>
      <c r="AS188" s="217"/>
      <c r="AT188" s="218"/>
      <c r="AU188" s="218"/>
      <c r="AV188" s="218"/>
      <c r="AW188" s="218"/>
      <c r="AX188" s="218"/>
      <c r="AY188" s="217"/>
      <c r="AZ188" s="217"/>
      <c r="BA188" s="217"/>
      <c r="BB188" s="217"/>
      <c r="BC188" s="217"/>
      <c r="BD188" s="226"/>
    </row>
    <row r="189" spans="1:56" s="8" customFormat="1" ht="42" customHeight="1" x14ac:dyDescent="0.35">
      <c r="A189" s="33"/>
      <c r="B189" s="182"/>
      <c r="C189" s="33"/>
      <c r="D189" s="33"/>
      <c r="E189" s="32"/>
      <c r="F189" s="33"/>
      <c r="G189" s="33"/>
      <c r="H189" s="33"/>
      <c r="I189" s="33"/>
      <c r="J189" s="32"/>
      <c r="K189" s="33"/>
      <c r="L189" s="33"/>
      <c r="M189" s="33"/>
      <c r="N189" s="33"/>
      <c r="O189" s="32"/>
      <c r="P189" s="33"/>
      <c r="Q189" s="33"/>
      <c r="R189" s="33"/>
      <c r="S189" s="33"/>
      <c r="T189" s="32"/>
      <c r="U189" s="33"/>
      <c r="V189" s="33"/>
      <c r="W189" s="33"/>
      <c r="X189" s="33"/>
      <c r="Y189" s="32"/>
      <c r="Z189" s="33"/>
      <c r="AA189" s="33"/>
      <c r="AB189" s="33"/>
      <c r="AC189" s="33"/>
      <c r="AD189" s="32"/>
      <c r="AE189" s="33"/>
      <c r="AF189" s="33"/>
      <c r="AG189" s="33"/>
      <c r="AH189" s="33"/>
      <c r="AI189" s="32"/>
      <c r="AJ189" s="15"/>
      <c r="AK189" s="33"/>
      <c r="AL189" s="33"/>
      <c r="AM189" s="33"/>
      <c r="AN189" s="32"/>
      <c r="AO189" s="217"/>
      <c r="AP189" s="217"/>
      <c r="AQ189" s="217"/>
      <c r="AR189" s="217"/>
      <c r="AS189" s="217"/>
      <c r="AT189" s="218"/>
      <c r="AU189" s="218"/>
      <c r="AV189" s="218"/>
      <c r="AW189" s="218"/>
      <c r="AX189" s="218"/>
      <c r="AY189" s="217"/>
      <c r="AZ189" s="217"/>
      <c r="BA189" s="217"/>
      <c r="BB189" s="217"/>
      <c r="BC189" s="217"/>
      <c r="BD189" s="226"/>
    </row>
    <row r="190" spans="1:56" s="8" customFormat="1" ht="42" customHeight="1" x14ac:dyDescent="0.35">
      <c r="A190" s="33"/>
      <c r="B190" s="182"/>
      <c r="C190" s="33"/>
      <c r="D190" s="33"/>
      <c r="E190" s="32"/>
      <c r="F190" s="33"/>
      <c r="G190" s="33"/>
      <c r="H190" s="33"/>
      <c r="I190" s="33"/>
      <c r="J190" s="32"/>
      <c r="K190" s="33"/>
      <c r="L190" s="33"/>
      <c r="M190" s="33"/>
      <c r="N190" s="33"/>
      <c r="O190" s="32"/>
      <c r="P190" s="33"/>
      <c r="Q190" s="33"/>
      <c r="R190" s="33"/>
      <c r="S190" s="33"/>
      <c r="T190" s="32"/>
      <c r="U190" s="33"/>
      <c r="V190" s="33"/>
      <c r="W190" s="33"/>
      <c r="X190" s="33"/>
      <c r="Y190" s="32"/>
      <c r="Z190" s="33"/>
      <c r="AA190" s="33"/>
      <c r="AB190" s="33"/>
      <c r="AC190" s="33"/>
      <c r="AD190" s="32"/>
      <c r="AE190" s="33"/>
      <c r="AF190" s="33"/>
      <c r="AG190" s="33"/>
      <c r="AH190" s="33"/>
      <c r="AI190" s="32"/>
      <c r="AJ190" s="15"/>
      <c r="AK190" s="33"/>
      <c r="AL190" s="33"/>
      <c r="AM190" s="33"/>
      <c r="AN190" s="32"/>
      <c r="AO190" s="217"/>
      <c r="AP190" s="217"/>
      <c r="AQ190" s="217"/>
      <c r="AR190" s="217"/>
      <c r="AS190" s="217"/>
      <c r="AT190" s="218"/>
      <c r="AU190" s="218"/>
      <c r="AV190" s="218"/>
      <c r="AW190" s="218"/>
      <c r="AX190" s="218"/>
      <c r="AY190" s="217"/>
      <c r="AZ190" s="217"/>
      <c r="BA190" s="217"/>
      <c r="BB190" s="217"/>
      <c r="BC190" s="217"/>
      <c r="BD190" s="226"/>
    </row>
    <row r="191" spans="1:56" s="8" customFormat="1" ht="42" customHeight="1" x14ac:dyDescent="0.35">
      <c r="A191" s="33"/>
      <c r="B191" s="182"/>
      <c r="C191" s="33"/>
      <c r="D191" s="33"/>
      <c r="E191" s="32"/>
      <c r="F191" s="33"/>
      <c r="G191" s="33"/>
      <c r="H191" s="33"/>
      <c r="I191" s="33"/>
      <c r="J191" s="32"/>
      <c r="K191" s="33"/>
      <c r="L191" s="33"/>
      <c r="M191" s="33"/>
      <c r="N191" s="33"/>
      <c r="O191" s="32"/>
      <c r="P191" s="33"/>
      <c r="Q191" s="33"/>
      <c r="R191" s="33"/>
      <c r="S191" s="33"/>
      <c r="T191" s="32"/>
      <c r="U191" s="33"/>
      <c r="V191" s="33"/>
      <c r="W191" s="33"/>
      <c r="X191" s="33"/>
      <c r="Y191" s="32"/>
      <c r="Z191" s="33"/>
      <c r="AA191" s="33"/>
      <c r="AB191" s="33"/>
      <c r="AC191" s="33"/>
      <c r="AD191" s="32"/>
      <c r="AE191" s="33"/>
      <c r="AF191" s="33"/>
      <c r="AG191" s="33"/>
      <c r="AH191" s="33"/>
      <c r="AI191" s="32"/>
      <c r="AJ191" s="15"/>
      <c r="AK191" s="33"/>
      <c r="AL191" s="33"/>
      <c r="AM191" s="33"/>
      <c r="AN191" s="32"/>
      <c r="AO191" s="217"/>
      <c r="AP191" s="217"/>
      <c r="AQ191" s="217"/>
      <c r="AR191" s="217"/>
      <c r="AS191" s="217"/>
      <c r="AT191" s="218"/>
      <c r="AU191" s="218"/>
      <c r="AV191" s="218"/>
      <c r="AW191" s="218"/>
      <c r="AX191" s="218"/>
      <c r="AY191" s="217"/>
      <c r="AZ191" s="217"/>
      <c r="BA191" s="217"/>
      <c r="BB191" s="217"/>
      <c r="BC191" s="217"/>
      <c r="BD191" s="226"/>
    </row>
    <row r="192" spans="1:56" s="8" customFormat="1" ht="42" customHeight="1" x14ac:dyDescent="0.35">
      <c r="A192" s="33"/>
      <c r="B192" s="182"/>
      <c r="C192" s="33"/>
      <c r="D192" s="33"/>
      <c r="E192" s="32"/>
      <c r="F192" s="33"/>
      <c r="G192" s="33"/>
      <c r="H192" s="33"/>
      <c r="I192" s="33"/>
      <c r="J192" s="32"/>
      <c r="K192" s="33"/>
      <c r="L192" s="33"/>
      <c r="M192" s="33"/>
      <c r="N192" s="33"/>
      <c r="O192" s="32"/>
      <c r="P192" s="33"/>
      <c r="Q192" s="33"/>
      <c r="R192" s="33"/>
      <c r="S192" s="33"/>
      <c r="T192" s="32"/>
      <c r="U192" s="33"/>
      <c r="V192" s="33"/>
      <c r="W192" s="33"/>
      <c r="X192" s="33"/>
      <c r="Y192" s="32"/>
      <c r="Z192" s="33"/>
      <c r="AA192" s="33"/>
      <c r="AB192" s="33"/>
      <c r="AC192" s="33"/>
      <c r="AD192" s="32"/>
      <c r="AE192" s="33"/>
      <c r="AF192" s="33"/>
      <c r="AG192" s="33"/>
      <c r="AH192" s="33"/>
      <c r="AI192" s="32"/>
      <c r="AJ192" s="15"/>
      <c r="AK192" s="33"/>
      <c r="AL192" s="33"/>
      <c r="AM192" s="33"/>
      <c r="AN192" s="32"/>
      <c r="AO192" s="217"/>
      <c r="AP192" s="217"/>
      <c r="AQ192" s="217"/>
      <c r="AR192" s="217"/>
      <c r="AS192" s="217"/>
      <c r="AT192" s="218"/>
      <c r="AU192" s="218"/>
      <c r="AV192" s="218"/>
      <c r="AW192" s="218"/>
      <c r="AX192" s="218"/>
      <c r="AY192" s="217"/>
      <c r="AZ192" s="217"/>
      <c r="BA192" s="217"/>
      <c r="BB192" s="217"/>
      <c r="BC192" s="217"/>
      <c r="BD192" s="226"/>
    </row>
    <row r="193" spans="1:56" s="8" customFormat="1" ht="42" customHeight="1" x14ac:dyDescent="0.35">
      <c r="A193" s="33"/>
      <c r="B193" s="182"/>
      <c r="C193" s="33"/>
      <c r="D193" s="33"/>
      <c r="E193" s="32"/>
      <c r="F193" s="33"/>
      <c r="G193" s="33"/>
      <c r="H193" s="33"/>
      <c r="I193" s="33"/>
      <c r="J193" s="32"/>
      <c r="K193" s="33"/>
      <c r="L193" s="33"/>
      <c r="M193" s="33"/>
      <c r="N193" s="33"/>
      <c r="O193" s="32"/>
      <c r="P193" s="33"/>
      <c r="Q193" s="33"/>
      <c r="R193" s="33"/>
      <c r="S193" s="33"/>
      <c r="T193" s="32"/>
      <c r="U193" s="33"/>
      <c r="V193" s="33"/>
      <c r="W193" s="33"/>
      <c r="X193" s="33"/>
      <c r="Y193" s="32"/>
      <c r="Z193" s="33"/>
      <c r="AA193" s="33"/>
      <c r="AB193" s="33"/>
      <c r="AC193" s="33"/>
      <c r="AD193" s="32"/>
      <c r="AE193" s="33"/>
      <c r="AF193" s="33"/>
      <c r="AG193" s="33"/>
      <c r="AH193" s="33"/>
      <c r="AI193" s="32"/>
      <c r="AJ193" s="15"/>
      <c r="AK193" s="33"/>
      <c r="AL193" s="33"/>
      <c r="AM193" s="33"/>
      <c r="AN193" s="32"/>
      <c r="AO193" s="217"/>
      <c r="AP193" s="217"/>
      <c r="AQ193" s="217"/>
      <c r="AR193" s="217"/>
      <c r="AS193" s="217"/>
      <c r="AT193" s="218"/>
      <c r="AU193" s="218"/>
      <c r="AV193" s="218"/>
      <c r="AW193" s="218"/>
      <c r="AX193" s="218"/>
      <c r="AY193" s="217"/>
      <c r="AZ193" s="217"/>
      <c r="BA193" s="217"/>
      <c r="BB193" s="217"/>
      <c r="BC193" s="217"/>
      <c r="BD193" s="226"/>
    </row>
    <row r="194" spans="1:56" s="8" customFormat="1" ht="42" customHeight="1" x14ac:dyDescent="0.35">
      <c r="A194" s="33"/>
      <c r="B194" s="182"/>
      <c r="C194" s="33"/>
      <c r="D194" s="33"/>
      <c r="E194" s="32"/>
      <c r="F194" s="33"/>
      <c r="G194" s="33"/>
      <c r="H194" s="33"/>
      <c r="I194" s="33"/>
      <c r="J194" s="32"/>
      <c r="K194" s="33"/>
      <c r="L194" s="33"/>
      <c r="M194" s="33"/>
      <c r="N194" s="33"/>
      <c r="O194" s="32"/>
      <c r="P194" s="33"/>
      <c r="Q194" s="33"/>
      <c r="R194" s="33"/>
      <c r="S194" s="33"/>
      <c r="T194" s="32"/>
      <c r="U194" s="33"/>
      <c r="V194" s="33"/>
      <c r="W194" s="33"/>
      <c r="X194" s="33"/>
      <c r="Y194" s="32"/>
      <c r="Z194" s="33"/>
      <c r="AA194" s="33"/>
      <c r="AB194" s="33"/>
      <c r="AC194" s="33"/>
      <c r="AD194" s="32"/>
      <c r="AE194" s="33"/>
      <c r="AF194" s="33"/>
      <c r="AG194" s="33"/>
      <c r="AH194" s="33"/>
      <c r="AI194" s="32"/>
      <c r="AJ194" s="15"/>
      <c r="AK194" s="33"/>
      <c r="AL194" s="33"/>
      <c r="AM194" s="33"/>
      <c r="AN194" s="32"/>
      <c r="AO194" s="217"/>
      <c r="AP194" s="217"/>
      <c r="AQ194" s="217"/>
      <c r="AR194" s="217"/>
      <c r="AS194" s="217"/>
      <c r="AT194" s="218"/>
      <c r="AU194" s="218"/>
      <c r="AV194" s="218"/>
      <c r="AW194" s="218"/>
      <c r="AX194" s="218"/>
      <c r="AY194" s="217"/>
      <c r="AZ194" s="217"/>
      <c r="BA194" s="217"/>
      <c r="BB194" s="217"/>
      <c r="BC194" s="217"/>
      <c r="BD194" s="226"/>
    </row>
    <row r="195" spans="1:56" s="8" customFormat="1" ht="42" customHeight="1" x14ac:dyDescent="0.35">
      <c r="A195" s="33"/>
      <c r="B195" s="182"/>
      <c r="C195" s="33"/>
      <c r="D195" s="33"/>
      <c r="E195" s="32"/>
      <c r="F195" s="33"/>
      <c r="G195" s="33"/>
      <c r="H195" s="33"/>
      <c r="I195" s="33"/>
      <c r="J195" s="32"/>
      <c r="K195" s="33"/>
      <c r="L195" s="33"/>
      <c r="M195" s="33"/>
      <c r="N195" s="33"/>
      <c r="O195" s="32"/>
      <c r="P195" s="33"/>
      <c r="Q195" s="33"/>
      <c r="R195" s="33"/>
      <c r="S195" s="33"/>
      <c r="T195" s="32"/>
      <c r="U195" s="33"/>
      <c r="V195" s="33"/>
      <c r="W195" s="33"/>
      <c r="X195" s="33"/>
      <c r="Y195" s="32"/>
      <c r="Z195" s="33"/>
      <c r="AA195" s="33"/>
      <c r="AB195" s="33"/>
      <c r="AC195" s="33"/>
      <c r="AD195" s="32"/>
      <c r="AE195" s="33"/>
      <c r="AF195" s="33"/>
      <c r="AG195" s="33"/>
      <c r="AH195" s="33"/>
      <c r="AI195" s="32"/>
      <c r="AJ195" s="15"/>
      <c r="AK195" s="33"/>
      <c r="AL195" s="33"/>
      <c r="AM195" s="33"/>
      <c r="AN195" s="32"/>
      <c r="AO195" s="217"/>
      <c r="AP195" s="217"/>
      <c r="AQ195" s="217"/>
      <c r="AR195" s="217"/>
      <c r="AS195" s="217"/>
      <c r="AT195" s="218"/>
      <c r="AU195" s="218"/>
      <c r="AV195" s="218"/>
      <c r="AW195" s="218"/>
      <c r="AX195" s="218"/>
      <c r="AY195" s="217"/>
      <c r="AZ195" s="217"/>
      <c r="BA195" s="217"/>
      <c r="BB195" s="217"/>
      <c r="BC195" s="217"/>
      <c r="BD195" s="226"/>
    </row>
    <row r="196" spans="1:56" s="8" customFormat="1" ht="42" customHeight="1" x14ac:dyDescent="0.35">
      <c r="A196" s="33"/>
      <c r="B196" s="182"/>
      <c r="C196" s="33"/>
      <c r="D196" s="33"/>
      <c r="E196" s="32"/>
      <c r="F196" s="33"/>
      <c r="G196" s="33"/>
      <c r="H196" s="33"/>
      <c r="I196" s="33"/>
      <c r="J196" s="32"/>
      <c r="K196" s="33"/>
      <c r="L196" s="33"/>
      <c r="M196" s="33"/>
      <c r="N196" s="33"/>
      <c r="O196" s="32"/>
      <c r="P196" s="33"/>
      <c r="Q196" s="33"/>
      <c r="R196" s="33"/>
      <c r="S196" s="33"/>
      <c r="T196" s="32"/>
      <c r="U196" s="33"/>
      <c r="V196" s="33"/>
      <c r="W196" s="33"/>
      <c r="X196" s="33"/>
      <c r="Y196" s="32"/>
      <c r="Z196" s="33"/>
      <c r="AA196" s="33"/>
      <c r="AB196" s="33"/>
      <c r="AC196" s="33"/>
      <c r="AD196" s="32"/>
      <c r="AE196" s="33"/>
      <c r="AF196" s="33"/>
      <c r="AG196" s="33"/>
      <c r="AH196" s="33"/>
      <c r="AI196" s="32"/>
      <c r="AJ196" s="15"/>
      <c r="AK196" s="33"/>
      <c r="AL196" s="33"/>
      <c r="AM196" s="33"/>
      <c r="AN196" s="32"/>
      <c r="AO196" s="217"/>
      <c r="AP196" s="217"/>
      <c r="AQ196" s="217"/>
      <c r="AR196" s="217"/>
      <c r="AS196" s="217"/>
      <c r="AT196" s="218"/>
      <c r="AU196" s="218"/>
      <c r="AV196" s="218"/>
      <c r="AW196" s="218"/>
      <c r="AX196" s="218"/>
      <c r="AY196" s="217"/>
      <c r="AZ196" s="217"/>
      <c r="BA196" s="217"/>
      <c r="BB196" s="217"/>
      <c r="BC196" s="217"/>
      <c r="BD196" s="226"/>
    </row>
    <row r="197" spans="1:56" s="8" customFormat="1" ht="42" customHeight="1" x14ac:dyDescent="0.35">
      <c r="A197" s="33"/>
      <c r="B197" s="182"/>
      <c r="C197" s="33"/>
      <c r="D197" s="33"/>
      <c r="E197" s="32"/>
      <c r="F197" s="33"/>
      <c r="G197" s="33"/>
      <c r="H197" s="33"/>
      <c r="I197" s="33"/>
      <c r="J197" s="32"/>
      <c r="K197" s="33"/>
      <c r="L197" s="33"/>
      <c r="M197" s="33"/>
      <c r="N197" s="33"/>
      <c r="O197" s="32"/>
      <c r="P197" s="33"/>
      <c r="Q197" s="33"/>
      <c r="R197" s="33"/>
      <c r="S197" s="33"/>
      <c r="T197" s="32"/>
      <c r="U197" s="33"/>
      <c r="V197" s="33"/>
      <c r="W197" s="33"/>
      <c r="X197" s="33"/>
      <c r="Y197" s="32"/>
      <c r="Z197" s="33"/>
      <c r="AA197" s="33"/>
      <c r="AB197" s="33"/>
      <c r="AC197" s="33"/>
      <c r="AD197" s="32"/>
      <c r="AE197" s="33"/>
      <c r="AF197" s="33"/>
      <c r="AG197" s="33"/>
      <c r="AH197" s="33"/>
      <c r="AI197" s="32"/>
      <c r="AJ197" s="15"/>
      <c r="AK197" s="33"/>
      <c r="AL197" s="33"/>
      <c r="AM197" s="33"/>
      <c r="AN197" s="32"/>
      <c r="AO197" s="217"/>
      <c r="AP197" s="217"/>
      <c r="AQ197" s="217"/>
      <c r="AR197" s="217"/>
      <c r="AS197" s="217"/>
      <c r="AT197" s="218"/>
      <c r="AU197" s="218"/>
      <c r="AV197" s="218"/>
      <c r="AW197" s="218"/>
      <c r="AX197" s="218"/>
      <c r="AY197" s="217"/>
      <c r="AZ197" s="217"/>
      <c r="BA197" s="217"/>
      <c r="BB197" s="217"/>
      <c r="BC197" s="217"/>
      <c r="BD197" s="226"/>
    </row>
    <row r="198" spans="1:56" s="8" customFormat="1" ht="42" customHeight="1" x14ac:dyDescent="0.35">
      <c r="A198" s="33"/>
      <c r="B198" s="182"/>
      <c r="C198" s="33"/>
      <c r="D198" s="33"/>
      <c r="E198" s="32"/>
      <c r="F198" s="33"/>
      <c r="G198" s="33"/>
      <c r="H198" s="33"/>
      <c r="I198" s="33"/>
      <c r="J198" s="32"/>
      <c r="K198" s="33"/>
      <c r="L198" s="33"/>
      <c r="M198" s="33"/>
      <c r="N198" s="33"/>
      <c r="O198" s="32"/>
      <c r="P198" s="33"/>
      <c r="Q198" s="33"/>
      <c r="R198" s="33"/>
      <c r="S198" s="33"/>
      <c r="T198" s="32"/>
      <c r="U198" s="33"/>
      <c r="V198" s="33"/>
      <c r="W198" s="33"/>
      <c r="X198" s="33"/>
      <c r="Y198" s="32"/>
      <c r="Z198" s="33"/>
      <c r="AA198" s="33"/>
      <c r="AB198" s="33"/>
      <c r="AC198" s="33"/>
      <c r="AD198" s="32"/>
      <c r="AE198" s="33"/>
      <c r="AF198" s="33"/>
      <c r="AG198" s="33"/>
      <c r="AH198" s="33"/>
      <c r="AI198" s="32"/>
      <c r="AJ198" s="15"/>
      <c r="AK198" s="33"/>
      <c r="AL198" s="33"/>
      <c r="AM198" s="33"/>
      <c r="AN198" s="32"/>
      <c r="AO198" s="217"/>
      <c r="AP198" s="217"/>
      <c r="AQ198" s="217"/>
      <c r="AR198" s="217"/>
      <c r="AS198" s="217"/>
      <c r="AT198" s="218"/>
      <c r="AU198" s="218"/>
      <c r="AV198" s="218"/>
      <c r="AW198" s="218"/>
      <c r="AX198" s="218"/>
      <c r="AY198" s="217"/>
      <c r="AZ198" s="217"/>
      <c r="BA198" s="217"/>
      <c r="BB198" s="217"/>
      <c r="BC198" s="217"/>
      <c r="BD198" s="226"/>
    </row>
    <row r="199" spans="1:56" s="8" customFormat="1" ht="42" customHeight="1" x14ac:dyDescent="0.35">
      <c r="A199" s="33"/>
      <c r="B199" s="182"/>
      <c r="C199" s="33"/>
      <c r="D199" s="33"/>
      <c r="E199" s="32"/>
      <c r="F199" s="33"/>
      <c r="G199" s="33"/>
      <c r="H199" s="33"/>
      <c r="I199" s="33"/>
      <c r="J199" s="32"/>
      <c r="K199" s="33"/>
      <c r="L199" s="33"/>
      <c r="M199" s="33"/>
      <c r="N199" s="33"/>
      <c r="O199" s="32"/>
      <c r="P199" s="33"/>
      <c r="Q199" s="33"/>
      <c r="R199" s="33"/>
      <c r="S199" s="33"/>
      <c r="T199" s="32"/>
      <c r="U199" s="33"/>
      <c r="V199" s="33"/>
      <c r="W199" s="33"/>
      <c r="X199" s="33"/>
      <c r="Y199" s="32"/>
      <c r="Z199" s="33"/>
      <c r="AA199" s="33"/>
      <c r="AB199" s="33"/>
      <c r="AC199" s="33"/>
      <c r="AD199" s="32"/>
      <c r="AE199" s="33"/>
      <c r="AF199" s="33"/>
      <c r="AG199" s="33"/>
      <c r="AH199" s="33"/>
      <c r="AI199" s="32"/>
      <c r="AJ199" s="15"/>
      <c r="AK199" s="33"/>
      <c r="AL199" s="33"/>
      <c r="AM199" s="33"/>
      <c r="AN199" s="32"/>
      <c r="AO199" s="217"/>
      <c r="AP199" s="217"/>
      <c r="AQ199" s="217"/>
      <c r="AR199" s="217"/>
      <c r="AS199" s="217"/>
      <c r="AT199" s="218"/>
      <c r="AU199" s="218"/>
      <c r="AV199" s="218"/>
      <c r="AW199" s="218"/>
      <c r="AX199" s="218"/>
      <c r="AY199" s="217"/>
      <c r="AZ199" s="217"/>
      <c r="BA199" s="217"/>
      <c r="BB199" s="217"/>
      <c r="BC199" s="217"/>
      <c r="BD199" s="226"/>
    </row>
    <row r="200" spans="1:56" s="8" customFormat="1" ht="42" customHeight="1" x14ac:dyDescent="0.35">
      <c r="A200" s="33"/>
      <c r="B200" s="182"/>
      <c r="C200" s="33"/>
      <c r="D200" s="33"/>
      <c r="E200" s="32"/>
      <c r="F200" s="33"/>
      <c r="G200" s="33"/>
      <c r="H200" s="33"/>
      <c r="I200" s="33"/>
      <c r="J200" s="32"/>
      <c r="K200" s="33"/>
      <c r="L200" s="33"/>
      <c r="M200" s="33"/>
      <c r="N200" s="33"/>
      <c r="O200" s="32"/>
      <c r="P200" s="33"/>
      <c r="Q200" s="33"/>
      <c r="R200" s="33"/>
      <c r="S200" s="33"/>
      <c r="T200" s="32"/>
      <c r="U200" s="33"/>
      <c r="V200" s="33"/>
      <c r="W200" s="33"/>
      <c r="X200" s="33"/>
      <c r="Y200" s="32"/>
      <c r="Z200" s="33"/>
      <c r="AA200" s="33"/>
      <c r="AB200" s="33"/>
      <c r="AC200" s="33"/>
      <c r="AD200" s="32"/>
      <c r="AE200" s="33"/>
      <c r="AF200" s="33"/>
      <c r="AG200" s="33"/>
      <c r="AH200" s="33"/>
      <c r="AI200" s="32"/>
      <c r="AJ200" s="15"/>
      <c r="AK200" s="33"/>
      <c r="AL200" s="33"/>
      <c r="AM200" s="33"/>
      <c r="AN200" s="32"/>
      <c r="AO200" s="217"/>
      <c r="AP200" s="217"/>
      <c r="AQ200" s="217"/>
      <c r="AR200" s="217"/>
      <c r="AS200" s="217"/>
      <c r="AT200" s="218"/>
      <c r="AU200" s="218"/>
      <c r="AV200" s="218"/>
      <c r="AW200" s="218"/>
      <c r="AX200" s="218"/>
      <c r="AY200" s="217"/>
      <c r="AZ200" s="217"/>
      <c r="BA200" s="217"/>
      <c r="BB200" s="217"/>
      <c r="BC200" s="217"/>
      <c r="BD200" s="226"/>
    </row>
    <row r="201" spans="1:56" s="8" customFormat="1" ht="42" customHeight="1" x14ac:dyDescent="0.35">
      <c r="A201" s="33"/>
      <c r="B201" s="182"/>
      <c r="C201" s="33"/>
      <c r="D201" s="33"/>
      <c r="E201" s="32"/>
      <c r="F201" s="33"/>
      <c r="G201" s="33"/>
      <c r="H201" s="33"/>
      <c r="I201" s="33"/>
      <c r="J201" s="32"/>
      <c r="K201" s="33"/>
      <c r="L201" s="33"/>
      <c r="M201" s="33"/>
      <c r="N201" s="33"/>
      <c r="O201" s="32"/>
      <c r="P201" s="33"/>
      <c r="Q201" s="33"/>
      <c r="R201" s="33"/>
      <c r="S201" s="33"/>
      <c r="T201" s="32"/>
      <c r="U201" s="33"/>
      <c r="V201" s="33"/>
      <c r="W201" s="33"/>
      <c r="X201" s="33"/>
      <c r="Y201" s="32"/>
      <c r="Z201" s="33"/>
      <c r="AA201" s="33"/>
      <c r="AB201" s="33"/>
      <c r="AC201" s="33"/>
      <c r="AD201" s="32"/>
      <c r="AE201" s="33"/>
      <c r="AF201" s="33"/>
      <c r="AG201" s="33"/>
      <c r="AH201" s="33"/>
      <c r="AI201" s="32"/>
      <c r="AJ201" s="15"/>
      <c r="AK201" s="33"/>
      <c r="AL201" s="33"/>
      <c r="AM201" s="33"/>
      <c r="AN201" s="32"/>
      <c r="AO201" s="217"/>
      <c r="AP201" s="217"/>
      <c r="AQ201" s="217"/>
      <c r="AR201" s="217"/>
      <c r="AS201" s="217"/>
      <c r="AT201" s="218"/>
      <c r="AU201" s="218"/>
      <c r="AV201" s="218"/>
      <c r="AW201" s="218"/>
      <c r="AX201" s="218"/>
      <c r="AY201" s="217"/>
      <c r="AZ201" s="217"/>
      <c r="BA201" s="217"/>
      <c r="BB201" s="217"/>
      <c r="BC201" s="217"/>
      <c r="BD201" s="226"/>
    </row>
    <row r="202" spans="1:56" s="8" customFormat="1" ht="42" customHeight="1" x14ac:dyDescent="0.35">
      <c r="A202" s="33"/>
      <c r="B202" s="182"/>
      <c r="C202" s="33"/>
      <c r="D202" s="33"/>
      <c r="E202" s="32"/>
      <c r="F202" s="33"/>
      <c r="G202" s="33"/>
      <c r="H202" s="33"/>
      <c r="I202" s="33"/>
      <c r="J202" s="32"/>
      <c r="K202" s="33"/>
      <c r="L202" s="33"/>
      <c r="M202" s="33"/>
      <c r="N202" s="33"/>
      <c r="O202" s="32"/>
      <c r="P202" s="33"/>
      <c r="Q202" s="33"/>
      <c r="R202" s="33"/>
      <c r="S202" s="33"/>
      <c r="T202" s="32"/>
      <c r="U202" s="33"/>
      <c r="V202" s="33"/>
      <c r="W202" s="33"/>
      <c r="X202" s="33"/>
      <c r="Y202" s="32"/>
      <c r="Z202" s="33"/>
      <c r="AA202" s="33"/>
      <c r="AB202" s="33"/>
      <c r="AC202" s="33"/>
      <c r="AD202" s="32"/>
      <c r="AE202" s="33"/>
      <c r="AF202" s="33"/>
      <c r="AG202" s="33"/>
      <c r="AH202" s="33"/>
      <c r="AI202" s="32"/>
      <c r="AJ202" s="15"/>
      <c r="AK202" s="33"/>
      <c r="AL202" s="33"/>
      <c r="AM202" s="33"/>
      <c r="AN202" s="32"/>
      <c r="AO202" s="217"/>
      <c r="AP202" s="217"/>
      <c r="AQ202" s="217"/>
      <c r="AR202" s="217"/>
      <c r="AS202" s="217"/>
      <c r="AT202" s="218"/>
      <c r="AU202" s="218"/>
      <c r="AV202" s="218"/>
      <c r="AW202" s="218"/>
      <c r="AX202" s="218"/>
      <c r="AY202" s="217"/>
      <c r="AZ202" s="217"/>
      <c r="BA202" s="217"/>
      <c r="BB202" s="217"/>
      <c r="BC202" s="217"/>
      <c r="BD202" s="226"/>
    </row>
    <row r="203" spans="1:56" s="8" customFormat="1" ht="42" customHeight="1" x14ac:dyDescent="0.35">
      <c r="A203" s="33"/>
      <c r="B203" s="182"/>
      <c r="C203" s="33"/>
      <c r="D203" s="33"/>
      <c r="E203" s="32"/>
      <c r="F203" s="33"/>
      <c r="G203" s="33"/>
      <c r="H203" s="33"/>
      <c r="I203" s="33"/>
      <c r="J203" s="32"/>
      <c r="K203" s="33"/>
      <c r="L203" s="33"/>
      <c r="M203" s="33"/>
      <c r="N203" s="33"/>
      <c r="O203" s="32"/>
      <c r="P203" s="33"/>
      <c r="Q203" s="33"/>
      <c r="R203" s="33"/>
      <c r="S203" s="33"/>
      <c r="T203" s="32"/>
      <c r="U203" s="33"/>
      <c r="V203" s="33"/>
      <c r="W203" s="33"/>
      <c r="X203" s="33"/>
      <c r="Y203" s="32"/>
      <c r="Z203" s="33"/>
      <c r="AA203" s="33"/>
      <c r="AB203" s="33"/>
      <c r="AC203" s="33"/>
      <c r="AD203" s="32"/>
      <c r="AE203" s="33"/>
      <c r="AF203" s="33"/>
      <c r="AG203" s="33"/>
      <c r="AH203" s="33"/>
      <c r="AI203" s="32"/>
      <c r="AJ203" s="15"/>
      <c r="AK203" s="33"/>
      <c r="AL203" s="33"/>
      <c r="AM203" s="33"/>
      <c r="AN203" s="32"/>
      <c r="AO203" s="217"/>
      <c r="AP203" s="217"/>
      <c r="AQ203" s="217"/>
      <c r="AR203" s="217"/>
      <c r="AS203" s="217"/>
      <c r="AT203" s="218"/>
      <c r="AU203" s="218"/>
      <c r="AV203" s="218"/>
      <c r="AW203" s="218"/>
      <c r="AX203" s="218"/>
      <c r="AY203" s="217"/>
      <c r="AZ203" s="217"/>
      <c r="BA203" s="217"/>
      <c r="BB203" s="217"/>
      <c r="BC203" s="217"/>
      <c r="BD203" s="226"/>
    </row>
    <row r="204" spans="1:56" s="8" customFormat="1" ht="42" customHeight="1" x14ac:dyDescent="0.35">
      <c r="A204" s="33"/>
      <c r="B204" s="182"/>
      <c r="C204" s="33"/>
      <c r="D204" s="33"/>
      <c r="E204" s="32"/>
      <c r="F204" s="33"/>
      <c r="G204" s="33"/>
      <c r="H204" s="33"/>
      <c r="I204" s="33"/>
      <c r="J204" s="32"/>
      <c r="K204" s="33"/>
      <c r="L204" s="33"/>
      <c r="M204" s="33"/>
      <c r="N204" s="33"/>
      <c r="O204" s="32"/>
      <c r="P204" s="33"/>
      <c r="Q204" s="33"/>
      <c r="R204" s="33"/>
      <c r="S204" s="33"/>
      <c r="T204" s="32"/>
      <c r="U204" s="33"/>
      <c r="V204" s="33"/>
      <c r="W204" s="33"/>
      <c r="X204" s="33"/>
      <c r="Y204" s="32"/>
      <c r="Z204" s="33"/>
      <c r="AA204" s="33"/>
      <c r="AB204" s="33"/>
      <c r="AC204" s="33"/>
      <c r="AD204" s="32"/>
      <c r="AE204" s="33"/>
      <c r="AF204" s="33"/>
      <c r="AG204" s="33"/>
      <c r="AH204" s="33"/>
      <c r="AI204" s="32"/>
      <c r="AJ204" s="15"/>
      <c r="AK204" s="33"/>
      <c r="AL204" s="33"/>
      <c r="AM204" s="33"/>
      <c r="AN204" s="32"/>
      <c r="AO204" s="217"/>
      <c r="AP204" s="217"/>
      <c r="AQ204" s="217"/>
      <c r="AR204" s="217"/>
      <c r="AS204" s="217"/>
      <c r="AT204" s="218"/>
      <c r="AU204" s="218"/>
      <c r="AV204" s="218"/>
      <c r="AW204" s="218"/>
      <c r="AX204" s="218"/>
      <c r="AY204" s="217"/>
      <c r="AZ204" s="217"/>
      <c r="BA204" s="217"/>
      <c r="BB204" s="217"/>
      <c r="BC204" s="217"/>
      <c r="BD204" s="226"/>
    </row>
    <row r="205" spans="1:56" s="8" customFormat="1" ht="42" customHeight="1" x14ac:dyDescent="0.35">
      <c r="A205" s="33"/>
      <c r="B205" s="182"/>
      <c r="C205" s="33"/>
      <c r="D205" s="33"/>
      <c r="E205" s="32"/>
      <c r="F205" s="33"/>
      <c r="G205" s="33"/>
      <c r="H205" s="33"/>
      <c r="I205" s="33"/>
      <c r="J205" s="32"/>
      <c r="K205" s="33"/>
      <c r="L205" s="33"/>
      <c r="M205" s="33"/>
      <c r="N205" s="33"/>
      <c r="O205" s="32"/>
      <c r="P205" s="33"/>
      <c r="Q205" s="33"/>
      <c r="R205" s="33"/>
      <c r="S205" s="33"/>
      <c r="T205" s="32"/>
      <c r="U205" s="33"/>
      <c r="V205" s="33"/>
      <c r="W205" s="33"/>
      <c r="X205" s="33"/>
      <c r="Y205" s="32"/>
      <c r="Z205" s="33"/>
      <c r="AA205" s="33"/>
      <c r="AB205" s="33"/>
      <c r="AC205" s="33"/>
      <c r="AD205" s="32"/>
      <c r="AE205" s="33"/>
      <c r="AF205" s="33"/>
      <c r="AG205" s="33"/>
      <c r="AH205" s="33"/>
      <c r="AI205" s="32"/>
      <c r="AJ205" s="15"/>
      <c r="AK205" s="33"/>
      <c r="AL205" s="33"/>
      <c r="AM205" s="33"/>
      <c r="AN205" s="32"/>
      <c r="AO205" s="217"/>
      <c r="AP205" s="217"/>
      <c r="AQ205" s="217"/>
      <c r="AR205" s="217"/>
      <c r="AS205" s="217"/>
      <c r="AT205" s="218"/>
      <c r="AU205" s="218"/>
      <c r="AV205" s="218"/>
      <c r="AW205" s="218"/>
      <c r="AX205" s="218"/>
      <c r="AY205" s="217"/>
      <c r="AZ205" s="217"/>
      <c r="BA205" s="217"/>
      <c r="BB205" s="217"/>
      <c r="BC205" s="217"/>
      <c r="BD205" s="226"/>
    </row>
    <row r="206" spans="1:56" s="8" customFormat="1" ht="42" customHeight="1" x14ac:dyDescent="0.35">
      <c r="A206" s="33"/>
      <c r="B206" s="182"/>
      <c r="C206" s="33"/>
      <c r="D206" s="33"/>
      <c r="E206" s="32"/>
      <c r="F206" s="33"/>
      <c r="G206" s="33"/>
      <c r="H206" s="33"/>
      <c r="I206" s="33"/>
      <c r="J206" s="32"/>
      <c r="K206" s="33"/>
      <c r="L206" s="33"/>
      <c r="M206" s="33"/>
      <c r="N206" s="33"/>
      <c r="O206" s="32"/>
      <c r="P206" s="33"/>
      <c r="Q206" s="33"/>
      <c r="R206" s="33"/>
      <c r="S206" s="33"/>
      <c r="T206" s="32"/>
      <c r="U206" s="33"/>
      <c r="V206" s="33"/>
      <c r="W206" s="33"/>
      <c r="X206" s="33"/>
      <c r="Y206" s="32"/>
      <c r="Z206" s="33"/>
      <c r="AA206" s="33"/>
      <c r="AB206" s="33"/>
      <c r="AC206" s="33"/>
      <c r="AD206" s="32"/>
      <c r="AE206" s="33"/>
      <c r="AF206" s="33"/>
      <c r="AG206" s="33"/>
      <c r="AH206" s="33"/>
      <c r="AI206" s="32"/>
      <c r="AJ206" s="15"/>
      <c r="AK206" s="33"/>
      <c r="AL206" s="33"/>
      <c r="AM206" s="33"/>
      <c r="AN206" s="32"/>
      <c r="AO206" s="217"/>
      <c r="AP206" s="217"/>
      <c r="AQ206" s="217"/>
      <c r="AR206" s="217"/>
      <c r="AS206" s="217"/>
      <c r="AT206" s="218"/>
      <c r="AU206" s="218"/>
      <c r="AV206" s="218"/>
      <c r="AW206" s="218"/>
      <c r="AX206" s="218"/>
      <c r="AY206" s="217"/>
      <c r="AZ206" s="217"/>
      <c r="BA206" s="217"/>
      <c r="BB206" s="217"/>
      <c r="BC206" s="217"/>
      <c r="BD206" s="226"/>
    </row>
    <row r="207" spans="1:56" s="8" customFormat="1" ht="42" customHeight="1" x14ac:dyDescent="0.35">
      <c r="A207" s="33"/>
      <c r="B207" s="182"/>
      <c r="C207" s="33"/>
      <c r="D207" s="33"/>
      <c r="E207" s="32"/>
      <c r="F207" s="33"/>
      <c r="G207" s="33"/>
      <c r="H207" s="33"/>
      <c r="I207" s="33"/>
      <c r="J207" s="32"/>
      <c r="K207" s="33"/>
      <c r="L207" s="33"/>
      <c r="M207" s="33"/>
      <c r="N207" s="33"/>
      <c r="O207" s="32"/>
      <c r="P207" s="33"/>
      <c r="Q207" s="33"/>
      <c r="R207" s="33"/>
      <c r="S207" s="33"/>
      <c r="T207" s="32"/>
      <c r="U207" s="33"/>
      <c r="V207" s="33"/>
      <c r="W207" s="33"/>
      <c r="X207" s="33"/>
      <c r="Y207" s="32"/>
      <c r="Z207" s="33"/>
      <c r="AA207" s="33"/>
      <c r="AB207" s="33"/>
      <c r="AC207" s="33"/>
      <c r="AD207" s="32"/>
      <c r="AE207" s="33"/>
      <c r="AF207" s="33"/>
      <c r="AG207" s="33"/>
      <c r="AH207" s="33"/>
      <c r="AI207" s="32"/>
      <c r="AJ207" s="15"/>
      <c r="AK207" s="33"/>
      <c r="AL207" s="33"/>
      <c r="AM207" s="33"/>
      <c r="AN207" s="32"/>
      <c r="AO207" s="217"/>
      <c r="AP207" s="217"/>
      <c r="AQ207" s="217"/>
      <c r="AR207" s="217"/>
      <c r="AS207" s="217"/>
      <c r="AT207" s="218"/>
      <c r="AU207" s="218"/>
      <c r="AV207" s="218"/>
      <c r="AW207" s="218"/>
      <c r="AX207" s="218"/>
      <c r="AY207" s="217"/>
      <c r="AZ207" s="217"/>
      <c r="BA207" s="217"/>
      <c r="BB207" s="217"/>
      <c r="BC207" s="217"/>
      <c r="BD207" s="226"/>
    </row>
    <row r="208" spans="1:56" s="8" customFormat="1" ht="42" customHeight="1" x14ac:dyDescent="0.35">
      <c r="A208" s="33"/>
      <c r="B208" s="182"/>
      <c r="C208" s="33"/>
      <c r="D208" s="33"/>
      <c r="E208" s="32"/>
      <c r="F208" s="33"/>
      <c r="G208" s="33"/>
      <c r="H208" s="33"/>
      <c r="I208" s="33"/>
      <c r="J208" s="32"/>
      <c r="K208" s="33"/>
      <c r="L208" s="33"/>
      <c r="M208" s="33"/>
      <c r="N208" s="33"/>
      <c r="O208" s="32"/>
      <c r="P208" s="33"/>
      <c r="Q208" s="33"/>
      <c r="R208" s="33"/>
      <c r="S208" s="33"/>
      <c r="T208" s="32"/>
      <c r="U208" s="33"/>
      <c r="V208" s="33"/>
      <c r="W208" s="33"/>
      <c r="X208" s="33"/>
      <c r="Y208" s="32"/>
      <c r="Z208" s="33"/>
      <c r="AA208" s="33"/>
      <c r="AB208" s="33"/>
      <c r="AC208" s="33"/>
      <c r="AD208" s="32"/>
      <c r="AE208" s="33"/>
      <c r="AF208" s="33"/>
      <c r="AG208" s="33"/>
      <c r="AH208" s="33"/>
      <c r="AI208" s="32"/>
      <c r="AJ208" s="15"/>
      <c r="AK208" s="33"/>
      <c r="AL208" s="33"/>
      <c r="AM208" s="33"/>
      <c r="AN208" s="32"/>
      <c r="AO208" s="217"/>
      <c r="AP208" s="217"/>
      <c r="AQ208" s="217"/>
      <c r="AR208" s="217"/>
      <c r="AS208" s="217"/>
      <c r="AT208" s="218"/>
      <c r="AU208" s="218"/>
      <c r="AV208" s="218"/>
      <c r="AW208" s="218"/>
      <c r="AX208" s="218"/>
      <c r="AY208" s="217"/>
      <c r="AZ208" s="217"/>
      <c r="BA208" s="217"/>
      <c r="BB208" s="217"/>
      <c r="BC208" s="217"/>
      <c r="BD208" s="226"/>
    </row>
    <row r="209" spans="1:56" s="8" customFormat="1" ht="42" customHeight="1" x14ac:dyDescent="0.35">
      <c r="A209" s="33"/>
      <c r="B209" s="182"/>
      <c r="C209" s="33"/>
      <c r="D209" s="33"/>
      <c r="E209" s="32"/>
      <c r="F209" s="33"/>
      <c r="G209" s="33"/>
      <c r="H209" s="33"/>
      <c r="I209" s="33"/>
      <c r="J209" s="32"/>
      <c r="K209" s="33"/>
      <c r="L209" s="33"/>
      <c r="M209" s="33"/>
      <c r="N209" s="33"/>
      <c r="O209" s="32"/>
      <c r="P209" s="33"/>
      <c r="Q209" s="33"/>
      <c r="R209" s="33"/>
      <c r="S209" s="33"/>
      <c r="T209" s="32"/>
      <c r="U209" s="33"/>
      <c r="V209" s="33"/>
      <c r="W209" s="33"/>
      <c r="X209" s="33"/>
      <c r="Y209" s="32"/>
      <c r="Z209" s="33"/>
      <c r="AA209" s="33"/>
      <c r="AB209" s="33"/>
      <c r="AC209" s="33"/>
      <c r="AD209" s="32"/>
      <c r="AE209" s="33"/>
      <c r="AF209" s="33"/>
      <c r="AG209" s="33"/>
      <c r="AH209" s="33"/>
      <c r="AI209" s="32"/>
      <c r="AJ209" s="15"/>
      <c r="AK209" s="33"/>
      <c r="AL209" s="33"/>
      <c r="AM209" s="33"/>
      <c r="AN209" s="32"/>
      <c r="AO209" s="217"/>
      <c r="AP209" s="217"/>
      <c r="AQ209" s="217"/>
      <c r="AR209" s="217"/>
      <c r="AS209" s="217"/>
      <c r="AT209" s="218"/>
      <c r="AU209" s="218"/>
      <c r="AV209" s="218"/>
      <c r="AW209" s="218"/>
      <c r="AX209" s="218"/>
      <c r="AY209" s="217"/>
      <c r="AZ209" s="217"/>
      <c r="BA209" s="217"/>
      <c r="BB209" s="217"/>
      <c r="BC209" s="217"/>
      <c r="BD209" s="226"/>
    </row>
    <row r="210" spans="1:56" s="8" customFormat="1" ht="42" customHeight="1" x14ac:dyDescent="0.35">
      <c r="A210" s="33"/>
      <c r="B210" s="182"/>
      <c r="C210" s="33"/>
      <c r="D210" s="33"/>
      <c r="E210" s="32"/>
      <c r="F210" s="33"/>
      <c r="G210" s="33"/>
      <c r="H210" s="33"/>
      <c r="I210" s="33"/>
      <c r="J210" s="32"/>
      <c r="K210" s="33"/>
      <c r="L210" s="33"/>
      <c r="M210" s="33"/>
      <c r="N210" s="33"/>
      <c r="O210" s="32"/>
      <c r="P210" s="33"/>
      <c r="Q210" s="33"/>
      <c r="R210" s="33"/>
      <c r="S210" s="33"/>
      <c r="T210" s="32"/>
      <c r="U210" s="33"/>
      <c r="V210" s="33"/>
      <c r="W210" s="33"/>
      <c r="X210" s="33"/>
      <c r="Y210" s="32"/>
      <c r="Z210" s="33"/>
      <c r="AA210" s="33"/>
      <c r="AB210" s="33"/>
      <c r="AC210" s="33"/>
      <c r="AD210" s="32"/>
      <c r="AE210" s="33"/>
      <c r="AF210" s="33"/>
      <c r="AG210" s="33"/>
      <c r="AH210" s="33"/>
      <c r="AI210" s="32"/>
      <c r="AJ210" s="15"/>
      <c r="AK210" s="33"/>
      <c r="AL210" s="33"/>
      <c r="AM210" s="33"/>
      <c r="AN210" s="32"/>
      <c r="AO210" s="217"/>
      <c r="AP210" s="217"/>
      <c r="AQ210" s="217"/>
      <c r="AR210" s="217"/>
      <c r="AS210" s="217"/>
      <c r="AT210" s="218"/>
      <c r="AU210" s="218"/>
      <c r="AV210" s="218"/>
      <c r="AW210" s="218"/>
      <c r="AX210" s="218"/>
      <c r="AY210" s="217"/>
      <c r="AZ210" s="217"/>
      <c r="BA210" s="217"/>
      <c r="BB210" s="217"/>
      <c r="BC210" s="217"/>
      <c r="BD210" s="226"/>
    </row>
    <row r="211" spans="1:56" s="8" customFormat="1" ht="42" customHeight="1" x14ac:dyDescent="0.35">
      <c r="A211" s="33"/>
      <c r="B211" s="182"/>
      <c r="C211" s="33"/>
      <c r="D211" s="33"/>
      <c r="E211" s="32"/>
      <c r="F211" s="33"/>
      <c r="G211" s="33"/>
      <c r="H211" s="33"/>
      <c r="I211" s="33"/>
      <c r="J211" s="32"/>
      <c r="K211" s="33"/>
      <c r="L211" s="33"/>
      <c r="M211" s="33"/>
      <c r="N211" s="33"/>
      <c r="O211" s="32"/>
      <c r="P211" s="33"/>
      <c r="Q211" s="33"/>
      <c r="R211" s="33"/>
      <c r="S211" s="33"/>
      <c r="T211" s="32"/>
      <c r="U211" s="33"/>
      <c r="V211" s="33"/>
      <c r="W211" s="33"/>
      <c r="X211" s="33"/>
      <c r="Y211" s="32"/>
      <c r="Z211" s="33"/>
      <c r="AA211" s="33"/>
      <c r="AB211" s="33"/>
      <c r="AC211" s="33"/>
      <c r="AD211" s="32"/>
      <c r="AE211" s="33"/>
      <c r="AF211" s="33"/>
      <c r="AG211" s="33"/>
      <c r="AH211" s="33"/>
      <c r="AI211" s="32"/>
      <c r="AJ211" s="15"/>
      <c r="AK211" s="33"/>
      <c r="AL211" s="33"/>
      <c r="AM211" s="33"/>
      <c r="AN211" s="32"/>
      <c r="AO211" s="217"/>
      <c r="AP211" s="217"/>
      <c r="AQ211" s="217"/>
      <c r="AR211" s="217"/>
      <c r="AS211" s="217"/>
      <c r="AT211" s="218"/>
      <c r="AU211" s="218"/>
      <c r="AV211" s="218"/>
      <c r="AW211" s="218"/>
      <c r="AX211" s="218"/>
      <c r="AY211" s="217"/>
      <c r="AZ211" s="217"/>
      <c r="BA211" s="217"/>
      <c r="BB211" s="217"/>
      <c r="BC211" s="217"/>
      <c r="BD211" s="226"/>
    </row>
    <row r="212" spans="1:56" s="8" customFormat="1" ht="42" customHeight="1" x14ac:dyDescent="0.35">
      <c r="A212" s="33"/>
      <c r="B212" s="182"/>
      <c r="C212" s="33"/>
      <c r="D212" s="33"/>
      <c r="E212" s="32"/>
      <c r="F212" s="33"/>
      <c r="G212" s="33"/>
      <c r="H212" s="33"/>
      <c r="I212" s="33"/>
      <c r="J212" s="32"/>
      <c r="K212" s="33"/>
      <c r="L212" s="33"/>
      <c r="M212" s="33"/>
      <c r="N212" s="33"/>
      <c r="O212" s="32"/>
      <c r="P212" s="33"/>
      <c r="Q212" s="33"/>
      <c r="R212" s="33"/>
      <c r="S212" s="33"/>
      <c r="T212" s="32"/>
      <c r="U212" s="33"/>
      <c r="V212" s="33"/>
      <c r="W212" s="33"/>
      <c r="X212" s="33"/>
      <c r="Y212" s="32"/>
      <c r="Z212" s="33"/>
      <c r="AA212" s="33"/>
      <c r="AB212" s="33"/>
      <c r="AC212" s="33"/>
      <c r="AD212" s="32"/>
      <c r="AE212" s="33"/>
      <c r="AF212" s="33"/>
      <c r="AG212" s="33"/>
      <c r="AH212" s="33"/>
      <c r="AI212" s="32"/>
      <c r="AJ212" s="15"/>
      <c r="AK212" s="33"/>
      <c r="AL212" s="33"/>
      <c r="AM212" s="33"/>
      <c r="AN212" s="32"/>
      <c r="AO212" s="217"/>
      <c r="AP212" s="217"/>
      <c r="AQ212" s="217"/>
      <c r="AR212" s="217"/>
      <c r="AS212" s="217"/>
      <c r="AT212" s="218"/>
      <c r="AU212" s="218"/>
      <c r="AV212" s="218"/>
      <c r="AW212" s="218"/>
      <c r="AX212" s="218"/>
      <c r="AY212" s="217"/>
      <c r="AZ212" s="217"/>
      <c r="BA212" s="217"/>
      <c r="BB212" s="217"/>
      <c r="BC212" s="217"/>
      <c r="BD212" s="226"/>
    </row>
    <row r="213" spans="1:56" s="8" customFormat="1" ht="42" customHeight="1" x14ac:dyDescent="0.35">
      <c r="A213" s="33"/>
      <c r="B213" s="182"/>
      <c r="C213" s="33"/>
      <c r="D213" s="33"/>
      <c r="E213" s="32"/>
      <c r="F213" s="33"/>
      <c r="G213" s="33"/>
      <c r="H213" s="33"/>
      <c r="I213" s="33"/>
      <c r="J213" s="32"/>
      <c r="K213" s="33"/>
      <c r="L213" s="33"/>
      <c r="M213" s="33"/>
      <c r="N213" s="33"/>
      <c r="O213" s="32"/>
      <c r="P213" s="33"/>
      <c r="Q213" s="33"/>
      <c r="R213" s="33"/>
      <c r="S213" s="33"/>
      <c r="T213" s="32"/>
      <c r="U213" s="33"/>
      <c r="V213" s="33"/>
      <c r="W213" s="33"/>
      <c r="X213" s="33"/>
      <c r="Y213" s="32"/>
      <c r="Z213" s="33"/>
      <c r="AA213" s="33"/>
      <c r="AB213" s="33"/>
      <c r="AC213" s="33"/>
      <c r="AD213" s="32"/>
      <c r="AE213" s="33"/>
      <c r="AF213" s="33"/>
      <c r="AG213" s="33"/>
      <c r="AH213" s="33"/>
      <c r="AI213" s="32"/>
      <c r="AJ213" s="15"/>
      <c r="AK213" s="33"/>
      <c r="AL213" s="33"/>
      <c r="AM213" s="33"/>
      <c r="AN213" s="32"/>
      <c r="AO213" s="217"/>
      <c r="AP213" s="217"/>
      <c r="AQ213" s="217"/>
      <c r="AR213" s="217"/>
      <c r="AS213" s="217"/>
      <c r="AT213" s="218"/>
      <c r="AU213" s="218"/>
      <c r="AV213" s="218"/>
      <c r="AW213" s="218"/>
      <c r="AX213" s="218"/>
      <c r="AY213" s="217"/>
      <c r="AZ213" s="217"/>
      <c r="BA213" s="217"/>
      <c r="BB213" s="217"/>
      <c r="BC213" s="217"/>
      <c r="BD213" s="226"/>
    </row>
    <row r="214" spans="1:56" s="8" customFormat="1" ht="42" customHeight="1" x14ac:dyDescent="0.35">
      <c r="A214" s="33"/>
      <c r="B214" s="182"/>
      <c r="C214" s="33"/>
      <c r="D214" s="33"/>
      <c r="E214" s="32"/>
      <c r="F214" s="33"/>
      <c r="G214" s="33"/>
      <c r="H214" s="33"/>
      <c r="I214" s="33"/>
      <c r="J214" s="32"/>
      <c r="K214" s="33"/>
      <c r="L214" s="33"/>
      <c r="M214" s="33"/>
      <c r="N214" s="33"/>
      <c r="O214" s="32"/>
      <c r="P214" s="33"/>
      <c r="Q214" s="33"/>
      <c r="R214" s="33"/>
      <c r="S214" s="33"/>
      <c r="T214" s="32"/>
      <c r="U214" s="33"/>
      <c r="V214" s="33"/>
      <c r="W214" s="33"/>
      <c r="X214" s="33"/>
      <c r="Y214" s="32"/>
      <c r="Z214" s="33"/>
      <c r="AA214" s="33"/>
      <c r="AB214" s="33"/>
      <c r="AC214" s="33"/>
      <c r="AD214" s="32"/>
      <c r="AE214" s="33"/>
      <c r="AF214" s="33"/>
      <c r="AG214" s="33"/>
      <c r="AH214" s="33"/>
      <c r="AI214" s="32"/>
      <c r="AJ214" s="15"/>
      <c r="AK214" s="33"/>
      <c r="AL214" s="33"/>
      <c r="AM214" s="33"/>
      <c r="AN214" s="32"/>
      <c r="AO214" s="217"/>
      <c r="AP214" s="217"/>
      <c r="AQ214" s="217"/>
      <c r="AR214" s="217"/>
      <c r="AS214" s="217"/>
      <c r="AT214" s="218"/>
      <c r="AU214" s="218"/>
      <c r="AV214" s="218"/>
      <c r="AW214" s="218"/>
      <c r="AX214" s="218"/>
      <c r="AY214" s="217"/>
      <c r="AZ214" s="217"/>
      <c r="BA214" s="217"/>
      <c r="BB214" s="217"/>
      <c r="BC214" s="217"/>
      <c r="BD214" s="226"/>
    </row>
    <row r="215" spans="1:56" s="8" customFormat="1" ht="42" customHeight="1" x14ac:dyDescent="0.35">
      <c r="A215" s="33"/>
      <c r="B215" s="182"/>
      <c r="C215" s="33"/>
      <c r="D215" s="33"/>
      <c r="E215" s="32"/>
      <c r="F215" s="33"/>
      <c r="G215" s="33"/>
      <c r="H215" s="33"/>
      <c r="I215" s="33"/>
      <c r="J215" s="32"/>
      <c r="K215" s="33"/>
      <c r="L215" s="33"/>
      <c r="M215" s="33"/>
      <c r="N215" s="33"/>
      <c r="O215" s="32"/>
      <c r="P215" s="33"/>
      <c r="Q215" s="33"/>
      <c r="R215" s="33"/>
      <c r="S215" s="33"/>
      <c r="T215" s="32"/>
      <c r="U215" s="33"/>
      <c r="V215" s="33"/>
      <c r="W215" s="33"/>
      <c r="X215" s="33"/>
      <c r="Y215" s="32"/>
      <c r="Z215" s="33"/>
      <c r="AA215" s="33"/>
      <c r="AB215" s="33"/>
      <c r="AC215" s="33"/>
      <c r="AD215" s="32"/>
      <c r="AE215" s="33"/>
      <c r="AF215" s="33"/>
      <c r="AG215" s="33"/>
      <c r="AH215" s="33"/>
      <c r="AI215" s="32"/>
      <c r="AJ215" s="15"/>
      <c r="AK215" s="33"/>
      <c r="AL215" s="33"/>
      <c r="AM215" s="33"/>
      <c r="AN215" s="32"/>
      <c r="AO215" s="217"/>
      <c r="AP215" s="217"/>
      <c r="AQ215" s="217"/>
      <c r="AR215" s="217"/>
      <c r="AS215" s="217"/>
      <c r="AT215" s="218"/>
      <c r="AU215" s="218"/>
      <c r="AV215" s="218"/>
      <c r="AW215" s="218"/>
      <c r="AX215" s="218"/>
      <c r="AY215" s="217"/>
      <c r="AZ215" s="217"/>
      <c r="BA215" s="217"/>
      <c r="BB215" s="217"/>
      <c r="BC215" s="217"/>
      <c r="BD215" s="226"/>
    </row>
    <row r="216" spans="1:56" s="8" customFormat="1" ht="42" customHeight="1" x14ac:dyDescent="0.35">
      <c r="A216" s="33"/>
      <c r="B216" s="182"/>
      <c r="C216" s="33"/>
      <c r="D216" s="33"/>
      <c r="E216" s="32"/>
      <c r="F216" s="33"/>
      <c r="G216" s="33"/>
      <c r="H216" s="33"/>
      <c r="I216" s="33"/>
      <c r="J216" s="32"/>
      <c r="K216" s="33"/>
      <c r="L216" s="33"/>
      <c r="M216" s="33"/>
      <c r="N216" s="33"/>
      <c r="O216" s="32"/>
      <c r="P216" s="33"/>
      <c r="Q216" s="33"/>
      <c r="R216" s="33"/>
      <c r="S216" s="33"/>
      <c r="T216" s="32"/>
      <c r="U216" s="33"/>
      <c r="V216" s="33"/>
      <c r="W216" s="33"/>
      <c r="X216" s="33"/>
      <c r="Y216" s="32"/>
      <c r="Z216" s="33"/>
      <c r="AA216" s="33"/>
      <c r="AB216" s="33"/>
      <c r="AC216" s="33"/>
      <c r="AD216" s="32"/>
      <c r="AE216" s="33"/>
      <c r="AF216" s="33"/>
      <c r="AG216" s="33"/>
      <c r="AH216" s="33"/>
      <c r="AI216" s="32"/>
      <c r="AJ216" s="15"/>
      <c r="AK216" s="33"/>
      <c r="AL216" s="33"/>
      <c r="AM216" s="33"/>
      <c r="AN216" s="32"/>
      <c r="AO216" s="217"/>
      <c r="AP216" s="217"/>
      <c r="AQ216" s="217"/>
      <c r="AR216" s="217"/>
      <c r="AS216" s="217"/>
      <c r="AT216" s="218"/>
      <c r="AU216" s="218"/>
      <c r="AV216" s="218"/>
      <c r="AW216" s="218"/>
      <c r="AX216" s="218"/>
      <c r="AY216" s="217"/>
      <c r="AZ216" s="217"/>
      <c r="BA216" s="217"/>
      <c r="BB216" s="217"/>
      <c r="BC216" s="217"/>
      <c r="BD216" s="226"/>
    </row>
    <row r="217" spans="1:56" s="8" customFormat="1" ht="42" customHeight="1" x14ac:dyDescent="0.35">
      <c r="A217" s="33"/>
      <c r="B217" s="182"/>
      <c r="C217" s="33"/>
      <c r="D217" s="33"/>
      <c r="E217" s="32"/>
      <c r="F217" s="33"/>
      <c r="G217" s="33"/>
      <c r="H217" s="33"/>
      <c r="I217" s="33"/>
      <c r="J217" s="32"/>
      <c r="K217" s="33"/>
      <c r="L217" s="33"/>
      <c r="M217" s="33"/>
      <c r="N217" s="33"/>
      <c r="O217" s="32"/>
      <c r="P217" s="33"/>
      <c r="Q217" s="33"/>
      <c r="R217" s="33"/>
      <c r="S217" s="33"/>
      <c r="T217" s="32"/>
      <c r="U217" s="33"/>
      <c r="V217" s="33"/>
      <c r="W217" s="33"/>
      <c r="X217" s="33"/>
      <c r="Y217" s="32"/>
      <c r="Z217" s="33"/>
      <c r="AA217" s="33"/>
      <c r="AB217" s="33"/>
      <c r="AC217" s="33"/>
      <c r="AD217" s="32"/>
      <c r="AE217" s="33"/>
      <c r="AF217" s="33"/>
      <c r="AG217" s="33"/>
      <c r="AH217" s="33"/>
      <c r="AI217" s="32"/>
      <c r="AJ217" s="15"/>
      <c r="AK217" s="33"/>
      <c r="AL217" s="33"/>
      <c r="AM217" s="33"/>
      <c r="AN217" s="32"/>
      <c r="AO217" s="217"/>
      <c r="AP217" s="217"/>
      <c r="AQ217" s="217"/>
      <c r="AR217" s="217"/>
      <c r="AS217" s="217"/>
      <c r="AT217" s="218"/>
      <c r="AU217" s="218"/>
      <c r="AV217" s="218"/>
      <c r="AW217" s="218"/>
      <c r="AX217" s="218"/>
      <c r="AY217" s="217"/>
      <c r="AZ217" s="217"/>
      <c r="BA217" s="217"/>
      <c r="BB217" s="217"/>
      <c r="BC217" s="217"/>
      <c r="BD217" s="226"/>
    </row>
    <row r="218" spans="1:56" s="8" customFormat="1" ht="42" customHeight="1" x14ac:dyDescent="0.35">
      <c r="A218" s="33"/>
      <c r="B218" s="182"/>
      <c r="C218" s="33"/>
      <c r="D218" s="33"/>
      <c r="E218" s="32"/>
      <c r="F218" s="33"/>
      <c r="G218" s="33"/>
      <c r="H218" s="33"/>
      <c r="I218" s="33"/>
      <c r="J218" s="32"/>
      <c r="K218" s="33"/>
      <c r="L218" s="33"/>
      <c r="M218" s="33"/>
      <c r="N218" s="33"/>
      <c r="O218" s="32"/>
      <c r="P218" s="33"/>
      <c r="Q218" s="33"/>
      <c r="R218" s="33"/>
      <c r="S218" s="33"/>
      <c r="T218" s="32"/>
      <c r="U218" s="33"/>
      <c r="V218" s="33"/>
      <c r="W218" s="33"/>
      <c r="X218" s="33"/>
      <c r="Y218" s="32"/>
      <c r="Z218" s="33"/>
      <c r="AA218" s="33"/>
      <c r="AB218" s="33"/>
      <c r="AC218" s="33"/>
      <c r="AD218" s="32"/>
      <c r="AE218" s="33"/>
      <c r="AF218" s="33"/>
      <c r="AG218" s="33"/>
      <c r="AH218" s="33"/>
      <c r="AI218" s="32"/>
      <c r="AJ218" s="15"/>
      <c r="AK218" s="33"/>
      <c r="AL218" s="33"/>
      <c r="AM218" s="33"/>
      <c r="AN218" s="32"/>
      <c r="AO218" s="217"/>
      <c r="AP218" s="217"/>
      <c r="AQ218" s="217"/>
      <c r="AR218" s="217"/>
      <c r="AS218" s="217"/>
      <c r="AT218" s="218"/>
      <c r="AU218" s="218"/>
      <c r="AV218" s="218"/>
      <c r="AW218" s="218"/>
      <c r="AX218" s="218"/>
      <c r="AY218" s="217"/>
      <c r="AZ218" s="217"/>
      <c r="BA218" s="217"/>
      <c r="BB218" s="217"/>
      <c r="BC218" s="217"/>
      <c r="BD218" s="226"/>
    </row>
    <row r="219" spans="1:56" s="8" customFormat="1" ht="42" customHeight="1" x14ac:dyDescent="0.35">
      <c r="A219" s="33"/>
      <c r="B219" s="182"/>
      <c r="C219" s="33"/>
      <c r="D219" s="33"/>
      <c r="E219" s="32"/>
      <c r="F219" s="33"/>
      <c r="G219" s="33"/>
      <c r="H219" s="33"/>
      <c r="I219" s="33"/>
      <c r="J219" s="32"/>
      <c r="K219" s="33"/>
      <c r="L219" s="33"/>
      <c r="M219" s="33"/>
      <c r="N219" s="33"/>
      <c r="O219" s="32"/>
      <c r="P219" s="33"/>
      <c r="Q219" s="33"/>
      <c r="R219" s="33"/>
      <c r="S219" s="33"/>
      <c r="T219" s="32"/>
      <c r="U219" s="33"/>
      <c r="V219" s="33"/>
      <c r="W219" s="33"/>
      <c r="X219" s="33"/>
      <c r="Y219" s="32"/>
      <c r="Z219" s="33"/>
      <c r="AA219" s="33"/>
      <c r="AB219" s="33"/>
      <c r="AC219" s="33"/>
      <c r="AD219" s="32"/>
      <c r="AE219" s="33"/>
      <c r="AF219" s="33"/>
      <c r="AG219" s="33"/>
      <c r="AH219" s="33"/>
      <c r="AI219" s="32"/>
      <c r="AJ219" s="15"/>
      <c r="AK219" s="33"/>
      <c r="AL219" s="33"/>
      <c r="AM219" s="33"/>
      <c r="AN219" s="32"/>
      <c r="AO219" s="217"/>
      <c r="AP219" s="217"/>
      <c r="AQ219" s="217"/>
      <c r="AR219" s="217"/>
      <c r="AS219" s="217"/>
      <c r="AT219" s="218"/>
      <c r="AU219" s="218"/>
      <c r="AV219" s="218"/>
      <c r="AW219" s="218"/>
      <c r="AX219" s="218"/>
      <c r="AY219" s="217"/>
      <c r="AZ219" s="217"/>
      <c r="BA219" s="217"/>
      <c r="BB219" s="217"/>
      <c r="BC219" s="217"/>
      <c r="BD219" s="226"/>
    </row>
    <row r="220" spans="1:56" s="8" customFormat="1" ht="42" customHeight="1" x14ac:dyDescent="0.35">
      <c r="A220" s="33"/>
      <c r="B220" s="182"/>
      <c r="C220" s="33"/>
      <c r="D220" s="33"/>
      <c r="E220" s="32"/>
      <c r="F220" s="33"/>
      <c r="G220" s="33"/>
      <c r="H220" s="33"/>
      <c r="I220" s="33"/>
      <c r="J220" s="32"/>
      <c r="K220" s="33"/>
      <c r="L220" s="33"/>
      <c r="M220" s="33"/>
      <c r="N220" s="33"/>
      <c r="O220" s="32"/>
      <c r="P220" s="33"/>
      <c r="Q220" s="33"/>
      <c r="R220" s="33"/>
      <c r="S220" s="33"/>
      <c r="T220" s="32"/>
      <c r="U220" s="33"/>
      <c r="V220" s="33"/>
      <c r="W220" s="33"/>
      <c r="X220" s="33"/>
      <c r="Y220" s="32"/>
      <c r="Z220" s="33"/>
      <c r="AA220" s="33"/>
      <c r="AB220" s="33"/>
      <c r="AC220" s="33"/>
      <c r="AD220" s="32"/>
      <c r="AE220" s="33"/>
      <c r="AF220" s="33"/>
      <c r="AG220" s="33"/>
      <c r="AH220" s="33"/>
      <c r="AI220" s="32"/>
      <c r="AJ220" s="15"/>
      <c r="AK220" s="33"/>
      <c r="AL220" s="33"/>
      <c r="AM220" s="33"/>
      <c r="AN220" s="32"/>
      <c r="AO220" s="217"/>
      <c r="AP220" s="217"/>
      <c r="AQ220" s="217"/>
      <c r="AR220" s="217"/>
      <c r="AS220" s="217"/>
      <c r="AT220" s="218"/>
      <c r="AU220" s="218"/>
      <c r="AV220" s="218"/>
      <c r="AW220" s="218"/>
      <c r="AX220" s="218"/>
      <c r="AY220" s="217"/>
      <c r="AZ220" s="217"/>
      <c r="BA220" s="217"/>
      <c r="BB220" s="217"/>
      <c r="BC220" s="217"/>
      <c r="BD220" s="226"/>
    </row>
    <row r="221" spans="1:56" s="8" customFormat="1" ht="42" customHeight="1" x14ac:dyDescent="0.35">
      <c r="A221" s="33"/>
      <c r="B221" s="182"/>
      <c r="C221" s="33"/>
      <c r="D221" s="33"/>
      <c r="E221" s="32"/>
      <c r="F221" s="33"/>
      <c r="G221" s="33"/>
      <c r="H221" s="33"/>
      <c r="I221" s="33"/>
      <c r="J221" s="32"/>
      <c r="K221" s="33"/>
      <c r="L221" s="33"/>
      <c r="M221" s="33"/>
      <c r="N221" s="33"/>
      <c r="O221" s="32"/>
      <c r="P221" s="33"/>
      <c r="Q221" s="33"/>
      <c r="R221" s="33"/>
      <c r="S221" s="33"/>
      <c r="T221" s="32"/>
      <c r="U221" s="33"/>
      <c r="V221" s="33"/>
      <c r="W221" s="33"/>
      <c r="X221" s="33"/>
      <c r="Y221" s="32"/>
      <c r="Z221" s="33"/>
      <c r="AA221" s="33"/>
      <c r="AB221" s="33"/>
      <c r="AC221" s="33"/>
      <c r="AD221" s="32"/>
      <c r="AE221" s="33"/>
      <c r="AF221" s="33"/>
      <c r="AG221" s="33"/>
      <c r="AH221" s="33"/>
      <c r="AI221" s="32"/>
      <c r="AJ221" s="15"/>
      <c r="AK221" s="33"/>
      <c r="AL221" s="33"/>
      <c r="AM221" s="33"/>
      <c r="AN221" s="32"/>
      <c r="AO221" s="217"/>
      <c r="AP221" s="217"/>
      <c r="AQ221" s="217"/>
      <c r="AR221" s="217"/>
      <c r="AS221" s="217"/>
      <c r="AT221" s="218"/>
      <c r="AU221" s="218"/>
      <c r="AV221" s="218"/>
      <c r="AW221" s="218"/>
      <c r="AX221" s="218"/>
      <c r="AY221" s="217"/>
      <c r="AZ221" s="217"/>
      <c r="BA221" s="217"/>
      <c r="BB221" s="217"/>
      <c r="BC221" s="217"/>
      <c r="BD221" s="226"/>
    </row>
    <row r="222" spans="1:56" s="8" customFormat="1" ht="42" customHeight="1" x14ac:dyDescent="0.35">
      <c r="A222" s="33"/>
      <c r="B222" s="182"/>
      <c r="C222" s="33"/>
      <c r="D222" s="33"/>
      <c r="E222" s="32"/>
      <c r="F222" s="33"/>
      <c r="G222" s="33"/>
      <c r="H222" s="33"/>
      <c r="I222" s="33"/>
      <c r="J222" s="32"/>
      <c r="K222" s="33"/>
      <c r="L222" s="33"/>
      <c r="M222" s="33"/>
      <c r="N222" s="33"/>
      <c r="O222" s="32"/>
      <c r="P222" s="33"/>
      <c r="Q222" s="33"/>
      <c r="R222" s="33"/>
      <c r="S222" s="33"/>
      <c r="T222" s="32"/>
      <c r="U222" s="33"/>
      <c r="V222" s="33"/>
      <c r="W222" s="33"/>
      <c r="X222" s="33"/>
      <c r="Y222" s="32"/>
      <c r="Z222" s="33"/>
      <c r="AA222" s="33"/>
      <c r="AB222" s="33"/>
      <c r="AC222" s="33"/>
      <c r="AD222" s="32"/>
      <c r="AE222" s="33"/>
      <c r="AF222" s="33"/>
      <c r="AG222" s="33"/>
      <c r="AH222" s="33"/>
      <c r="AI222" s="32"/>
      <c r="AJ222" s="15"/>
      <c r="AK222" s="33"/>
      <c r="AL222" s="33"/>
      <c r="AM222" s="33"/>
      <c r="AN222" s="32"/>
      <c r="AO222" s="217"/>
      <c r="AP222" s="217"/>
      <c r="AQ222" s="217"/>
      <c r="AR222" s="217"/>
      <c r="AS222" s="217"/>
      <c r="AT222" s="218"/>
      <c r="AU222" s="218"/>
      <c r="AV222" s="218"/>
      <c r="AW222" s="218"/>
      <c r="AX222" s="218"/>
      <c r="AY222" s="217"/>
      <c r="AZ222" s="217"/>
      <c r="BA222" s="217"/>
      <c r="BB222" s="217"/>
      <c r="BC222" s="217"/>
      <c r="BD222" s="226"/>
    </row>
    <row r="223" spans="1:56" s="8" customFormat="1" ht="42" customHeight="1" x14ac:dyDescent="0.35">
      <c r="A223" s="33"/>
      <c r="B223" s="182"/>
      <c r="C223" s="33"/>
      <c r="D223" s="33"/>
      <c r="E223" s="32"/>
      <c r="F223" s="33"/>
      <c r="G223" s="33"/>
      <c r="H223" s="33"/>
      <c r="I223" s="33"/>
      <c r="J223" s="32"/>
      <c r="K223" s="33"/>
      <c r="L223" s="33"/>
      <c r="M223" s="33"/>
      <c r="N223" s="33"/>
      <c r="O223" s="32"/>
      <c r="P223" s="33"/>
      <c r="Q223" s="33"/>
      <c r="R223" s="33"/>
      <c r="S223" s="33"/>
      <c r="T223" s="32"/>
      <c r="U223" s="33"/>
      <c r="V223" s="33"/>
      <c r="W223" s="33"/>
      <c r="X223" s="33"/>
      <c r="Y223" s="32"/>
      <c r="Z223" s="33"/>
      <c r="AA223" s="33"/>
      <c r="AB223" s="33"/>
      <c r="AC223" s="33"/>
      <c r="AD223" s="32"/>
      <c r="AE223" s="33"/>
      <c r="AF223" s="33"/>
      <c r="AG223" s="33"/>
      <c r="AH223" s="33"/>
      <c r="AI223" s="32"/>
      <c r="AJ223" s="15"/>
      <c r="AK223" s="33"/>
      <c r="AL223" s="33"/>
      <c r="AM223" s="33"/>
      <c r="AN223" s="32"/>
      <c r="AO223" s="217"/>
      <c r="AP223" s="217"/>
      <c r="AQ223" s="217"/>
      <c r="AR223" s="217"/>
      <c r="AS223" s="217"/>
      <c r="AT223" s="218"/>
      <c r="AU223" s="218"/>
      <c r="AV223" s="218"/>
      <c r="AW223" s="218"/>
      <c r="AX223" s="218"/>
      <c r="AY223" s="217"/>
      <c r="AZ223" s="217"/>
      <c r="BA223" s="217"/>
      <c r="BB223" s="217"/>
      <c r="BC223" s="217"/>
      <c r="BD223" s="226"/>
    </row>
    <row r="224" spans="1:56" s="8" customFormat="1" ht="42" customHeight="1" x14ac:dyDescent="0.35">
      <c r="A224" s="33"/>
      <c r="B224" s="182"/>
      <c r="C224" s="33"/>
      <c r="D224" s="33"/>
      <c r="E224" s="32"/>
      <c r="F224" s="33"/>
      <c r="G224" s="33"/>
      <c r="H224" s="33"/>
      <c r="I224" s="33"/>
      <c r="J224" s="32"/>
      <c r="K224" s="33"/>
      <c r="L224" s="33"/>
      <c r="M224" s="33"/>
      <c r="N224" s="33"/>
      <c r="O224" s="32"/>
      <c r="P224" s="33"/>
      <c r="Q224" s="33"/>
      <c r="R224" s="33"/>
      <c r="S224" s="33"/>
      <c r="T224" s="32"/>
      <c r="U224" s="33"/>
      <c r="V224" s="33"/>
      <c r="W224" s="33"/>
      <c r="X224" s="33"/>
      <c r="Y224" s="32"/>
      <c r="Z224" s="33"/>
      <c r="AA224" s="33"/>
      <c r="AB224" s="33"/>
      <c r="AC224" s="33"/>
      <c r="AD224" s="32"/>
      <c r="AE224" s="33"/>
      <c r="AF224" s="33"/>
      <c r="AG224" s="33"/>
      <c r="AH224" s="33"/>
      <c r="AI224" s="32"/>
      <c r="AJ224" s="15"/>
      <c r="AK224" s="33"/>
      <c r="AL224" s="33"/>
      <c r="AM224" s="33"/>
      <c r="AN224" s="32"/>
      <c r="AO224" s="217"/>
      <c r="AP224" s="217"/>
      <c r="AQ224" s="217"/>
      <c r="AR224" s="217"/>
      <c r="AS224" s="217"/>
      <c r="AT224" s="218"/>
      <c r="AU224" s="218"/>
      <c r="AV224" s="218"/>
      <c r="AW224" s="218"/>
      <c r="AX224" s="218"/>
      <c r="AY224" s="217"/>
      <c r="AZ224" s="217"/>
      <c r="BA224" s="217"/>
      <c r="BB224" s="217"/>
      <c r="BC224" s="217"/>
      <c r="BD224" s="226"/>
    </row>
    <row r="225" spans="1:56" s="8" customFormat="1" ht="42" customHeight="1" x14ac:dyDescent="0.35">
      <c r="A225" s="33"/>
      <c r="B225" s="182"/>
      <c r="C225" s="33"/>
      <c r="D225" s="33"/>
      <c r="E225" s="32"/>
      <c r="F225" s="33"/>
      <c r="G225" s="33"/>
      <c r="H225" s="33"/>
      <c r="I225" s="33"/>
      <c r="J225" s="32"/>
      <c r="K225" s="33"/>
      <c r="L225" s="33"/>
      <c r="M225" s="33"/>
      <c r="N225" s="33"/>
      <c r="O225" s="32"/>
      <c r="P225" s="33"/>
      <c r="Q225" s="33"/>
      <c r="R225" s="33"/>
      <c r="S225" s="33"/>
      <c r="T225" s="32"/>
      <c r="U225" s="33"/>
      <c r="V225" s="33"/>
      <c r="W225" s="33"/>
      <c r="X225" s="33"/>
      <c r="Y225" s="32"/>
      <c r="Z225" s="33"/>
      <c r="AA225" s="33"/>
      <c r="AB225" s="33"/>
      <c r="AC225" s="33"/>
      <c r="AD225" s="32"/>
      <c r="AE225" s="33"/>
      <c r="AF225" s="33"/>
      <c r="AG225" s="33"/>
      <c r="AH225" s="33"/>
      <c r="AI225" s="32"/>
      <c r="AJ225" s="15"/>
      <c r="AK225" s="33"/>
      <c r="AL225" s="33"/>
      <c r="AM225" s="33"/>
      <c r="AN225" s="32"/>
      <c r="AO225" s="217"/>
      <c r="AP225" s="217"/>
      <c r="AQ225" s="217"/>
      <c r="AR225" s="217"/>
      <c r="AS225" s="217"/>
      <c r="AT225" s="218"/>
      <c r="AU225" s="218"/>
      <c r="AV225" s="218"/>
      <c r="AW225" s="218"/>
      <c r="AX225" s="218"/>
      <c r="AY225" s="217"/>
      <c r="AZ225" s="217"/>
      <c r="BA225" s="217"/>
      <c r="BB225" s="217"/>
      <c r="BC225" s="217"/>
      <c r="BD225" s="226"/>
    </row>
    <row r="226" spans="1:56" s="8" customFormat="1" ht="42" customHeight="1" x14ac:dyDescent="0.35">
      <c r="A226" s="33"/>
      <c r="B226" s="182"/>
      <c r="C226" s="33"/>
      <c r="D226" s="33"/>
      <c r="E226" s="32"/>
      <c r="F226" s="33"/>
      <c r="G226" s="33"/>
      <c r="H226" s="33"/>
      <c r="I226" s="33"/>
      <c r="J226" s="32"/>
      <c r="K226" s="33"/>
      <c r="L226" s="33"/>
      <c r="M226" s="33"/>
      <c r="N226" s="33"/>
      <c r="O226" s="32"/>
      <c r="P226" s="33"/>
      <c r="Q226" s="33"/>
      <c r="R226" s="33"/>
      <c r="S226" s="33"/>
      <c r="T226" s="32"/>
      <c r="U226" s="33"/>
      <c r="V226" s="33"/>
      <c r="W226" s="33"/>
      <c r="X226" s="33"/>
      <c r="Y226" s="32"/>
      <c r="Z226" s="33"/>
      <c r="AA226" s="33"/>
      <c r="AB226" s="33"/>
      <c r="AC226" s="33"/>
      <c r="AD226" s="32"/>
      <c r="AE226" s="33"/>
      <c r="AF226" s="33"/>
      <c r="AG226" s="33"/>
      <c r="AH226" s="33"/>
      <c r="AI226" s="32"/>
      <c r="AJ226" s="15"/>
      <c r="AK226" s="33"/>
      <c r="AL226" s="33"/>
      <c r="AM226" s="33"/>
      <c r="AN226" s="32"/>
      <c r="AO226" s="217"/>
      <c r="AP226" s="217"/>
      <c r="AQ226" s="217"/>
      <c r="AR226" s="217"/>
      <c r="AS226" s="217"/>
      <c r="AT226" s="218"/>
      <c r="AU226" s="218"/>
      <c r="AV226" s="218"/>
      <c r="AW226" s="218"/>
      <c r="AX226" s="218"/>
      <c r="AY226" s="217"/>
      <c r="AZ226" s="217"/>
      <c r="BA226" s="217"/>
      <c r="BB226" s="217"/>
      <c r="BC226" s="217"/>
      <c r="BD226" s="226"/>
    </row>
    <row r="227" spans="1:56" s="8" customFormat="1" ht="42" customHeight="1" x14ac:dyDescent="0.35">
      <c r="A227" s="33"/>
      <c r="B227" s="182"/>
      <c r="C227" s="33"/>
      <c r="D227" s="33"/>
      <c r="E227" s="32"/>
      <c r="F227" s="33"/>
      <c r="G227" s="33"/>
      <c r="H227" s="33"/>
      <c r="I227" s="33"/>
      <c r="J227" s="32"/>
      <c r="K227" s="33"/>
      <c r="L227" s="33"/>
      <c r="M227" s="33"/>
      <c r="N227" s="33"/>
      <c r="O227" s="32"/>
      <c r="P227" s="33"/>
      <c r="Q227" s="33"/>
      <c r="R227" s="33"/>
      <c r="S227" s="33"/>
      <c r="T227" s="32"/>
      <c r="U227" s="33"/>
      <c r="V227" s="33"/>
      <c r="W227" s="33"/>
      <c r="X227" s="33"/>
      <c r="Y227" s="32"/>
      <c r="Z227" s="33"/>
      <c r="AA227" s="33"/>
      <c r="AB227" s="33"/>
      <c r="AC227" s="33"/>
      <c r="AD227" s="32"/>
      <c r="AE227" s="33"/>
      <c r="AF227" s="33"/>
      <c r="AG227" s="33"/>
      <c r="AH227" s="33"/>
      <c r="AI227" s="32"/>
      <c r="AJ227" s="15"/>
      <c r="AK227" s="33"/>
      <c r="AL227" s="33"/>
      <c r="AM227" s="33"/>
      <c r="AN227" s="32"/>
      <c r="AO227" s="217"/>
      <c r="AP227" s="217"/>
      <c r="AQ227" s="217"/>
      <c r="AR227" s="217"/>
      <c r="AS227" s="217"/>
      <c r="AT227" s="218"/>
      <c r="AU227" s="218"/>
      <c r="AV227" s="218"/>
      <c r="AW227" s="218"/>
      <c r="AX227" s="218"/>
      <c r="AY227" s="217"/>
      <c r="AZ227" s="217"/>
      <c r="BA227" s="217"/>
      <c r="BB227" s="217"/>
      <c r="BC227" s="217"/>
      <c r="BD227" s="226"/>
    </row>
    <row r="228" spans="1:56" s="8" customFormat="1" ht="42" customHeight="1" x14ac:dyDescent="0.35">
      <c r="A228" s="33"/>
      <c r="B228" s="182"/>
      <c r="C228" s="33"/>
      <c r="D228" s="33"/>
      <c r="E228" s="32"/>
      <c r="F228" s="33"/>
      <c r="G228" s="33"/>
      <c r="H228" s="33"/>
      <c r="I228" s="33"/>
      <c r="J228" s="32"/>
      <c r="K228" s="33"/>
      <c r="L228" s="33"/>
      <c r="M228" s="33"/>
      <c r="N228" s="33"/>
      <c r="O228" s="32"/>
      <c r="P228" s="33"/>
      <c r="Q228" s="33"/>
      <c r="R228" s="33"/>
      <c r="S228" s="33"/>
      <c r="T228" s="32"/>
      <c r="U228" s="33"/>
      <c r="V228" s="33"/>
      <c r="W228" s="33"/>
      <c r="X228" s="33"/>
      <c r="Y228" s="32"/>
      <c r="Z228" s="33"/>
      <c r="AA228" s="33"/>
      <c r="AB228" s="33"/>
      <c r="AC228" s="33"/>
      <c r="AD228" s="32"/>
      <c r="AE228" s="33"/>
      <c r="AF228" s="33"/>
      <c r="AG228" s="33"/>
      <c r="AH228" s="33"/>
      <c r="AI228" s="32"/>
      <c r="AJ228" s="15"/>
      <c r="AK228" s="33"/>
      <c r="AL228" s="33"/>
      <c r="AM228" s="33"/>
      <c r="AN228" s="32"/>
      <c r="AO228" s="217"/>
      <c r="AP228" s="217"/>
      <c r="AQ228" s="217"/>
      <c r="AR228" s="217"/>
      <c r="AS228" s="217"/>
      <c r="AT228" s="218"/>
      <c r="AU228" s="218"/>
      <c r="AV228" s="218"/>
      <c r="AW228" s="218"/>
      <c r="AX228" s="218"/>
      <c r="AY228" s="217"/>
      <c r="AZ228" s="217"/>
      <c r="BA228" s="217"/>
      <c r="BB228" s="217"/>
      <c r="BC228" s="217"/>
      <c r="BD228" s="226"/>
    </row>
    <row r="229" spans="1:56" s="8" customFormat="1" ht="42" customHeight="1" x14ac:dyDescent="0.35">
      <c r="A229" s="33"/>
      <c r="B229" s="182"/>
      <c r="C229" s="33"/>
      <c r="D229" s="33"/>
      <c r="E229" s="32"/>
      <c r="F229" s="33"/>
      <c r="G229" s="33"/>
      <c r="H229" s="33"/>
      <c r="I229" s="33"/>
      <c r="J229" s="32"/>
      <c r="K229" s="33"/>
      <c r="L229" s="33"/>
      <c r="M229" s="33"/>
      <c r="N229" s="33"/>
      <c r="O229" s="32"/>
      <c r="P229" s="33"/>
      <c r="Q229" s="33"/>
      <c r="R229" s="33"/>
      <c r="S229" s="33"/>
      <c r="T229" s="32"/>
      <c r="U229" s="33"/>
      <c r="V229" s="33"/>
      <c r="W229" s="33"/>
      <c r="X229" s="33"/>
      <c r="Y229" s="32"/>
      <c r="Z229" s="33"/>
      <c r="AA229" s="33"/>
      <c r="AB229" s="33"/>
      <c r="AC229" s="33"/>
      <c r="AD229" s="32"/>
      <c r="AE229" s="33"/>
      <c r="AF229" s="33"/>
      <c r="AG229" s="33"/>
      <c r="AH229" s="33"/>
      <c r="AI229" s="32"/>
      <c r="AJ229" s="15"/>
      <c r="AK229" s="33"/>
      <c r="AL229" s="33"/>
      <c r="AM229" s="33"/>
      <c r="AN229" s="32"/>
      <c r="AO229" s="217"/>
      <c r="AP229" s="217"/>
      <c r="AQ229" s="217"/>
      <c r="AR229" s="217"/>
      <c r="AS229" s="217"/>
      <c r="AT229" s="218"/>
      <c r="AU229" s="218"/>
      <c r="AV229" s="218"/>
      <c r="AW229" s="218"/>
      <c r="AX229" s="218"/>
      <c r="AY229" s="217"/>
      <c r="AZ229" s="217"/>
      <c r="BA229" s="217"/>
      <c r="BB229" s="217"/>
      <c r="BC229" s="217"/>
      <c r="BD229" s="226"/>
    </row>
    <row r="230" spans="1:56" s="8" customFormat="1" ht="42" customHeight="1" x14ac:dyDescent="0.35">
      <c r="A230" s="33"/>
      <c r="B230" s="182"/>
      <c r="C230" s="33"/>
      <c r="D230" s="33"/>
      <c r="E230" s="32"/>
      <c r="F230" s="33"/>
      <c r="G230" s="33"/>
      <c r="H230" s="33"/>
      <c r="I230" s="33"/>
      <c r="J230" s="32"/>
      <c r="K230" s="33"/>
      <c r="L230" s="33"/>
      <c r="M230" s="33"/>
      <c r="N230" s="33"/>
      <c r="O230" s="32"/>
      <c r="P230" s="33"/>
      <c r="Q230" s="33"/>
      <c r="R230" s="33"/>
      <c r="S230" s="33"/>
      <c r="T230" s="32"/>
      <c r="U230" s="33"/>
      <c r="V230" s="33"/>
      <c r="W230" s="33"/>
      <c r="X230" s="33"/>
      <c r="Y230" s="32"/>
      <c r="Z230" s="33"/>
      <c r="AA230" s="33"/>
      <c r="AB230" s="33"/>
      <c r="AC230" s="33"/>
      <c r="AD230" s="32"/>
      <c r="AE230" s="33"/>
      <c r="AF230" s="33"/>
      <c r="AG230" s="33"/>
      <c r="AH230" s="33"/>
      <c r="AI230" s="32"/>
      <c r="AJ230" s="15"/>
      <c r="AK230" s="33"/>
      <c r="AL230" s="33"/>
      <c r="AM230" s="33"/>
      <c r="AN230" s="32"/>
      <c r="AO230" s="217"/>
      <c r="AP230" s="217"/>
      <c r="AQ230" s="217"/>
      <c r="AR230" s="217"/>
      <c r="AS230" s="217"/>
      <c r="AT230" s="218"/>
      <c r="AU230" s="218"/>
      <c r="AV230" s="218"/>
      <c r="AW230" s="218"/>
      <c r="AX230" s="218"/>
      <c r="AY230" s="217"/>
      <c r="AZ230" s="217"/>
      <c r="BA230" s="217"/>
      <c r="BB230" s="217"/>
      <c r="BC230" s="217"/>
      <c r="BD230" s="226"/>
    </row>
    <row r="231" spans="1:56" s="8" customFormat="1" ht="42" customHeight="1" x14ac:dyDescent="0.35">
      <c r="A231" s="33"/>
      <c r="B231" s="182"/>
      <c r="C231" s="33"/>
      <c r="D231" s="33"/>
      <c r="E231" s="32"/>
      <c r="F231" s="33"/>
      <c r="G231" s="33"/>
      <c r="H231" s="33"/>
      <c r="I231" s="33"/>
      <c r="J231" s="32"/>
      <c r="K231" s="33"/>
      <c r="L231" s="33"/>
      <c r="M231" s="33"/>
      <c r="N231" s="33"/>
      <c r="O231" s="32"/>
      <c r="P231" s="33"/>
      <c r="Q231" s="33"/>
      <c r="R231" s="33"/>
      <c r="S231" s="33"/>
      <c r="T231" s="32"/>
      <c r="U231" s="33"/>
      <c r="V231" s="33"/>
      <c r="W231" s="33"/>
      <c r="X231" s="33"/>
      <c r="Y231" s="32"/>
      <c r="Z231" s="33"/>
      <c r="AA231" s="33"/>
      <c r="AB231" s="33"/>
      <c r="AC231" s="33"/>
      <c r="AD231" s="32"/>
      <c r="AE231" s="33"/>
      <c r="AF231" s="33"/>
      <c r="AG231" s="33"/>
      <c r="AH231" s="33"/>
      <c r="AI231" s="32"/>
      <c r="AJ231" s="15"/>
      <c r="AK231" s="33"/>
      <c r="AL231" s="33"/>
      <c r="AM231" s="33"/>
      <c r="AN231" s="32"/>
      <c r="AO231" s="217"/>
      <c r="AP231" s="217"/>
      <c r="AQ231" s="217"/>
      <c r="AR231" s="217"/>
      <c r="AS231" s="217"/>
      <c r="AT231" s="218"/>
      <c r="AU231" s="218"/>
      <c r="AV231" s="218"/>
      <c r="AW231" s="218"/>
      <c r="AX231" s="218"/>
      <c r="AY231" s="217"/>
      <c r="AZ231" s="217"/>
      <c r="BA231" s="217"/>
      <c r="BB231" s="217"/>
      <c r="BC231" s="217"/>
      <c r="BD231" s="226"/>
    </row>
    <row r="232" spans="1:56" s="8" customFormat="1" ht="42" customHeight="1" x14ac:dyDescent="0.35">
      <c r="A232" s="33"/>
      <c r="B232" s="182"/>
      <c r="C232" s="33"/>
      <c r="D232" s="33"/>
      <c r="E232" s="32"/>
      <c r="F232" s="33"/>
      <c r="G232" s="33"/>
      <c r="H232" s="33"/>
      <c r="I232" s="33"/>
      <c r="J232" s="32"/>
      <c r="K232" s="33"/>
      <c r="L232" s="33"/>
      <c r="M232" s="33"/>
      <c r="N232" s="33"/>
      <c r="O232" s="32"/>
      <c r="P232" s="33"/>
      <c r="Q232" s="33"/>
      <c r="R232" s="33"/>
      <c r="S232" s="33"/>
      <c r="T232" s="32"/>
      <c r="U232" s="33"/>
      <c r="V232" s="33"/>
      <c r="W232" s="33"/>
      <c r="X232" s="33"/>
      <c r="Y232" s="32"/>
      <c r="Z232" s="33"/>
      <c r="AA232" s="33"/>
      <c r="AB232" s="33"/>
      <c r="AC232" s="33"/>
      <c r="AD232" s="32"/>
      <c r="AE232" s="33"/>
      <c r="AF232" s="33"/>
      <c r="AG232" s="33"/>
      <c r="AH232" s="33"/>
      <c r="AI232" s="32"/>
      <c r="AJ232" s="15"/>
      <c r="AK232" s="33"/>
      <c r="AL232" s="33"/>
      <c r="AM232" s="33"/>
      <c r="AN232" s="32"/>
      <c r="AO232" s="217"/>
      <c r="AP232" s="217"/>
      <c r="AQ232" s="217"/>
      <c r="AR232" s="217"/>
      <c r="AS232" s="217"/>
      <c r="AT232" s="218"/>
      <c r="AU232" s="218"/>
      <c r="AV232" s="218"/>
      <c r="AW232" s="218"/>
      <c r="AX232" s="218"/>
      <c r="AY232" s="217"/>
      <c r="AZ232" s="217"/>
      <c r="BA232" s="217"/>
      <c r="BB232" s="217"/>
      <c r="BC232" s="217"/>
      <c r="BD232" s="226"/>
    </row>
    <row r="233" spans="1:56" s="8" customFormat="1" ht="42" customHeight="1" x14ac:dyDescent="0.35">
      <c r="A233" s="33"/>
      <c r="B233" s="182"/>
      <c r="C233" s="33"/>
      <c r="D233" s="33"/>
      <c r="E233" s="32"/>
      <c r="F233" s="33"/>
      <c r="G233" s="33"/>
      <c r="H233" s="33"/>
      <c r="I233" s="33"/>
      <c r="J233" s="32"/>
      <c r="K233" s="33"/>
      <c r="L233" s="33"/>
      <c r="M233" s="33"/>
      <c r="N233" s="33"/>
      <c r="O233" s="32"/>
      <c r="P233" s="33"/>
      <c r="Q233" s="33"/>
      <c r="R233" s="33"/>
      <c r="S233" s="33"/>
      <c r="T233" s="32"/>
      <c r="U233" s="33"/>
      <c r="V233" s="33"/>
      <c r="W233" s="33"/>
      <c r="X233" s="33"/>
      <c r="Y233" s="32"/>
      <c r="Z233" s="33"/>
      <c r="AA233" s="33"/>
      <c r="AB233" s="33"/>
      <c r="AC233" s="33"/>
      <c r="AD233" s="32"/>
      <c r="AE233" s="33"/>
      <c r="AF233" s="33"/>
      <c r="AG233" s="33"/>
      <c r="AH233" s="33"/>
      <c r="AI233" s="32"/>
      <c r="AJ233" s="15"/>
      <c r="AK233" s="33"/>
      <c r="AL233" s="33"/>
      <c r="AM233" s="33"/>
      <c r="AN233" s="32"/>
      <c r="AO233" s="217"/>
      <c r="AP233" s="217"/>
      <c r="AQ233" s="217"/>
      <c r="AR233" s="217"/>
      <c r="AS233" s="217"/>
      <c r="AT233" s="218"/>
      <c r="AU233" s="218"/>
      <c r="AV233" s="218"/>
      <c r="AW233" s="218"/>
      <c r="AX233" s="218"/>
      <c r="AY233" s="217"/>
      <c r="AZ233" s="217"/>
      <c r="BA233" s="217"/>
      <c r="BB233" s="217"/>
      <c r="BC233" s="217"/>
      <c r="BD233" s="226"/>
    </row>
    <row r="234" spans="1:56" s="8" customFormat="1" ht="42" customHeight="1" x14ac:dyDescent="0.35">
      <c r="A234" s="33"/>
      <c r="B234" s="182"/>
      <c r="C234" s="33"/>
      <c r="D234" s="33"/>
      <c r="E234" s="32"/>
      <c r="F234" s="33"/>
      <c r="G234" s="33"/>
      <c r="H234" s="33"/>
      <c r="I234" s="33"/>
      <c r="J234" s="32"/>
      <c r="K234" s="33"/>
      <c r="L234" s="33"/>
      <c r="M234" s="33"/>
      <c r="N234" s="33"/>
      <c r="O234" s="32"/>
      <c r="P234" s="33"/>
      <c r="Q234" s="33"/>
      <c r="R234" s="33"/>
      <c r="S234" s="33"/>
      <c r="T234" s="32"/>
      <c r="U234" s="33"/>
      <c r="V234" s="33"/>
      <c r="W234" s="33"/>
      <c r="X234" s="33"/>
      <c r="Y234" s="32"/>
      <c r="Z234" s="33"/>
      <c r="AA234" s="33"/>
      <c r="AB234" s="33"/>
      <c r="AC234" s="33"/>
      <c r="AD234" s="32"/>
      <c r="AE234" s="33"/>
      <c r="AF234" s="33"/>
      <c r="AG234" s="33"/>
      <c r="AH234" s="33"/>
      <c r="AI234" s="32"/>
      <c r="AJ234" s="15"/>
      <c r="AK234" s="33"/>
      <c r="AL234" s="33"/>
      <c r="AM234" s="33"/>
      <c r="AN234" s="32"/>
      <c r="AO234" s="217"/>
      <c r="AP234" s="217"/>
      <c r="AQ234" s="217"/>
      <c r="AR234" s="217"/>
      <c r="AS234" s="217"/>
      <c r="AT234" s="218"/>
      <c r="AU234" s="218"/>
      <c r="AV234" s="218"/>
      <c r="AW234" s="218"/>
      <c r="AX234" s="218"/>
      <c r="AY234" s="217"/>
      <c r="AZ234" s="217"/>
      <c r="BA234" s="217"/>
      <c r="BB234" s="217"/>
      <c r="BC234" s="217"/>
      <c r="BD234" s="226"/>
    </row>
    <row r="235" spans="1:56" s="8" customFormat="1" ht="42" customHeight="1" x14ac:dyDescent="0.35">
      <c r="A235" s="33"/>
      <c r="B235" s="182"/>
      <c r="C235" s="33"/>
      <c r="D235" s="33"/>
      <c r="E235" s="32"/>
      <c r="F235" s="33"/>
      <c r="G235" s="33"/>
      <c r="H235" s="33"/>
      <c r="I235" s="33"/>
      <c r="J235" s="32"/>
      <c r="K235" s="33"/>
      <c r="L235" s="33"/>
      <c r="M235" s="33"/>
      <c r="N235" s="33"/>
      <c r="O235" s="32"/>
      <c r="P235" s="33"/>
      <c r="Q235" s="33"/>
      <c r="R235" s="33"/>
      <c r="S235" s="33"/>
      <c r="T235" s="32"/>
      <c r="U235" s="33"/>
      <c r="V235" s="33"/>
      <c r="W235" s="33"/>
      <c r="X235" s="33"/>
      <c r="Y235" s="32"/>
      <c r="Z235" s="33"/>
      <c r="AA235" s="33"/>
      <c r="AB235" s="33"/>
      <c r="AC235" s="33"/>
      <c r="AD235" s="32"/>
      <c r="AE235" s="33"/>
      <c r="AF235" s="33"/>
      <c r="AG235" s="33"/>
      <c r="AH235" s="33"/>
      <c r="AI235" s="32"/>
      <c r="AJ235" s="15"/>
      <c r="AK235" s="33"/>
      <c r="AL235" s="33"/>
      <c r="AM235" s="33"/>
      <c r="AN235" s="32"/>
      <c r="AO235" s="217"/>
      <c r="AP235" s="217"/>
      <c r="AQ235" s="217"/>
      <c r="AR235" s="217"/>
      <c r="AS235" s="217"/>
      <c r="AT235" s="218"/>
      <c r="AU235" s="218"/>
      <c r="AV235" s="218"/>
      <c r="AW235" s="218"/>
      <c r="AX235" s="218"/>
      <c r="AY235" s="217"/>
      <c r="AZ235" s="217"/>
      <c r="BA235" s="217"/>
      <c r="BB235" s="217"/>
      <c r="BC235" s="217"/>
      <c r="BD235" s="226"/>
    </row>
    <row r="236" spans="1:56" s="8" customFormat="1" ht="42" customHeight="1" x14ac:dyDescent="0.35">
      <c r="A236" s="33"/>
      <c r="B236" s="182"/>
      <c r="C236" s="33"/>
      <c r="D236" s="33"/>
      <c r="E236" s="32"/>
      <c r="F236" s="33"/>
      <c r="G236" s="33"/>
      <c r="H236" s="33"/>
      <c r="I236" s="33"/>
      <c r="J236" s="32"/>
      <c r="K236" s="33"/>
      <c r="L236" s="33"/>
      <c r="M236" s="33"/>
      <c r="N236" s="33"/>
      <c r="O236" s="32"/>
      <c r="P236" s="33"/>
      <c r="Q236" s="33"/>
      <c r="R236" s="33"/>
      <c r="S236" s="33"/>
      <c r="T236" s="32"/>
      <c r="U236" s="33"/>
      <c r="V236" s="33"/>
      <c r="W236" s="33"/>
      <c r="X236" s="33"/>
      <c r="Y236" s="32"/>
      <c r="Z236" s="33"/>
      <c r="AA236" s="33"/>
      <c r="AB236" s="33"/>
      <c r="AC236" s="33"/>
      <c r="AD236" s="32"/>
      <c r="AE236" s="33"/>
      <c r="AF236" s="33"/>
      <c r="AG236" s="33"/>
      <c r="AH236" s="33"/>
      <c r="AI236" s="32"/>
      <c r="AJ236" s="15"/>
      <c r="AK236" s="33"/>
      <c r="AL236" s="33"/>
      <c r="AM236" s="33"/>
      <c r="AN236" s="32"/>
      <c r="AO236" s="217"/>
      <c r="AP236" s="217"/>
      <c r="AQ236" s="217"/>
      <c r="AR236" s="217"/>
      <c r="AS236" s="217"/>
      <c r="AT236" s="218"/>
      <c r="AU236" s="218"/>
      <c r="AV236" s="218"/>
      <c r="AW236" s="218"/>
      <c r="AX236" s="218"/>
      <c r="AY236" s="217"/>
      <c r="AZ236" s="217"/>
      <c r="BA236" s="217"/>
      <c r="BB236" s="217"/>
      <c r="BC236" s="217"/>
      <c r="BD236" s="226"/>
    </row>
    <row r="237" spans="1:56" s="8" customFormat="1" ht="42" customHeight="1" x14ac:dyDescent="0.35">
      <c r="A237" s="33"/>
      <c r="B237" s="182"/>
      <c r="C237" s="33"/>
      <c r="D237" s="33"/>
      <c r="E237" s="32"/>
      <c r="F237" s="33"/>
      <c r="G237" s="33"/>
      <c r="H237" s="33"/>
      <c r="I237" s="33"/>
      <c r="J237" s="32"/>
      <c r="K237" s="33"/>
      <c r="L237" s="33"/>
      <c r="M237" s="33"/>
      <c r="N237" s="33"/>
      <c r="O237" s="32"/>
      <c r="P237" s="33"/>
      <c r="Q237" s="33"/>
      <c r="R237" s="33"/>
      <c r="S237" s="33"/>
      <c r="T237" s="32"/>
      <c r="U237" s="33"/>
      <c r="V237" s="33"/>
      <c r="W237" s="33"/>
      <c r="X237" s="33"/>
      <c r="Y237" s="32"/>
      <c r="Z237" s="33"/>
      <c r="AA237" s="33"/>
      <c r="AB237" s="33"/>
      <c r="AC237" s="33"/>
      <c r="AD237" s="32"/>
      <c r="AE237" s="33"/>
      <c r="AF237" s="33"/>
      <c r="AG237" s="33"/>
      <c r="AH237" s="33"/>
      <c r="AI237" s="32"/>
      <c r="AJ237" s="15"/>
      <c r="AK237" s="33"/>
      <c r="AL237" s="33"/>
      <c r="AM237" s="33"/>
      <c r="AN237" s="32"/>
      <c r="AO237" s="217"/>
      <c r="AP237" s="217"/>
      <c r="AQ237" s="217"/>
      <c r="AR237" s="217"/>
      <c r="AS237" s="217"/>
      <c r="AT237" s="218"/>
      <c r="AU237" s="218"/>
      <c r="AV237" s="218"/>
      <c r="AW237" s="218"/>
      <c r="AX237" s="218"/>
      <c r="AY237" s="217"/>
      <c r="AZ237" s="217"/>
      <c r="BA237" s="217"/>
      <c r="BB237" s="217"/>
      <c r="BC237" s="217"/>
      <c r="BD237" s="226"/>
    </row>
    <row r="238" spans="1:56" s="8" customFormat="1" ht="42" customHeight="1" x14ac:dyDescent="0.35">
      <c r="A238" s="33"/>
      <c r="B238" s="182"/>
      <c r="C238" s="33"/>
      <c r="D238" s="33"/>
      <c r="E238" s="32"/>
      <c r="F238" s="33"/>
      <c r="G238" s="33"/>
      <c r="H238" s="33"/>
      <c r="I238" s="33"/>
      <c r="J238" s="32"/>
      <c r="K238" s="33"/>
      <c r="L238" s="33"/>
      <c r="M238" s="33"/>
      <c r="N238" s="33"/>
      <c r="O238" s="32"/>
      <c r="P238" s="33"/>
      <c r="Q238" s="33"/>
      <c r="R238" s="33"/>
      <c r="S238" s="33"/>
      <c r="T238" s="32"/>
      <c r="U238" s="33"/>
      <c r="V238" s="33"/>
      <c r="W238" s="33"/>
      <c r="X238" s="33"/>
      <c r="Y238" s="32"/>
      <c r="Z238" s="33"/>
      <c r="AA238" s="33"/>
      <c r="AB238" s="33"/>
      <c r="AC238" s="33"/>
      <c r="AD238" s="32"/>
      <c r="AE238" s="33"/>
      <c r="AF238" s="33"/>
      <c r="AG238" s="33"/>
      <c r="AH238" s="33"/>
      <c r="AI238" s="32"/>
      <c r="AJ238" s="15"/>
      <c r="AK238" s="33"/>
      <c r="AL238" s="33"/>
      <c r="AM238" s="33"/>
      <c r="AN238" s="32"/>
      <c r="AO238" s="217"/>
      <c r="AP238" s="217"/>
      <c r="AQ238" s="217"/>
      <c r="AR238" s="217"/>
      <c r="AS238" s="217"/>
      <c r="AT238" s="218"/>
      <c r="AU238" s="218"/>
      <c r="AV238" s="218"/>
      <c r="AW238" s="218"/>
      <c r="AX238" s="218"/>
      <c r="AY238" s="217"/>
      <c r="AZ238" s="217"/>
      <c r="BA238" s="217"/>
      <c r="BB238" s="217"/>
      <c r="BC238" s="217"/>
      <c r="BD238" s="226"/>
    </row>
    <row r="239" spans="1:56" s="8" customFormat="1" ht="42" customHeight="1" x14ac:dyDescent="0.35">
      <c r="A239" s="33"/>
      <c r="B239" s="182"/>
      <c r="C239" s="33"/>
      <c r="D239" s="33"/>
      <c r="E239" s="32"/>
      <c r="F239" s="33"/>
      <c r="G239" s="33"/>
      <c r="H239" s="33"/>
      <c r="I239" s="33"/>
      <c r="J239" s="32"/>
      <c r="K239" s="33"/>
      <c r="L239" s="33"/>
      <c r="M239" s="33"/>
      <c r="N239" s="33"/>
      <c r="O239" s="32"/>
      <c r="P239" s="33"/>
      <c r="Q239" s="33"/>
      <c r="R239" s="33"/>
      <c r="S239" s="33"/>
      <c r="T239" s="32"/>
      <c r="U239" s="33"/>
      <c r="V239" s="33"/>
      <c r="W239" s="33"/>
      <c r="X239" s="33"/>
      <c r="Y239" s="32"/>
      <c r="Z239" s="33"/>
      <c r="AA239" s="33"/>
      <c r="AB239" s="33"/>
      <c r="AC239" s="33"/>
      <c r="AD239" s="32"/>
      <c r="AE239" s="33"/>
      <c r="AF239" s="33"/>
      <c r="AG239" s="33"/>
      <c r="AH239" s="33"/>
      <c r="AI239" s="32"/>
      <c r="AJ239" s="15"/>
      <c r="AK239" s="33"/>
      <c r="AL239" s="33"/>
      <c r="AM239" s="33"/>
      <c r="AN239" s="32"/>
      <c r="AO239" s="217"/>
      <c r="AP239" s="217"/>
      <c r="AQ239" s="217"/>
      <c r="AR239" s="217"/>
      <c r="AS239" s="217"/>
      <c r="AT239" s="218"/>
      <c r="AU239" s="218"/>
      <c r="AV239" s="218"/>
      <c r="AW239" s="218"/>
      <c r="AX239" s="218"/>
      <c r="AY239" s="217"/>
      <c r="AZ239" s="217"/>
      <c r="BA239" s="217"/>
      <c r="BB239" s="217"/>
      <c r="BC239" s="217"/>
      <c r="BD239" s="226"/>
    </row>
    <row r="240" spans="1:56" s="8" customFormat="1" ht="42" customHeight="1" x14ac:dyDescent="0.35">
      <c r="A240" s="33"/>
      <c r="B240" s="182"/>
      <c r="C240" s="33"/>
      <c r="D240" s="33"/>
      <c r="E240" s="32"/>
      <c r="F240" s="33"/>
      <c r="G240" s="33"/>
      <c r="H240" s="33"/>
      <c r="I240" s="33"/>
      <c r="J240" s="32"/>
      <c r="K240" s="33"/>
      <c r="L240" s="33"/>
      <c r="M240" s="33"/>
      <c r="N240" s="33"/>
      <c r="O240" s="32"/>
      <c r="P240" s="33"/>
      <c r="Q240" s="33"/>
      <c r="R240" s="33"/>
      <c r="S240" s="33"/>
      <c r="T240" s="32"/>
      <c r="U240" s="33"/>
      <c r="V240" s="33"/>
      <c r="W240" s="33"/>
      <c r="X240" s="33"/>
      <c r="Y240" s="32"/>
      <c r="Z240" s="33"/>
      <c r="AA240" s="33"/>
      <c r="AB240" s="33"/>
      <c r="AC240" s="33"/>
      <c r="AD240" s="32"/>
      <c r="AE240" s="33"/>
      <c r="AF240" s="33"/>
      <c r="AG240" s="33"/>
      <c r="AH240" s="33"/>
      <c r="AI240" s="32"/>
      <c r="AJ240" s="15"/>
      <c r="AK240" s="33"/>
      <c r="AL240" s="33"/>
      <c r="AM240" s="33"/>
      <c r="AN240" s="32"/>
      <c r="AO240" s="217"/>
      <c r="AP240" s="217"/>
      <c r="AQ240" s="217"/>
      <c r="AR240" s="217"/>
      <c r="AS240" s="217"/>
      <c r="AT240" s="218"/>
      <c r="AU240" s="218"/>
      <c r="AV240" s="218"/>
      <c r="AW240" s="218"/>
      <c r="AX240" s="218"/>
      <c r="AY240" s="217"/>
      <c r="AZ240" s="217"/>
      <c r="BA240" s="217"/>
      <c r="BB240" s="217"/>
      <c r="BC240" s="217"/>
      <c r="BD240" s="226"/>
    </row>
    <row r="241" spans="1:56" s="8" customFormat="1" ht="42" customHeight="1" x14ac:dyDescent="0.35">
      <c r="A241" s="33"/>
      <c r="B241" s="182"/>
      <c r="C241" s="33"/>
      <c r="D241" s="33"/>
      <c r="E241" s="32"/>
      <c r="F241" s="33"/>
      <c r="G241" s="33"/>
      <c r="H241" s="33"/>
      <c r="I241" s="33"/>
      <c r="J241" s="32"/>
      <c r="K241" s="33"/>
      <c r="L241" s="33"/>
      <c r="M241" s="33"/>
      <c r="N241" s="33"/>
      <c r="O241" s="32"/>
      <c r="P241" s="33"/>
      <c r="Q241" s="33"/>
      <c r="R241" s="33"/>
      <c r="S241" s="33"/>
      <c r="T241" s="32"/>
      <c r="U241" s="33"/>
      <c r="V241" s="33"/>
      <c r="W241" s="33"/>
      <c r="X241" s="33"/>
      <c r="Y241" s="32"/>
      <c r="Z241" s="33"/>
      <c r="AA241" s="33"/>
      <c r="AB241" s="33"/>
      <c r="AC241" s="33"/>
      <c r="AD241" s="32"/>
      <c r="AE241" s="33"/>
      <c r="AF241" s="33"/>
      <c r="AG241" s="33"/>
      <c r="AH241" s="33"/>
      <c r="AI241" s="32"/>
      <c r="AJ241" s="15"/>
      <c r="AK241" s="33"/>
      <c r="AL241" s="33"/>
      <c r="AM241" s="33"/>
      <c r="AN241" s="32"/>
      <c r="AO241" s="217"/>
      <c r="AP241" s="217"/>
      <c r="AQ241" s="217"/>
      <c r="AR241" s="217"/>
      <c r="AS241" s="217"/>
      <c r="AT241" s="218"/>
      <c r="AU241" s="218"/>
      <c r="AV241" s="218"/>
      <c r="AW241" s="218"/>
      <c r="AX241" s="218"/>
      <c r="AY241" s="217"/>
      <c r="AZ241" s="217"/>
      <c r="BA241" s="217"/>
      <c r="BB241" s="217"/>
      <c r="BC241" s="217"/>
      <c r="BD241" s="226"/>
    </row>
    <row r="242" spans="1:56" s="8" customFormat="1" ht="42" customHeight="1" x14ac:dyDescent="0.35">
      <c r="A242" s="33"/>
      <c r="B242" s="182"/>
      <c r="C242" s="33"/>
      <c r="D242" s="33"/>
      <c r="E242" s="32"/>
      <c r="F242" s="33"/>
      <c r="G242" s="33"/>
      <c r="H242" s="33"/>
      <c r="I242" s="33"/>
      <c r="J242" s="32"/>
      <c r="K242" s="33"/>
      <c r="L242" s="33"/>
      <c r="M242" s="33"/>
      <c r="N242" s="33"/>
      <c r="O242" s="32"/>
      <c r="P242" s="33"/>
      <c r="Q242" s="33"/>
      <c r="R242" s="33"/>
      <c r="S242" s="33"/>
      <c r="T242" s="32"/>
      <c r="U242" s="33"/>
      <c r="V242" s="33"/>
      <c r="W242" s="33"/>
      <c r="X242" s="33"/>
      <c r="Y242" s="32"/>
      <c r="Z242" s="33"/>
      <c r="AA242" s="33"/>
      <c r="AB242" s="33"/>
      <c r="AC242" s="33"/>
      <c r="AD242" s="32"/>
      <c r="AE242" s="33"/>
      <c r="AF242" s="33"/>
      <c r="AG242" s="33"/>
      <c r="AH242" s="33"/>
      <c r="AI242" s="32"/>
      <c r="AJ242" s="15"/>
      <c r="AK242" s="33"/>
      <c r="AL242" s="33"/>
      <c r="AM242" s="33"/>
      <c r="AN242" s="32"/>
      <c r="AO242" s="217"/>
      <c r="AP242" s="217"/>
      <c r="AQ242" s="217"/>
      <c r="AR242" s="217"/>
      <c r="AS242" s="217"/>
      <c r="AT242" s="218"/>
      <c r="AU242" s="218"/>
      <c r="AV242" s="218"/>
      <c r="AW242" s="218"/>
      <c r="AX242" s="218"/>
      <c r="AY242" s="217"/>
      <c r="AZ242" s="217"/>
      <c r="BA242" s="217"/>
      <c r="BB242" s="217"/>
      <c r="BC242" s="217"/>
      <c r="BD242" s="226"/>
    </row>
    <row r="243" spans="1:56" s="8" customFormat="1" ht="42" customHeight="1" x14ac:dyDescent="0.35">
      <c r="A243" s="33"/>
      <c r="B243" s="182"/>
      <c r="C243" s="33"/>
      <c r="D243" s="33"/>
      <c r="E243" s="32"/>
      <c r="F243" s="33"/>
      <c r="G243" s="33"/>
      <c r="H243" s="33"/>
      <c r="I243" s="33"/>
      <c r="J243" s="32"/>
      <c r="K243" s="33"/>
      <c r="L243" s="33"/>
      <c r="M243" s="33"/>
      <c r="N243" s="33"/>
      <c r="O243" s="32"/>
      <c r="P243" s="33"/>
      <c r="Q243" s="33"/>
      <c r="R243" s="33"/>
      <c r="S243" s="33"/>
      <c r="T243" s="32"/>
      <c r="U243" s="33"/>
      <c r="V243" s="33"/>
      <c r="W243" s="33"/>
      <c r="X243" s="33"/>
      <c r="Y243" s="32"/>
      <c r="Z243" s="33"/>
      <c r="AA243" s="33"/>
      <c r="AB243" s="33"/>
      <c r="AC243" s="33"/>
      <c r="AD243" s="32"/>
      <c r="AE243" s="33"/>
      <c r="AF243" s="33"/>
      <c r="AG243" s="33"/>
      <c r="AH243" s="33"/>
      <c r="AI243" s="32"/>
      <c r="AJ243" s="15"/>
      <c r="AK243" s="33"/>
      <c r="AL243" s="33"/>
      <c r="AM243" s="33"/>
      <c r="AN243" s="32"/>
      <c r="AO243" s="217"/>
      <c r="AP243" s="217"/>
      <c r="AQ243" s="217"/>
      <c r="AR243" s="217"/>
      <c r="AS243" s="217"/>
      <c r="AT243" s="218"/>
      <c r="AU243" s="218"/>
      <c r="AV243" s="218"/>
      <c r="AW243" s="218"/>
      <c r="AX243" s="218"/>
      <c r="AY243" s="217"/>
      <c r="AZ243" s="217"/>
      <c r="BA243" s="217"/>
      <c r="BB243" s="217"/>
      <c r="BC243" s="217"/>
      <c r="BD243" s="226"/>
    </row>
    <row r="244" spans="1:56" s="8" customFormat="1" ht="42" customHeight="1" x14ac:dyDescent="0.35">
      <c r="A244" s="33"/>
      <c r="B244" s="182"/>
      <c r="C244" s="33"/>
      <c r="D244" s="33"/>
      <c r="E244" s="32"/>
      <c r="F244" s="33"/>
      <c r="G244" s="33"/>
      <c r="H244" s="33"/>
      <c r="I244" s="33"/>
      <c r="J244" s="32"/>
      <c r="K244" s="33"/>
      <c r="L244" s="33"/>
      <c r="M244" s="33"/>
      <c r="N244" s="33"/>
      <c r="O244" s="32"/>
      <c r="P244" s="33"/>
      <c r="Q244" s="33"/>
      <c r="R244" s="33"/>
      <c r="S244" s="33"/>
      <c r="T244" s="32"/>
      <c r="U244" s="33"/>
      <c r="V244" s="33"/>
      <c r="W244" s="33"/>
      <c r="X244" s="33"/>
      <c r="Y244" s="32"/>
      <c r="Z244" s="33"/>
      <c r="AA244" s="33"/>
      <c r="AB244" s="33"/>
      <c r="AC244" s="33"/>
      <c r="AD244" s="32"/>
      <c r="AE244" s="33"/>
      <c r="AF244" s="33"/>
      <c r="AG244" s="33"/>
      <c r="AH244" s="33"/>
      <c r="AI244" s="32"/>
      <c r="AJ244" s="15"/>
      <c r="AK244" s="33"/>
      <c r="AL244" s="33"/>
      <c r="AM244" s="33"/>
      <c r="AN244" s="32"/>
      <c r="AO244" s="217"/>
      <c r="AP244" s="217"/>
      <c r="AQ244" s="217"/>
      <c r="AR244" s="217"/>
      <c r="AS244" s="217"/>
      <c r="AT244" s="218"/>
      <c r="AU244" s="218"/>
      <c r="AV244" s="218"/>
      <c r="AW244" s="218"/>
      <c r="AX244" s="218"/>
      <c r="AY244" s="217"/>
      <c r="AZ244" s="217"/>
      <c r="BA244" s="217"/>
      <c r="BB244" s="217"/>
      <c r="BC244" s="217"/>
      <c r="BD244" s="226"/>
    </row>
    <row r="245" spans="1:56" s="8" customFormat="1" ht="42" customHeight="1" x14ac:dyDescent="0.35">
      <c r="A245" s="33"/>
      <c r="B245" s="182"/>
      <c r="C245" s="33"/>
      <c r="D245" s="33"/>
      <c r="E245" s="32"/>
      <c r="F245" s="33"/>
      <c r="G245" s="33"/>
      <c r="H245" s="33"/>
      <c r="I245" s="33"/>
      <c r="J245" s="32"/>
      <c r="K245" s="33"/>
      <c r="L245" s="33"/>
      <c r="M245" s="33"/>
      <c r="N245" s="33"/>
      <c r="O245" s="32"/>
      <c r="P245" s="33"/>
      <c r="Q245" s="33"/>
      <c r="R245" s="33"/>
      <c r="S245" s="33"/>
      <c r="T245" s="32"/>
      <c r="U245" s="33"/>
      <c r="V245" s="33"/>
      <c r="W245" s="33"/>
      <c r="X245" s="33"/>
      <c r="Y245" s="32"/>
      <c r="Z245" s="33"/>
      <c r="AA245" s="33"/>
      <c r="AB245" s="33"/>
      <c r="AC245" s="33"/>
      <c r="AD245" s="32"/>
      <c r="AE245" s="33"/>
      <c r="AF245" s="33"/>
      <c r="AG245" s="33"/>
      <c r="AH245" s="33"/>
      <c r="AI245" s="32"/>
      <c r="AJ245" s="15"/>
      <c r="AK245" s="33"/>
      <c r="AL245" s="33"/>
      <c r="AM245" s="33"/>
      <c r="AN245" s="32"/>
      <c r="AO245" s="217"/>
      <c r="AP245" s="217"/>
      <c r="AQ245" s="217"/>
      <c r="AR245" s="217"/>
      <c r="AS245" s="217"/>
      <c r="AT245" s="218"/>
      <c r="AU245" s="218"/>
      <c r="AV245" s="218"/>
      <c r="AW245" s="218"/>
      <c r="AX245" s="218"/>
      <c r="AY245" s="217"/>
      <c r="AZ245" s="217"/>
      <c r="BA245" s="217"/>
      <c r="BB245" s="217"/>
      <c r="BC245" s="217"/>
      <c r="BD245" s="226"/>
    </row>
    <row r="246" spans="1:56" s="8" customFormat="1" ht="42" customHeight="1" x14ac:dyDescent="0.35">
      <c r="A246" s="33"/>
      <c r="B246" s="182"/>
      <c r="C246" s="33"/>
      <c r="D246" s="33"/>
      <c r="E246" s="32"/>
      <c r="F246" s="33"/>
      <c r="G246" s="33"/>
      <c r="H246" s="33"/>
      <c r="I246" s="33"/>
      <c r="J246" s="32"/>
      <c r="K246" s="33"/>
      <c r="L246" s="33"/>
      <c r="M246" s="33"/>
      <c r="N246" s="33"/>
      <c r="O246" s="32"/>
      <c r="P246" s="33"/>
      <c r="Q246" s="33"/>
      <c r="R246" s="33"/>
      <c r="S246" s="33"/>
      <c r="T246" s="32"/>
      <c r="U246" s="33"/>
      <c r="V246" s="33"/>
      <c r="W246" s="33"/>
      <c r="X246" s="33"/>
      <c r="Y246" s="32"/>
      <c r="Z246" s="33"/>
      <c r="AA246" s="33"/>
      <c r="AB246" s="33"/>
      <c r="AC246" s="33"/>
      <c r="AD246" s="32"/>
      <c r="AE246" s="33"/>
      <c r="AF246" s="33"/>
      <c r="AG246" s="33"/>
      <c r="AH246" s="33"/>
      <c r="AI246" s="32"/>
      <c r="AJ246" s="15"/>
      <c r="AK246" s="33"/>
      <c r="AL246" s="33"/>
      <c r="AM246" s="33"/>
      <c r="AN246" s="32"/>
      <c r="AO246" s="217"/>
      <c r="AP246" s="217"/>
      <c r="AQ246" s="217"/>
      <c r="AR246" s="217"/>
      <c r="AS246" s="217"/>
      <c r="AT246" s="218"/>
      <c r="AU246" s="218"/>
      <c r="AV246" s="218"/>
      <c r="AW246" s="218"/>
      <c r="AX246" s="218"/>
      <c r="AY246" s="217"/>
      <c r="AZ246" s="217"/>
      <c r="BA246" s="217"/>
      <c r="BB246" s="217"/>
      <c r="BC246" s="217"/>
      <c r="BD246" s="226"/>
    </row>
    <row r="247" spans="1:56" s="8" customFormat="1" ht="42" customHeight="1" x14ac:dyDescent="0.35">
      <c r="A247" s="33"/>
      <c r="B247" s="182"/>
      <c r="C247" s="33"/>
      <c r="D247" s="33"/>
      <c r="E247" s="32"/>
      <c r="F247" s="33"/>
      <c r="G247" s="33"/>
      <c r="H247" s="33"/>
      <c r="I247" s="33"/>
      <c r="J247" s="32"/>
      <c r="K247" s="33"/>
      <c r="L247" s="33"/>
      <c r="M247" s="33"/>
      <c r="N247" s="33"/>
      <c r="O247" s="32"/>
      <c r="P247" s="33"/>
      <c r="Q247" s="33"/>
      <c r="R247" s="33"/>
      <c r="S247" s="33"/>
      <c r="T247" s="32"/>
      <c r="U247" s="33"/>
      <c r="V247" s="33"/>
      <c r="W247" s="33"/>
      <c r="X247" s="33"/>
      <c r="Y247" s="32"/>
      <c r="Z247" s="33"/>
      <c r="AA247" s="33"/>
      <c r="AB247" s="33"/>
      <c r="AC247" s="33"/>
      <c r="AD247" s="32"/>
      <c r="AE247" s="33"/>
      <c r="AF247" s="33"/>
      <c r="AG247" s="33"/>
      <c r="AH247" s="33"/>
      <c r="AI247" s="32"/>
      <c r="AJ247" s="15"/>
      <c r="AK247" s="33"/>
      <c r="AL247" s="33"/>
      <c r="AM247" s="33"/>
      <c r="AN247" s="32"/>
      <c r="AO247" s="217"/>
      <c r="AP247" s="217"/>
      <c r="AQ247" s="217"/>
      <c r="AR247" s="217"/>
      <c r="AS247" s="217"/>
      <c r="AT247" s="218"/>
      <c r="AU247" s="218"/>
      <c r="AV247" s="218"/>
      <c r="AW247" s="218"/>
      <c r="AX247" s="218"/>
      <c r="AY247" s="217"/>
      <c r="AZ247" s="217"/>
      <c r="BA247" s="217"/>
      <c r="BB247" s="217"/>
      <c r="BC247" s="217"/>
      <c r="BD247" s="226"/>
    </row>
    <row r="248" spans="1:56" s="8" customFormat="1" ht="42" customHeight="1" x14ac:dyDescent="0.35">
      <c r="A248" s="33"/>
      <c r="B248" s="182"/>
      <c r="C248" s="33"/>
      <c r="D248" s="33"/>
      <c r="E248" s="32"/>
      <c r="F248" s="33"/>
      <c r="G248" s="33"/>
      <c r="H248" s="33"/>
      <c r="I248" s="33"/>
      <c r="J248" s="32"/>
      <c r="K248" s="33"/>
      <c r="L248" s="33"/>
      <c r="M248" s="33"/>
      <c r="N248" s="33"/>
      <c r="O248" s="32"/>
      <c r="P248" s="33"/>
      <c r="Q248" s="33"/>
      <c r="R248" s="33"/>
      <c r="S248" s="33"/>
      <c r="T248" s="32"/>
      <c r="U248" s="33"/>
      <c r="V248" s="33"/>
      <c r="W248" s="33"/>
      <c r="X248" s="33"/>
      <c r="Y248" s="32"/>
      <c r="Z248" s="33"/>
      <c r="AA248" s="33"/>
      <c r="AB248" s="33"/>
      <c r="AC248" s="33"/>
      <c r="AD248" s="32"/>
      <c r="AE248" s="33"/>
      <c r="AF248" s="33"/>
      <c r="AG248" s="33"/>
      <c r="AH248" s="33"/>
      <c r="AI248" s="32"/>
      <c r="AJ248" s="15"/>
      <c r="AK248" s="33"/>
      <c r="AL248" s="33"/>
      <c r="AM248" s="33"/>
      <c r="AN248" s="32"/>
      <c r="AO248" s="217"/>
      <c r="AP248" s="217"/>
      <c r="AQ248" s="217"/>
      <c r="AR248" s="217"/>
      <c r="AS248" s="217"/>
      <c r="AT248" s="218"/>
      <c r="AU248" s="218"/>
      <c r="AV248" s="218"/>
      <c r="AW248" s="218"/>
      <c r="AX248" s="218"/>
      <c r="AY248" s="217"/>
      <c r="AZ248" s="217"/>
      <c r="BA248" s="217"/>
      <c r="BB248" s="217"/>
      <c r="BC248" s="217"/>
      <c r="BD248" s="226"/>
    </row>
    <row r="249" spans="1:56" s="8" customFormat="1" ht="42" customHeight="1" x14ac:dyDescent="0.35">
      <c r="A249" s="33"/>
      <c r="B249" s="182"/>
      <c r="C249" s="33"/>
      <c r="D249" s="33"/>
      <c r="E249" s="32"/>
      <c r="F249" s="33"/>
      <c r="G249" s="33"/>
      <c r="H249" s="33"/>
      <c r="I249" s="33"/>
      <c r="J249" s="32"/>
      <c r="K249" s="33"/>
      <c r="L249" s="33"/>
      <c r="M249" s="33"/>
      <c r="N249" s="33"/>
      <c r="O249" s="32"/>
      <c r="P249" s="33"/>
      <c r="Q249" s="33"/>
      <c r="R249" s="33"/>
      <c r="S249" s="33"/>
      <c r="T249" s="32"/>
      <c r="U249" s="33"/>
      <c r="V249" s="33"/>
      <c r="W249" s="33"/>
      <c r="X249" s="33"/>
      <c r="Y249" s="32"/>
      <c r="Z249" s="33"/>
      <c r="AA249" s="33"/>
      <c r="AB249" s="33"/>
      <c r="AC249" s="33"/>
      <c r="AD249" s="32"/>
      <c r="AE249" s="33"/>
      <c r="AF249" s="33"/>
      <c r="AG249" s="33"/>
      <c r="AH249" s="33"/>
      <c r="AI249" s="32"/>
      <c r="AJ249" s="15"/>
      <c r="AK249" s="33"/>
      <c r="AL249" s="33"/>
      <c r="AM249" s="33"/>
      <c r="AN249" s="32"/>
      <c r="AO249" s="217"/>
      <c r="AP249" s="217"/>
      <c r="AQ249" s="217"/>
      <c r="AR249" s="217"/>
      <c r="AS249" s="217"/>
      <c r="AT249" s="218"/>
      <c r="AU249" s="218"/>
      <c r="AV249" s="218"/>
      <c r="AW249" s="218"/>
      <c r="AX249" s="218"/>
      <c r="AY249" s="217"/>
      <c r="AZ249" s="217"/>
      <c r="BA249" s="217"/>
      <c r="BB249" s="217"/>
      <c r="BC249" s="217"/>
      <c r="BD249" s="226"/>
    </row>
    <row r="250" spans="1:56" s="8" customFormat="1" ht="42" customHeight="1" x14ac:dyDescent="0.35">
      <c r="A250" s="33"/>
      <c r="B250" s="182"/>
      <c r="C250" s="33"/>
      <c r="D250" s="33"/>
      <c r="E250" s="32"/>
      <c r="F250" s="33"/>
      <c r="G250" s="33"/>
      <c r="H250" s="33"/>
      <c r="I250" s="33"/>
      <c r="J250" s="32"/>
      <c r="K250" s="33"/>
      <c r="L250" s="33"/>
      <c r="M250" s="33"/>
      <c r="N250" s="33"/>
      <c r="O250" s="32"/>
      <c r="P250" s="33"/>
      <c r="Q250" s="33"/>
      <c r="R250" s="33"/>
      <c r="S250" s="33"/>
      <c r="T250" s="32"/>
      <c r="U250" s="33"/>
      <c r="V250" s="33"/>
      <c r="W250" s="33"/>
      <c r="X250" s="33"/>
      <c r="Y250" s="32"/>
      <c r="Z250" s="33"/>
      <c r="AA250" s="33"/>
      <c r="AB250" s="33"/>
      <c r="AC250" s="33"/>
      <c r="AD250" s="32"/>
      <c r="AE250" s="33"/>
      <c r="AF250" s="33"/>
      <c r="AG250" s="33"/>
      <c r="AH250" s="33"/>
      <c r="AI250" s="32"/>
      <c r="AJ250" s="15"/>
      <c r="AK250" s="33"/>
      <c r="AL250" s="33"/>
      <c r="AM250" s="33"/>
      <c r="AN250" s="32"/>
      <c r="AO250" s="217"/>
      <c r="AP250" s="217"/>
      <c r="AQ250" s="217"/>
      <c r="AR250" s="217"/>
      <c r="AS250" s="217"/>
      <c r="AT250" s="218"/>
      <c r="AU250" s="218"/>
      <c r="AV250" s="218"/>
      <c r="AW250" s="218"/>
      <c r="AX250" s="218"/>
      <c r="AY250" s="217"/>
      <c r="AZ250" s="217"/>
      <c r="BA250" s="217"/>
      <c r="BB250" s="217"/>
      <c r="BC250" s="217"/>
      <c r="BD250" s="226"/>
    </row>
    <row r="251" spans="1:56" s="8" customFormat="1" ht="42" customHeight="1" x14ac:dyDescent="0.35">
      <c r="A251" s="33"/>
      <c r="B251" s="182"/>
      <c r="C251" s="33"/>
      <c r="D251" s="33"/>
      <c r="E251" s="32"/>
      <c r="F251" s="33"/>
      <c r="G251" s="33"/>
      <c r="H251" s="33"/>
      <c r="I251" s="33"/>
      <c r="J251" s="32"/>
      <c r="K251" s="33"/>
      <c r="L251" s="33"/>
      <c r="M251" s="33"/>
      <c r="N251" s="33"/>
      <c r="O251" s="32"/>
      <c r="P251" s="33"/>
      <c r="Q251" s="33"/>
      <c r="R251" s="33"/>
      <c r="S251" s="33"/>
      <c r="T251" s="32"/>
      <c r="U251" s="33"/>
      <c r="V251" s="33"/>
      <c r="W251" s="33"/>
      <c r="X251" s="33"/>
      <c r="Y251" s="32"/>
      <c r="Z251" s="33"/>
      <c r="AA251" s="33"/>
      <c r="AB251" s="33"/>
      <c r="AC251" s="33"/>
      <c r="AD251" s="32"/>
      <c r="AE251" s="33"/>
      <c r="AF251" s="33"/>
      <c r="AG251" s="33"/>
      <c r="AH251" s="33"/>
      <c r="AI251" s="32"/>
      <c r="AJ251" s="15"/>
      <c r="AK251" s="33"/>
      <c r="AL251" s="33"/>
      <c r="AM251" s="33"/>
      <c r="AN251" s="32"/>
      <c r="AO251" s="217"/>
      <c r="AP251" s="217"/>
      <c r="AQ251" s="217"/>
      <c r="AR251" s="217"/>
      <c r="AS251" s="217"/>
      <c r="AT251" s="218"/>
      <c r="AU251" s="218"/>
      <c r="AV251" s="218"/>
      <c r="AW251" s="218"/>
      <c r="AX251" s="218"/>
      <c r="AY251" s="217"/>
      <c r="AZ251" s="217"/>
      <c r="BA251" s="217"/>
      <c r="BB251" s="217"/>
      <c r="BC251" s="217"/>
      <c r="BD251" s="226"/>
    </row>
    <row r="252" spans="1:56" s="8" customFormat="1" ht="42" customHeight="1" x14ac:dyDescent="0.35">
      <c r="A252" s="33"/>
      <c r="B252" s="182"/>
      <c r="C252" s="33"/>
      <c r="D252" s="33"/>
      <c r="E252" s="32"/>
      <c r="F252" s="33"/>
      <c r="G252" s="33"/>
      <c r="H252" s="33"/>
      <c r="I252" s="33"/>
      <c r="J252" s="32"/>
      <c r="K252" s="33"/>
      <c r="L252" s="33"/>
      <c r="M252" s="33"/>
      <c r="N252" s="33"/>
      <c r="O252" s="32"/>
      <c r="P252" s="33"/>
      <c r="Q252" s="33"/>
      <c r="R252" s="33"/>
      <c r="S252" s="33"/>
      <c r="T252" s="32"/>
      <c r="U252" s="33"/>
      <c r="V252" s="33"/>
      <c r="W252" s="33"/>
      <c r="X252" s="33"/>
      <c r="Y252" s="32"/>
      <c r="Z252" s="33"/>
      <c r="AA252" s="33"/>
      <c r="AB252" s="33"/>
      <c r="AC252" s="33"/>
      <c r="AD252" s="32"/>
      <c r="AE252" s="33"/>
      <c r="AF252" s="33"/>
      <c r="AG252" s="33"/>
      <c r="AH252" s="33"/>
      <c r="AI252" s="32"/>
      <c r="AJ252" s="15"/>
      <c r="AK252" s="33"/>
      <c r="AL252" s="33"/>
      <c r="AM252" s="33"/>
      <c r="AN252" s="32"/>
      <c r="AO252" s="217"/>
      <c r="AP252" s="217"/>
      <c r="AQ252" s="217"/>
      <c r="AR252" s="217"/>
      <c r="AS252" s="217"/>
      <c r="AT252" s="218"/>
      <c r="AU252" s="218"/>
      <c r="AV252" s="218"/>
      <c r="AW252" s="218"/>
      <c r="AX252" s="218"/>
      <c r="AY252" s="217"/>
      <c r="AZ252" s="217"/>
      <c r="BA252" s="217"/>
      <c r="BB252" s="217"/>
      <c r="BC252" s="217"/>
      <c r="BD252" s="226"/>
    </row>
    <row r="253" spans="1:56" s="8" customFormat="1" ht="42" customHeight="1" x14ac:dyDescent="0.35">
      <c r="A253" s="33"/>
      <c r="B253" s="182"/>
      <c r="C253" s="33"/>
      <c r="D253" s="33"/>
      <c r="E253" s="32"/>
      <c r="F253" s="33"/>
      <c r="G253" s="33"/>
      <c r="H253" s="33"/>
      <c r="I253" s="33"/>
      <c r="J253" s="32"/>
      <c r="K253" s="33"/>
      <c r="L253" s="33"/>
      <c r="M253" s="33"/>
      <c r="N253" s="33"/>
      <c r="O253" s="32"/>
      <c r="P253" s="33"/>
      <c r="Q253" s="33"/>
      <c r="R253" s="33"/>
      <c r="S253" s="33"/>
      <c r="T253" s="32"/>
      <c r="U253" s="33"/>
      <c r="V253" s="33"/>
      <c r="W253" s="33"/>
      <c r="X253" s="33"/>
      <c r="Y253" s="32"/>
      <c r="Z253" s="33"/>
      <c r="AA253" s="33"/>
      <c r="AB253" s="33"/>
      <c r="AC253" s="33"/>
      <c r="AD253" s="32"/>
      <c r="AE253" s="33"/>
      <c r="AF253" s="33"/>
      <c r="AG253" s="33"/>
      <c r="AH253" s="33"/>
      <c r="AI253" s="32"/>
      <c r="AJ253" s="15"/>
      <c r="AK253" s="33"/>
      <c r="AL253" s="33"/>
      <c r="AM253" s="33"/>
      <c r="AN253" s="32"/>
      <c r="AO253" s="217"/>
      <c r="AP253" s="217"/>
      <c r="AQ253" s="217"/>
      <c r="AR253" s="217"/>
      <c r="AS253" s="217"/>
      <c r="AT253" s="218"/>
      <c r="AU253" s="218"/>
      <c r="AV253" s="218"/>
      <c r="AW253" s="218"/>
      <c r="AX253" s="218"/>
      <c r="AY253" s="217"/>
      <c r="AZ253" s="217"/>
      <c r="BA253" s="217"/>
      <c r="BB253" s="217"/>
      <c r="BC253" s="217"/>
      <c r="BD253" s="226"/>
    </row>
    <row r="254" spans="1:56" s="8" customFormat="1" ht="42" customHeight="1" x14ac:dyDescent="0.35">
      <c r="A254" s="33"/>
      <c r="B254" s="182"/>
      <c r="C254" s="33"/>
      <c r="D254" s="33"/>
      <c r="E254" s="32"/>
      <c r="F254" s="33"/>
      <c r="G254" s="33"/>
      <c r="H254" s="33"/>
      <c r="I254" s="33"/>
      <c r="J254" s="32"/>
      <c r="K254" s="33"/>
      <c r="L254" s="33"/>
      <c r="M254" s="33"/>
      <c r="N254" s="33"/>
      <c r="O254" s="32"/>
      <c r="P254" s="33"/>
      <c r="Q254" s="33"/>
      <c r="R254" s="33"/>
      <c r="S254" s="33"/>
      <c r="T254" s="32"/>
      <c r="U254" s="33"/>
      <c r="V254" s="33"/>
      <c r="W254" s="33"/>
      <c r="X254" s="33"/>
      <c r="Y254" s="32"/>
      <c r="Z254" s="33"/>
      <c r="AA254" s="33"/>
      <c r="AB254" s="33"/>
      <c r="AC254" s="33"/>
      <c r="AD254" s="32"/>
      <c r="AE254" s="33"/>
      <c r="AF254" s="33"/>
      <c r="AG254" s="33"/>
      <c r="AH254" s="33"/>
      <c r="AI254" s="32"/>
      <c r="AJ254" s="15"/>
      <c r="AK254" s="33"/>
      <c r="AL254" s="33"/>
      <c r="AM254" s="33"/>
      <c r="AN254" s="32"/>
      <c r="AO254" s="217"/>
      <c r="AP254" s="217"/>
      <c r="AQ254" s="217"/>
      <c r="AR254" s="217"/>
      <c r="AS254" s="217"/>
      <c r="AT254" s="218"/>
      <c r="AU254" s="218"/>
      <c r="AV254" s="218"/>
      <c r="AW254" s="218"/>
      <c r="AX254" s="218"/>
      <c r="AY254" s="217"/>
      <c r="AZ254" s="217"/>
      <c r="BA254" s="217"/>
      <c r="BB254" s="217"/>
      <c r="BC254" s="217"/>
      <c r="BD254" s="226"/>
    </row>
    <row r="255" spans="1:56" s="8" customFormat="1" ht="42" customHeight="1" x14ac:dyDescent="0.35">
      <c r="A255" s="33"/>
      <c r="B255" s="182"/>
      <c r="C255" s="33"/>
      <c r="D255" s="33"/>
      <c r="E255" s="32"/>
      <c r="F255" s="33"/>
      <c r="G255" s="33"/>
      <c r="H255" s="33"/>
      <c r="I255" s="33"/>
      <c r="J255" s="32"/>
      <c r="K255" s="33"/>
      <c r="L255" s="33"/>
      <c r="M255" s="33"/>
      <c r="N255" s="33"/>
      <c r="O255" s="32"/>
      <c r="P255" s="33"/>
      <c r="Q255" s="33"/>
      <c r="R255" s="33"/>
      <c r="S255" s="33"/>
      <c r="T255" s="32"/>
      <c r="U255" s="33"/>
      <c r="V255" s="33"/>
      <c r="W255" s="33"/>
      <c r="X255" s="33"/>
      <c r="Y255" s="32"/>
      <c r="Z255" s="33"/>
      <c r="AA255" s="33"/>
      <c r="AB255" s="33"/>
      <c r="AC255" s="33"/>
      <c r="AD255" s="32"/>
      <c r="AE255" s="33"/>
      <c r="AF255" s="33"/>
      <c r="AG255" s="33"/>
      <c r="AH255" s="33"/>
      <c r="AI255" s="32"/>
      <c r="AJ255" s="15"/>
      <c r="AK255" s="33"/>
      <c r="AL255" s="33"/>
      <c r="AM255" s="33"/>
      <c r="AN255" s="32"/>
      <c r="AO255" s="217"/>
      <c r="AP255" s="217"/>
      <c r="AQ255" s="217"/>
      <c r="AR255" s="217"/>
      <c r="AS255" s="217"/>
      <c r="AT255" s="218"/>
      <c r="AU255" s="218"/>
      <c r="AV255" s="218"/>
      <c r="AW255" s="218"/>
      <c r="AX255" s="218"/>
      <c r="AY255" s="217"/>
      <c r="AZ255" s="217"/>
      <c r="BA255" s="217"/>
      <c r="BB255" s="217"/>
      <c r="BC255" s="217"/>
      <c r="BD255" s="226"/>
    </row>
    <row r="256" spans="1:56" s="8" customFormat="1" ht="42" customHeight="1" x14ac:dyDescent="0.35">
      <c r="A256" s="33"/>
      <c r="B256" s="182"/>
      <c r="C256" s="33"/>
      <c r="D256" s="33"/>
      <c r="E256" s="32"/>
      <c r="F256" s="33"/>
      <c r="G256" s="33"/>
      <c r="H256" s="33"/>
      <c r="I256" s="33"/>
      <c r="J256" s="32"/>
      <c r="K256" s="33"/>
      <c r="L256" s="33"/>
      <c r="M256" s="33"/>
      <c r="N256" s="33"/>
      <c r="O256" s="32"/>
      <c r="P256" s="33"/>
      <c r="Q256" s="33"/>
      <c r="R256" s="33"/>
      <c r="S256" s="33"/>
      <c r="T256" s="32"/>
      <c r="U256" s="33"/>
      <c r="V256" s="33"/>
      <c r="W256" s="33"/>
      <c r="X256" s="33"/>
      <c r="Y256" s="32"/>
      <c r="Z256" s="33"/>
      <c r="AA256" s="33"/>
      <c r="AB256" s="33"/>
      <c r="AC256" s="33"/>
      <c r="AD256" s="32"/>
      <c r="AE256" s="33"/>
      <c r="AF256" s="33"/>
      <c r="AG256" s="33"/>
      <c r="AH256" s="33"/>
      <c r="AI256" s="32"/>
      <c r="AJ256" s="15"/>
      <c r="AK256" s="33"/>
      <c r="AL256" s="33"/>
      <c r="AM256" s="33"/>
      <c r="AN256" s="32"/>
      <c r="AO256" s="217"/>
      <c r="AP256" s="217"/>
      <c r="AQ256" s="217"/>
      <c r="AR256" s="217"/>
      <c r="AS256" s="217"/>
      <c r="AT256" s="218"/>
      <c r="AU256" s="218"/>
      <c r="AV256" s="218"/>
      <c r="AW256" s="218"/>
      <c r="AX256" s="218"/>
      <c r="AY256" s="217"/>
      <c r="AZ256" s="217"/>
      <c r="BA256" s="217"/>
      <c r="BB256" s="217"/>
      <c r="BC256" s="217"/>
      <c r="BD256" s="226"/>
    </row>
    <row r="257" spans="1:56" s="8" customFormat="1" ht="42" customHeight="1" x14ac:dyDescent="0.35">
      <c r="A257" s="33"/>
      <c r="B257" s="182"/>
      <c r="C257" s="33"/>
      <c r="D257" s="33"/>
      <c r="E257" s="32"/>
      <c r="F257" s="33"/>
      <c r="G257" s="33"/>
      <c r="H257" s="33"/>
      <c r="I257" s="33"/>
      <c r="J257" s="32"/>
      <c r="K257" s="33"/>
      <c r="L257" s="33"/>
      <c r="M257" s="33"/>
      <c r="N257" s="33"/>
      <c r="O257" s="32"/>
      <c r="P257" s="33"/>
      <c r="Q257" s="33"/>
      <c r="R257" s="33"/>
      <c r="S257" s="33"/>
      <c r="T257" s="32"/>
      <c r="U257" s="33"/>
      <c r="V257" s="33"/>
      <c r="W257" s="33"/>
      <c r="X257" s="33"/>
      <c r="Y257" s="32"/>
      <c r="Z257" s="33"/>
      <c r="AA257" s="33"/>
      <c r="AB257" s="33"/>
      <c r="AC257" s="33"/>
      <c r="AD257" s="32"/>
      <c r="AE257" s="33"/>
      <c r="AF257" s="33"/>
      <c r="AG257" s="33"/>
      <c r="AH257" s="33"/>
      <c r="AI257" s="32"/>
      <c r="AJ257" s="15"/>
      <c r="AK257" s="33"/>
      <c r="AL257" s="33"/>
      <c r="AM257" s="33"/>
      <c r="AN257" s="32"/>
      <c r="AO257" s="217"/>
      <c r="AP257" s="217"/>
      <c r="AQ257" s="217"/>
      <c r="AR257" s="217"/>
      <c r="AS257" s="217"/>
      <c r="AT257" s="218"/>
      <c r="AU257" s="218"/>
      <c r="AV257" s="218"/>
      <c r="AW257" s="218"/>
      <c r="AX257" s="218"/>
      <c r="AY257" s="217"/>
      <c r="AZ257" s="217"/>
      <c r="BA257" s="217"/>
      <c r="BB257" s="217"/>
      <c r="BC257" s="217"/>
      <c r="BD257" s="226"/>
    </row>
    <row r="258" spans="1:56" s="8" customFormat="1" ht="42" customHeight="1" x14ac:dyDescent="0.35">
      <c r="A258" s="33"/>
      <c r="B258" s="182"/>
      <c r="C258" s="33"/>
      <c r="D258" s="33"/>
      <c r="E258" s="32"/>
      <c r="F258" s="33"/>
      <c r="G258" s="33"/>
      <c r="H258" s="33"/>
      <c r="I258" s="33"/>
      <c r="J258" s="32"/>
      <c r="K258" s="33"/>
      <c r="L258" s="33"/>
      <c r="M258" s="33"/>
      <c r="N258" s="33"/>
      <c r="O258" s="32"/>
      <c r="P258" s="33"/>
      <c r="Q258" s="33"/>
      <c r="R258" s="33"/>
      <c r="S258" s="33"/>
      <c r="T258" s="32"/>
      <c r="U258" s="33"/>
      <c r="V258" s="33"/>
      <c r="W258" s="33"/>
      <c r="X258" s="33"/>
      <c r="Y258" s="32"/>
      <c r="Z258" s="33"/>
      <c r="AA258" s="33"/>
      <c r="AB258" s="33"/>
      <c r="AC258" s="33"/>
      <c r="AD258" s="32"/>
      <c r="AE258" s="33"/>
      <c r="AF258" s="33"/>
      <c r="AG258" s="33"/>
      <c r="AH258" s="33"/>
      <c r="AI258" s="32"/>
      <c r="AJ258" s="15"/>
      <c r="AK258" s="33"/>
      <c r="AL258" s="33"/>
      <c r="AM258" s="33"/>
      <c r="AN258" s="32"/>
      <c r="AO258" s="217"/>
      <c r="AP258" s="217"/>
      <c r="AQ258" s="217"/>
      <c r="AR258" s="217"/>
      <c r="AS258" s="217"/>
      <c r="AT258" s="218"/>
      <c r="AU258" s="218"/>
      <c r="AV258" s="218"/>
      <c r="AW258" s="218"/>
      <c r="AX258" s="218"/>
      <c r="AY258" s="217"/>
      <c r="AZ258" s="217"/>
      <c r="BA258" s="217"/>
      <c r="BB258" s="217"/>
      <c r="BC258" s="217"/>
      <c r="BD258" s="226"/>
    </row>
    <row r="259" spans="1:56" s="8" customFormat="1" ht="42" customHeight="1" x14ac:dyDescent="0.35">
      <c r="A259" s="33"/>
      <c r="B259" s="182"/>
      <c r="C259" s="33"/>
      <c r="D259" s="33"/>
      <c r="E259" s="32"/>
      <c r="F259" s="33"/>
      <c r="G259" s="33"/>
      <c r="H259" s="33"/>
      <c r="I259" s="33"/>
      <c r="J259" s="32"/>
      <c r="K259" s="33"/>
      <c r="L259" s="33"/>
      <c r="M259" s="33"/>
      <c r="N259" s="33"/>
      <c r="O259" s="32"/>
      <c r="P259" s="33"/>
      <c r="Q259" s="33"/>
      <c r="R259" s="33"/>
      <c r="S259" s="33"/>
      <c r="T259" s="32"/>
      <c r="U259" s="33"/>
      <c r="V259" s="33"/>
      <c r="W259" s="33"/>
      <c r="X259" s="33"/>
      <c r="Y259" s="32"/>
      <c r="Z259" s="33"/>
      <c r="AA259" s="33"/>
      <c r="AB259" s="33"/>
      <c r="AC259" s="33"/>
      <c r="AD259" s="32"/>
      <c r="AE259" s="33"/>
      <c r="AF259" s="33"/>
      <c r="AG259" s="33"/>
      <c r="AH259" s="33"/>
      <c r="AI259" s="32"/>
      <c r="AJ259" s="15"/>
      <c r="AK259" s="33"/>
      <c r="AL259" s="33"/>
      <c r="AM259" s="33"/>
      <c r="AN259" s="32"/>
      <c r="AO259" s="217"/>
      <c r="AP259" s="217"/>
      <c r="AQ259" s="217"/>
      <c r="AR259" s="217"/>
      <c r="AS259" s="217"/>
      <c r="AT259" s="218"/>
      <c r="AU259" s="218"/>
      <c r="AV259" s="218"/>
      <c r="AW259" s="218"/>
      <c r="AX259" s="218"/>
      <c r="AY259" s="217"/>
      <c r="AZ259" s="217"/>
      <c r="BA259" s="217"/>
      <c r="BB259" s="217"/>
      <c r="BC259" s="217"/>
      <c r="BD259" s="226"/>
    </row>
    <row r="260" spans="1:56" s="8" customFormat="1" ht="42" customHeight="1" x14ac:dyDescent="0.35">
      <c r="A260" s="33"/>
      <c r="B260" s="182"/>
      <c r="C260" s="33"/>
      <c r="D260" s="33"/>
      <c r="E260" s="32"/>
      <c r="F260" s="33"/>
      <c r="G260" s="33"/>
      <c r="H260" s="33"/>
      <c r="I260" s="33"/>
      <c r="J260" s="32"/>
      <c r="K260" s="33"/>
      <c r="L260" s="33"/>
      <c r="M260" s="33"/>
      <c r="N260" s="33"/>
      <c r="O260" s="32"/>
      <c r="P260" s="33"/>
      <c r="Q260" s="33"/>
      <c r="R260" s="33"/>
      <c r="S260" s="33"/>
      <c r="T260" s="32"/>
      <c r="U260" s="33"/>
      <c r="V260" s="33"/>
      <c r="W260" s="33"/>
      <c r="X260" s="33"/>
      <c r="Y260" s="32"/>
      <c r="Z260" s="33"/>
      <c r="AA260" s="33"/>
      <c r="AB260" s="33"/>
      <c r="AC260" s="33"/>
      <c r="AD260" s="32"/>
      <c r="AE260" s="33"/>
      <c r="AF260" s="33"/>
      <c r="AG260" s="33"/>
      <c r="AH260" s="33"/>
      <c r="AI260" s="32"/>
      <c r="AJ260" s="15"/>
      <c r="AK260" s="33"/>
      <c r="AL260" s="33"/>
      <c r="AM260" s="33"/>
      <c r="AN260" s="32"/>
      <c r="AO260" s="217"/>
      <c r="AP260" s="217"/>
      <c r="AQ260" s="217"/>
      <c r="AR260" s="217"/>
      <c r="AS260" s="217"/>
      <c r="AT260" s="218"/>
      <c r="AU260" s="218"/>
      <c r="AV260" s="218"/>
      <c r="AW260" s="218"/>
      <c r="AX260" s="218"/>
      <c r="AY260" s="217"/>
      <c r="AZ260" s="217"/>
      <c r="BA260" s="217"/>
      <c r="BB260" s="217"/>
      <c r="BC260" s="217"/>
      <c r="BD260" s="226"/>
    </row>
    <row r="261" spans="1:56" s="8" customFormat="1" ht="42" customHeight="1" x14ac:dyDescent="0.35">
      <c r="A261" s="33"/>
      <c r="B261" s="182"/>
      <c r="C261" s="33"/>
      <c r="D261" s="33"/>
      <c r="E261" s="32"/>
      <c r="F261" s="33"/>
      <c r="G261" s="33"/>
      <c r="H261" s="33"/>
      <c r="I261" s="33"/>
      <c r="J261" s="32"/>
      <c r="K261" s="33"/>
      <c r="L261" s="33"/>
      <c r="M261" s="33"/>
      <c r="N261" s="33"/>
      <c r="O261" s="32"/>
      <c r="P261" s="33"/>
      <c r="Q261" s="33"/>
      <c r="R261" s="33"/>
      <c r="S261" s="33"/>
      <c r="T261" s="32"/>
      <c r="U261" s="33"/>
      <c r="V261" s="33"/>
      <c r="W261" s="33"/>
      <c r="X261" s="33"/>
      <c r="Y261" s="32"/>
      <c r="Z261" s="33"/>
      <c r="AA261" s="33"/>
      <c r="AB261" s="33"/>
      <c r="AC261" s="33"/>
      <c r="AD261" s="32"/>
      <c r="AE261" s="33"/>
      <c r="AF261" s="33"/>
      <c r="AG261" s="33"/>
      <c r="AH261" s="33"/>
      <c r="AI261" s="32"/>
      <c r="AJ261" s="15"/>
      <c r="AK261" s="33"/>
      <c r="AL261" s="33"/>
      <c r="AM261" s="33"/>
      <c r="AN261" s="32"/>
      <c r="AO261" s="217"/>
      <c r="AP261" s="217"/>
      <c r="AQ261" s="217"/>
      <c r="AR261" s="217"/>
      <c r="AS261" s="217"/>
      <c r="AT261" s="218"/>
      <c r="AU261" s="218"/>
      <c r="AV261" s="218"/>
      <c r="AW261" s="218"/>
      <c r="AX261" s="218"/>
      <c r="AY261" s="217"/>
      <c r="AZ261" s="217"/>
      <c r="BA261" s="217"/>
      <c r="BB261" s="217"/>
      <c r="BC261" s="217"/>
      <c r="BD261" s="226"/>
    </row>
    <row r="262" spans="1:56" s="8" customFormat="1" ht="42" customHeight="1" x14ac:dyDescent="0.35">
      <c r="A262" s="33"/>
      <c r="B262" s="182"/>
      <c r="C262" s="33"/>
      <c r="D262" s="33"/>
      <c r="E262" s="32"/>
      <c r="F262" s="33"/>
      <c r="G262" s="33"/>
      <c r="H262" s="33"/>
      <c r="I262" s="33"/>
      <c r="J262" s="32"/>
      <c r="K262" s="33"/>
      <c r="L262" s="33"/>
      <c r="M262" s="33"/>
      <c r="N262" s="33"/>
      <c r="O262" s="32"/>
      <c r="P262" s="33"/>
      <c r="Q262" s="33"/>
      <c r="R262" s="33"/>
      <c r="S262" s="33"/>
      <c r="T262" s="32"/>
      <c r="U262" s="33"/>
      <c r="V262" s="33"/>
      <c r="W262" s="33"/>
      <c r="X262" s="33"/>
      <c r="Y262" s="32"/>
      <c r="Z262" s="33"/>
      <c r="AA262" s="33"/>
      <c r="AB262" s="33"/>
      <c r="AC262" s="33"/>
      <c r="AD262" s="32"/>
      <c r="AE262" s="33"/>
      <c r="AF262" s="33"/>
      <c r="AG262" s="33"/>
      <c r="AH262" s="33"/>
      <c r="AI262" s="32"/>
      <c r="AJ262" s="15"/>
      <c r="AK262" s="33"/>
      <c r="AL262" s="33"/>
      <c r="AM262" s="33"/>
      <c r="AN262" s="32"/>
      <c r="AO262" s="217"/>
      <c r="AP262" s="217"/>
      <c r="AQ262" s="217"/>
      <c r="AR262" s="217"/>
      <c r="AS262" s="217"/>
      <c r="AT262" s="218"/>
      <c r="AU262" s="218"/>
      <c r="AV262" s="218"/>
      <c r="AW262" s="218"/>
      <c r="AX262" s="218"/>
      <c r="AY262" s="217"/>
      <c r="AZ262" s="217"/>
      <c r="BA262" s="217"/>
      <c r="BB262" s="217"/>
      <c r="BC262" s="217"/>
      <c r="BD262" s="226"/>
    </row>
    <row r="263" spans="1:56" s="8" customFormat="1" ht="42" customHeight="1" x14ac:dyDescent="0.35">
      <c r="A263" s="33"/>
      <c r="B263" s="182"/>
      <c r="C263" s="33"/>
      <c r="D263" s="33"/>
      <c r="E263" s="32"/>
      <c r="F263" s="33"/>
      <c r="G263" s="33"/>
      <c r="H263" s="33"/>
      <c r="I263" s="33"/>
      <c r="J263" s="32"/>
      <c r="K263" s="33"/>
      <c r="L263" s="33"/>
      <c r="M263" s="33"/>
      <c r="N263" s="33"/>
      <c r="O263" s="32"/>
      <c r="P263" s="33"/>
      <c r="Q263" s="33"/>
      <c r="R263" s="33"/>
      <c r="S263" s="33"/>
      <c r="T263" s="32"/>
      <c r="U263" s="33"/>
      <c r="V263" s="33"/>
      <c r="W263" s="33"/>
      <c r="X263" s="33"/>
      <c r="Y263" s="32"/>
      <c r="Z263" s="33"/>
      <c r="AA263" s="33"/>
      <c r="AB263" s="33"/>
      <c r="AC263" s="33"/>
      <c r="AD263" s="32"/>
      <c r="AE263" s="33"/>
      <c r="AF263" s="33"/>
      <c r="AG263" s="33"/>
      <c r="AH263" s="33"/>
      <c r="AI263" s="32"/>
      <c r="AJ263" s="15"/>
      <c r="AK263" s="33"/>
      <c r="AL263" s="33"/>
      <c r="AM263" s="33"/>
      <c r="AN263" s="32"/>
      <c r="AO263" s="217"/>
      <c r="AP263" s="217"/>
      <c r="AQ263" s="217"/>
      <c r="AR263" s="217"/>
      <c r="AS263" s="217"/>
      <c r="AT263" s="218"/>
      <c r="AU263" s="218"/>
      <c r="AV263" s="218"/>
      <c r="AW263" s="218"/>
      <c r="AX263" s="218"/>
      <c r="AY263" s="217"/>
      <c r="AZ263" s="217"/>
      <c r="BA263" s="217"/>
      <c r="BB263" s="217"/>
      <c r="BC263" s="217"/>
      <c r="BD263" s="226"/>
    </row>
    <row r="264" spans="1:56" s="8" customFormat="1" ht="42" customHeight="1" x14ac:dyDescent="0.35">
      <c r="A264" s="33"/>
      <c r="B264" s="182"/>
      <c r="C264" s="33"/>
      <c r="D264" s="33"/>
      <c r="E264" s="32"/>
      <c r="F264" s="33"/>
      <c r="G264" s="33"/>
      <c r="H264" s="33"/>
      <c r="I264" s="33"/>
      <c r="J264" s="32"/>
      <c r="K264" s="33"/>
      <c r="L264" s="33"/>
      <c r="M264" s="33"/>
      <c r="N264" s="33"/>
      <c r="O264" s="32"/>
      <c r="P264" s="33"/>
      <c r="Q264" s="33"/>
      <c r="R264" s="33"/>
      <c r="S264" s="33"/>
      <c r="T264" s="32"/>
      <c r="U264" s="33"/>
      <c r="V264" s="33"/>
      <c r="W264" s="33"/>
      <c r="X264" s="33"/>
      <c r="Y264" s="32"/>
      <c r="Z264" s="33"/>
      <c r="AA264" s="33"/>
      <c r="AB264" s="33"/>
      <c r="AC264" s="33"/>
      <c r="AD264" s="32"/>
      <c r="AE264" s="33"/>
      <c r="AF264" s="33"/>
      <c r="AG264" s="33"/>
      <c r="AH264" s="33"/>
      <c r="AI264" s="32"/>
      <c r="AJ264" s="15"/>
      <c r="AK264" s="33"/>
      <c r="AL264" s="33"/>
      <c r="AM264" s="33"/>
      <c r="AN264" s="32"/>
      <c r="AO264" s="217"/>
      <c r="AP264" s="217"/>
      <c r="AQ264" s="217"/>
      <c r="AR264" s="217"/>
      <c r="AS264" s="217"/>
      <c r="AT264" s="218"/>
      <c r="AU264" s="218"/>
      <c r="AV264" s="218"/>
      <c r="AW264" s="218"/>
      <c r="AX264" s="218"/>
      <c r="AY264" s="217"/>
      <c r="AZ264" s="217"/>
      <c r="BA264" s="217"/>
      <c r="BB264" s="217"/>
      <c r="BC264" s="217"/>
      <c r="BD264" s="226"/>
    </row>
    <row r="265" spans="1:56" s="8" customFormat="1" ht="42" customHeight="1" x14ac:dyDescent="0.35">
      <c r="A265" s="33"/>
      <c r="B265" s="182"/>
      <c r="C265" s="33"/>
      <c r="D265" s="33"/>
      <c r="E265" s="32"/>
      <c r="F265" s="33"/>
      <c r="G265" s="33"/>
      <c r="H265" s="33"/>
      <c r="I265" s="33"/>
      <c r="J265" s="32"/>
      <c r="K265" s="33"/>
      <c r="L265" s="33"/>
      <c r="M265" s="33"/>
      <c r="N265" s="33"/>
      <c r="O265" s="32"/>
      <c r="P265" s="33"/>
      <c r="Q265" s="33"/>
      <c r="R265" s="33"/>
      <c r="S265" s="33"/>
      <c r="T265" s="32"/>
      <c r="U265" s="33"/>
      <c r="V265" s="33"/>
      <c r="W265" s="33"/>
      <c r="X265" s="33"/>
      <c r="Y265" s="32"/>
      <c r="Z265" s="33"/>
      <c r="AA265" s="33"/>
      <c r="AB265" s="33"/>
      <c r="AC265" s="33"/>
      <c r="AD265" s="32"/>
      <c r="AE265" s="33"/>
      <c r="AF265" s="33"/>
      <c r="AG265" s="33"/>
      <c r="AH265" s="33"/>
      <c r="AI265" s="32"/>
      <c r="AJ265" s="15"/>
      <c r="AK265" s="33"/>
      <c r="AL265" s="33"/>
      <c r="AM265" s="33"/>
      <c r="AN265" s="32"/>
      <c r="AO265" s="217"/>
      <c r="AP265" s="217"/>
      <c r="AQ265" s="217"/>
      <c r="AR265" s="217"/>
      <c r="AS265" s="217"/>
      <c r="AT265" s="218"/>
      <c r="AU265" s="218"/>
      <c r="AV265" s="218"/>
      <c r="AW265" s="218"/>
      <c r="AX265" s="218"/>
      <c r="AY265" s="217"/>
      <c r="AZ265" s="217"/>
      <c r="BA265" s="217"/>
      <c r="BB265" s="217"/>
      <c r="BC265" s="217"/>
      <c r="BD265" s="226"/>
    </row>
    <row r="266" spans="1:56" s="8" customFormat="1" ht="42" customHeight="1" x14ac:dyDescent="0.35">
      <c r="A266" s="33"/>
      <c r="B266" s="182"/>
      <c r="C266" s="33"/>
      <c r="D266" s="33"/>
      <c r="E266" s="32"/>
      <c r="F266" s="33"/>
      <c r="G266" s="33"/>
      <c r="H266" s="33"/>
      <c r="I266" s="33"/>
      <c r="J266" s="32"/>
      <c r="K266" s="33"/>
      <c r="L266" s="33"/>
      <c r="M266" s="33"/>
      <c r="N266" s="33"/>
      <c r="O266" s="32"/>
      <c r="P266" s="33"/>
      <c r="Q266" s="33"/>
      <c r="R266" s="33"/>
      <c r="S266" s="33"/>
      <c r="T266" s="32"/>
      <c r="U266" s="33"/>
      <c r="V266" s="33"/>
      <c r="W266" s="33"/>
      <c r="X266" s="33"/>
      <c r="Y266" s="32"/>
      <c r="Z266" s="33"/>
      <c r="AA266" s="33"/>
      <c r="AB266" s="33"/>
      <c r="AC266" s="33"/>
      <c r="AD266" s="32"/>
      <c r="AE266" s="33"/>
      <c r="AF266" s="33"/>
      <c r="AG266" s="33"/>
      <c r="AH266" s="33"/>
      <c r="AI266" s="32"/>
      <c r="AJ266" s="15"/>
      <c r="AK266" s="33"/>
      <c r="AL266" s="33"/>
      <c r="AM266" s="33"/>
      <c r="AN266" s="32"/>
      <c r="AO266" s="217"/>
      <c r="AP266" s="217"/>
      <c r="AQ266" s="217"/>
      <c r="AR266" s="217"/>
      <c r="AS266" s="217"/>
      <c r="AT266" s="218"/>
      <c r="AU266" s="218"/>
      <c r="AV266" s="218"/>
      <c r="AW266" s="218"/>
      <c r="AX266" s="218"/>
      <c r="AY266" s="217"/>
      <c r="AZ266" s="217"/>
      <c r="BA266" s="217"/>
      <c r="BB266" s="217"/>
      <c r="BC266" s="217"/>
      <c r="BD266" s="226"/>
    </row>
    <row r="267" spans="1:56" s="8" customFormat="1" ht="42" customHeight="1" x14ac:dyDescent="0.35">
      <c r="A267" s="33"/>
      <c r="B267" s="182"/>
      <c r="C267" s="33"/>
      <c r="D267" s="33"/>
      <c r="E267" s="32"/>
      <c r="F267" s="33"/>
      <c r="G267" s="33"/>
      <c r="H267" s="33"/>
      <c r="I267" s="33"/>
      <c r="J267" s="32"/>
      <c r="K267" s="33"/>
      <c r="L267" s="33"/>
      <c r="M267" s="33"/>
      <c r="N267" s="33"/>
      <c r="O267" s="32"/>
      <c r="P267" s="33"/>
      <c r="Q267" s="33"/>
      <c r="R267" s="33"/>
      <c r="S267" s="33"/>
      <c r="T267" s="32"/>
      <c r="U267" s="33"/>
      <c r="V267" s="33"/>
      <c r="W267" s="33"/>
      <c r="X267" s="33"/>
      <c r="Y267" s="32"/>
      <c r="Z267" s="33"/>
      <c r="AA267" s="33"/>
      <c r="AB267" s="33"/>
      <c r="AC267" s="33"/>
      <c r="AD267" s="32"/>
      <c r="AE267" s="33"/>
      <c r="AF267" s="33"/>
      <c r="AG267" s="33"/>
      <c r="AH267" s="33"/>
      <c r="AI267" s="32"/>
      <c r="AJ267" s="15"/>
      <c r="AK267" s="33"/>
      <c r="AL267" s="33"/>
      <c r="AM267" s="33"/>
      <c r="AN267" s="32"/>
      <c r="AO267" s="217"/>
      <c r="AP267" s="217"/>
      <c r="AQ267" s="217"/>
      <c r="AR267" s="217"/>
      <c r="AS267" s="217"/>
      <c r="AT267" s="218"/>
      <c r="AU267" s="218"/>
      <c r="AV267" s="218"/>
      <c r="AW267" s="218"/>
      <c r="AX267" s="218"/>
      <c r="AY267" s="217"/>
      <c r="AZ267" s="217"/>
      <c r="BA267" s="217"/>
      <c r="BB267" s="217"/>
      <c r="BC267" s="217"/>
      <c r="BD267" s="226"/>
    </row>
    <row r="268" spans="1:56" s="8" customFormat="1" ht="42" customHeight="1" x14ac:dyDescent="0.35">
      <c r="A268" s="33"/>
      <c r="B268" s="182"/>
      <c r="C268" s="33"/>
      <c r="D268" s="33"/>
      <c r="E268" s="32"/>
      <c r="F268" s="33"/>
      <c r="G268" s="33"/>
      <c r="H268" s="33"/>
      <c r="I268" s="33"/>
      <c r="J268" s="32"/>
      <c r="K268" s="33"/>
      <c r="L268" s="33"/>
      <c r="M268" s="33"/>
      <c r="N268" s="33"/>
      <c r="O268" s="32"/>
      <c r="P268" s="33"/>
      <c r="Q268" s="33"/>
      <c r="R268" s="33"/>
      <c r="S268" s="33"/>
      <c r="T268" s="32"/>
      <c r="U268" s="33"/>
      <c r="V268" s="33"/>
      <c r="W268" s="33"/>
      <c r="X268" s="33"/>
      <c r="Y268" s="32"/>
      <c r="Z268" s="33"/>
      <c r="AA268" s="33"/>
      <c r="AB268" s="33"/>
      <c r="AC268" s="33"/>
      <c r="AD268" s="32"/>
      <c r="AE268" s="33"/>
      <c r="AF268" s="33"/>
      <c r="AG268" s="33"/>
      <c r="AH268" s="33"/>
      <c r="AI268" s="32"/>
      <c r="AJ268" s="15"/>
      <c r="AK268" s="33"/>
      <c r="AL268" s="33"/>
      <c r="AM268" s="33"/>
      <c r="AN268" s="32"/>
      <c r="AO268" s="217"/>
      <c r="AP268" s="217"/>
      <c r="AQ268" s="217"/>
      <c r="AR268" s="217"/>
      <c r="AS268" s="217"/>
      <c r="AT268" s="218"/>
      <c r="AU268" s="218"/>
      <c r="AV268" s="218"/>
      <c r="AW268" s="218"/>
      <c r="AX268" s="218"/>
      <c r="AY268" s="217"/>
      <c r="AZ268" s="217"/>
      <c r="BA268" s="217"/>
      <c r="BB268" s="217"/>
      <c r="BC268" s="217"/>
      <c r="BD268" s="226"/>
    </row>
    <row r="269" spans="1:56" s="8" customFormat="1" ht="42" customHeight="1" x14ac:dyDescent="0.35">
      <c r="A269" s="33"/>
      <c r="B269" s="182"/>
      <c r="C269" s="33"/>
      <c r="D269" s="33"/>
      <c r="E269" s="32"/>
      <c r="F269" s="33"/>
      <c r="G269" s="33"/>
      <c r="H269" s="33"/>
      <c r="I269" s="33"/>
      <c r="J269" s="32"/>
      <c r="K269" s="33"/>
      <c r="L269" s="33"/>
      <c r="M269" s="33"/>
      <c r="N269" s="33"/>
      <c r="O269" s="32"/>
      <c r="P269" s="33"/>
      <c r="Q269" s="33"/>
      <c r="R269" s="33"/>
      <c r="S269" s="33"/>
      <c r="T269" s="32"/>
      <c r="U269" s="33"/>
      <c r="V269" s="33"/>
      <c r="W269" s="33"/>
      <c r="X269" s="33"/>
      <c r="Y269" s="32"/>
      <c r="Z269" s="33"/>
      <c r="AA269" s="33"/>
      <c r="AB269" s="33"/>
      <c r="AC269" s="33"/>
      <c r="AD269" s="32"/>
      <c r="AE269" s="33"/>
      <c r="AF269" s="33"/>
      <c r="AG269" s="33"/>
      <c r="AH269" s="33"/>
      <c r="AI269" s="32"/>
      <c r="AJ269" s="15"/>
      <c r="AK269" s="33"/>
      <c r="AL269" s="33"/>
      <c r="AM269" s="33"/>
      <c r="AN269" s="32"/>
      <c r="AO269" s="217"/>
      <c r="AP269" s="217"/>
      <c r="AQ269" s="217"/>
      <c r="AR269" s="217"/>
      <c r="AS269" s="217"/>
      <c r="AT269" s="218"/>
      <c r="AU269" s="218"/>
      <c r="AV269" s="218"/>
      <c r="AW269" s="218"/>
      <c r="AX269" s="218"/>
      <c r="AY269" s="217"/>
      <c r="AZ269" s="217"/>
      <c r="BA269" s="217"/>
      <c r="BB269" s="217"/>
      <c r="BC269" s="217"/>
      <c r="BD269" s="226"/>
    </row>
    <row r="270" spans="1:56" s="8" customFormat="1" ht="42" customHeight="1" x14ac:dyDescent="0.35">
      <c r="A270" s="33"/>
      <c r="B270" s="182"/>
      <c r="C270" s="33"/>
      <c r="D270" s="33"/>
      <c r="E270" s="32"/>
      <c r="F270" s="33"/>
      <c r="G270" s="33"/>
      <c r="H270" s="33"/>
      <c r="I270" s="33"/>
      <c r="J270" s="32"/>
      <c r="K270" s="33"/>
      <c r="L270" s="33"/>
      <c r="M270" s="33"/>
      <c r="N270" s="33"/>
      <c r="O270" s="32"/>
      <c r="P270" s="33"/>
      <c r="Q270" s="33"/>
      <c r="R270" s="33"/>
      <c r="S270" s="33"/>
      <c r="T270" s="32"/>
      <c r="U270" s="33"/>
      <c r="V270" s="33"/>
      <c r="W270" s="33"/>
      <c r="X270" s="33"/>
      <c r="Y270" s="32"/>
      <c r="Z270" s="33"/>
      <c r="AA270" s="33"/>
      <c r="AB270" s="33"/>
      <c r="AC270" s="33"/>
      <c r="AD270" s="32"/>
      <c r="AE270" s="33"/>
      <c r="AF270" s="33"/>
      <c r="AG270" s="33"/>
      <c r="AH270" s="33"/>
      <c r="AI270" s="32"/>
      <c r="AJ270" s="15"/>
      <c r="AK270" s="33"/>
      <c r="AL270" s="33"/>
      <c r="AM270" s="33"/>
      <c r="AN270" s="32"/>
      <c r="AO270" s="217"/>
      <c r="AP270" s="217"/>
      <c r="AQ270" s="217"/>
      <c r="AR270" s="217"/>
      <c r="AS270" s="217"/>
      <c r="AT270" s="218"/>
      <c r="AU270" s="218"/>
      <c r="AV270" s="218"/>
      <c r="AW270" s="218"/>
      <c r="AX270" s="218"/>
      <c r="AY270" s="217"/>
      <c r="AZ270" s="217"/>
      <c r="BA270" s="217"/>
      <c r="BB270" s="217"/>
      <c r="BC270" s="217"/>
      <c r="BD270" s="226"/>
    </row>
    <row r="271" spans="1:56" s="8" customFormat="1" ht="42" customHeight="1" x14ac:dyDescent="0.35">
      <c r="A271" s="33"/>
      <c r="B271" s="182"/>
      <c r="C271" s="33"/>
      <c r="D271" s="33"/>
      <c r="E271" s="32"/>
      <c r="F271" s="33"/>
      <c r="G271" s="33"/>
      <c r="H271" s="33"/>
      <c r="I271" s="33"/>
      <c r="J271" s="32"/>
      <c r="K271" s="33"/>
      <c r="L271" s="33"/>
      <c r="M271" s="33"/>
      <c r="N271" s="33"/>
      <c r="O271" s="32"/>
      <c r="P271" s="33"/>
      <c r="Q271" s="33"/>
      <c r="R271" s="33"/>
      <c r="S271" s="33"/>
      <c r="T271" s="32"/>
      <c r="U271" s="33"/>
      <c r="V271" s="33"/>
      <c r="W271" s="33"/>
      <c r="X271" s="33"/>
      <c r="Y271" s="32"/>
      <c r="Z271" s="33"/>
      <c r="AA271" s="33"/>
      <c r="AB271" s="33"/>
      <c r="AC271" s="33"/>
      <c r="AD271" s="32"/>
      <c r="AE271" s="33"/>
      <c r="AF271" s="33"/>
      <c r="AG271" s="33"/>
      <c r="AH271" s="33"/>
      <c r="AI271" s="32"/>
      <c r="AJ271" s="15"/>
      <c r="AK271" s="33"/>
      <c r="AL271" s="33"/>
      <c r="AM271" s="33"/>
      <c r="AN271" s="32"/>
      <c r="AO271" s="217"/>
      <c r="AP271" s="217"/>
      <c r="AQ271" s="217"/>
      <c r="AR271" s="217"/>
      <c r="AS271" s="217"/>
      <c r="AT271" s="218"/>
      <c r="AU271" s="218"/>
      <c r="AV271" s="218"/>
      <c r="AW271" s="218"/>
      <c r="AX271" s="218"/>
      <c r="AY271" s="217"/>
      <c r="AZ271" s="217"/>
      <c r="BA271" s="217"/>
      <c r="BB271" s="217"/>
      <c r="BC271" s="217"/>
      <c r="BD271" s="226"/>
    </row>
    <row r="272" spans="1:56" s="8" customFormat="1" ht="42" customHeight="1" x14ac:dyDescent="0.35">
      <c r="A272" s="33"/>
      <c r="B272" s="182"/>
      <c r="C272" s="33"/>
      <c r="D272" s="33"/>
      <c r="E272" s="32"/>
      <c r="F272" s="33"/>
      <c r="G272" s="33"/>
      <c r="H272" s="33"/>
      <c r="I272" s="33"/>
      <c r="J272" s="32"/>
      <c r="K272" s="33"/>
      <c r="L272" s="33"/>
      <c r="M272" s="33"/>
      <c r="N272" s="33"/>
      <c r="O272" s="32"/>
      <c r="P272" s="33"/>
      <c r="Q272" s="33"/>
      <c r="R272" s="33"/>
      <c r="S272" s="33"/>
      <c r="T272" s="32"/>
      <c r="U272" s="33"/>
      <c r="V272" s="33"/>
      <c r="W272" s="33"/>
      <c r="X272" s="33"/>
      <c r="Y272" s="32"/>
      <c r="Z272" s="33"/>
      <c r="AA272" s="33"/>
      <c r="AB272" s="33"/>
      <c r="AC272" s="33"/>
      <c r="AD272" s="32"/>
      <c r="AE272" s="33"/>
      <c r="AF272" s="33"/>
      <c r="AG272" s="33"/>
      <c r="AH272" s="33"/>
      <c r="AI272" s="32"/>
      <c r="AJ272" s="15"/>
      <c r="AK272" s="33"/>
      <c r="AL272" s="33"/>
      <c r="AM272" s="33"/>
      <c r="AN272" s="32"/>
      <c r="AO272" s="217"/>
      <c r="AP272" s="217"/>
      <c r="AQ272" s="217"/>
      <c r="AR272" s="217"/>
      <c r="AS272" s="217"/>
      <c r="AT272" s="218"/>
      <c r="AU272" s="218"/>
      <c r="AV272" s="218"/>
      <c r="AW272" s="218"/>
      <c r="AX272" s="218"/>
      <c r="AY272" s="217"/>
      <c r="AZ272" s="217"/>
      <c r="BA272" s="217"/>
      <c r="BB272" s="217"/>
      <c r="BC272" s="217"/>
      <c r="BD272" s="226"/>
    </row>
    <row r="273" spans="1:56" s="8" customFormat="1" ht="42" customHeight="1" x14ac:dyDescent="0.35">
      <c r="A273" s="33"/>
      <c r="B273" s="182"/>
      <c r="C273" s="33"/>
      <c r="D273" s="33"/>
      <c r="E273" s="32"/>
      <c r="F273" s="33"/>
      <c r="G273" s="33"/>
      <c r="H273" s="33"/>
      <c r="I273" s="33"/>
      <c r="J273" s="32"/>
      <c r="K273" s="33"/>
      <c r="L273" s="33"/>
      <c r="M273" s="33"/>
      <c r="N273" s="33"/>
      <c r="O273" s="32"/>
      <c r="P273" s="33"/>
      <c r="Q273" s="33"/>
      <c r="R273" s="33"/>
      <c r="S273" s="33"/>
      <c r="T273" s="32"/>
      <c r="U273" s="33"/>
      <c r="V273" s="33"/>
      <c r="W273" s="33"/>
      <c r="X273" s="33"/>
      <c r="Y273" s="32"/>
      <c r="Z273" s="33"/>
      <c r="AA273" s="33"/>
      <c r="AB273" s="33"/>
      <c r="AC273" s="33"/>
      <c r="AD273" s="32"/>
      <c r="AE273" s="33"/>
      <c r="AF273" s="33"/>
      <c r="AG273" s="33"/>
      <c r="AH273" s="33"/>
      <c r="AI273" s="32"/>
      <c r="AJ273" s="15"/>
      <c r="AK273" s="33"/>
      <c r="AL273" s="33"/>
      <c r="AM273" s="33"/>
      <c r="AN273" s="32"/>
      <c r="AO273" s="217"/>
      <c r="AP273" s="217"/>
      <c r="AQ273" s="217"/>
      <c r="AR273" s="217"/>
      <c r="AS273" s="217"/>
      <c r="AT273" s="218"/>
      <c r="AU273" s="218"/>
      <c r="AV273" s="218"/>
      <c r="AW273" s="218"/>
      <c r="AX273" s="218"/>
      <c r="AY273" s="217"/>
      <c r="AZ273" s="217"/>
      <c r="BA273" s="217"/>
      <c r="BB273" s="217"/>
      <c r="BC273" s="217"/>
      <c r="BD273" s="226"/>
    </row>
    <row r="274" spans="1:56" s="8" customFormat="1" ht="42" customHeight="1" x14ac:dyDescent="0.35">
      <c r="A274" s="33"/>
      <c r="B274" s="182"/>
      <c r="C274" s="33"/>
      <c r="D274" s="33"/>
      <c r="E274" s="32"/>
      <c r="F274" s="33"/>
      <c r="G274" s="33"/>
      <c r="H274" s="33"/>
      <c r="I274" s="33"/>
      <c r="J274" s="32"/>
      <c r="K274" s="33"/>
      <c r="L274" s="33"/>
      <c r="M274" s="33"/>
      <c r="N274" s="33"/>
      <c r="O274" s="32"/>
      <c r="P274" s="33"/>
      <c r="Q274" s="33"/>
      <c r="R274" s="33"/>
      <c r="S274" s="33"/>
      <c r="T274" s="32"/>
      <c r="U274" s="33"/>
      <c r="V274" s="33"/>
      <c r="W274" s="33"/>
      <c r="X274" s="33"/>
      <c r="Y274" s="32"/>
      <c r="Z274" s="33"/>
      <c r="AA274" s="33"/>
      <c r="AB274" s="33"/>
      <c r="AC274" s="33"/>
      <c r="AD274" s="32"/>
      <c r="AE274" s="33"/>
      <c r="AF274" s="33"/>
      <c r="AG274" s="33"/>
      <c r="AH274" s="33"/>
      <c r="AI274" s="32"/>
      <c r="AJ274" s="15"/>
      <c r="AK274" s="33"/>
      <c r="AL274" s="33"/>
      <c r="AM274" s="33"/>
      <c r="AN274" s="32"/>
      <c r="AO274" s="217"/>
      <c r="AP274" s="217"/>
      <c r="AQ274" s="217"/>
      <c r="AR274" s="217"/>
      <c r="AS274" s="217"/>
      <c r="AT274" s="218"/>
      <c r="AU274" s="218"/>
      <c r="AV274" s="218"/>
      <c r="AW274" s="218"/>
      <c r="AX274" s="218"/>
      <c r="AY274" s="217"/>
      <c r="AZ274" s="217"/>
      <c r="BA274" s="217"/>
      <c r="BB274" s="217"/>
      <c r="BC274" s="217"/>
      <c r="BD274" s="226"/>
    </row>
    <row r="275" spans="1:56" s="8" customFormat="1" ht="42" customHeight="1" x14ac:dyDescent="0.35">
      <c r="A275" s="33"/>
      <c r="B275" s="182"/>
      <c r="C275" s="33"/>
      <c r="D275" s="33"/>
      <c r="E275" s="32"/>
      <c r="F275" s="33"/>
      <c r="G275" s="33"/>
      <c r="H275" s="33"/>
      <c r="I275" s="33"/>
      <c r="J275" s="32"/>
      <c r="K275" s="33"/>
      <c r="L275" s="33"/>
      <c r="M275" s="33"/>
      <c r="N275" s="33"/>
      <c r="O275" s="32"/>
      <c r="P275" s="33"/>
      <c r="Q275" s="33"/>
      <c r="R275" s="33"/>
      <c r="S275" s="33"/>
      <c r="T275" s="32"/>
      <c r="U275" s="33"/>
      <c r="V275" s="33"/>
      <c r="W275" s="33"/>
      <c r="X275" s="33"/>
      <c r="Y275" s="32"/>
      <c r="Z275" s="33"/>
      <c r="AA275" s="33"/>
      <c r="AB275" s="33"/>
      <c r="AC275" s="33"/>
      <c r="AD275" s="32"/>
      <c r="AE275" s="33"/>
      <c r="AF275" s="33"/>
      <c r="AG275" s="33"/>
      <c r="AH275" s="33"/>
      <c r="AI275" s="32"/>
      <c r="AJ275" s="15"/>
      <c r="AK275" s="33"/>
      <c r="AL275" s="33"/>
      <c r="AM275" s="33"/>
      <c r="AN275" s="32"/>
      <c r="AO275" s="217"/>
      <c r="AP275" s="217"/>
      <c r="AQ275" s="217"/>
      <c r="AR275" s="217"/>
      <c r="AS275" s="217"/>
      <c r="AT275" s="218"/>
      <c r="AU275" s="218"/>
      <c r="AV275" s="218"/>
      <c r="AW275" s="218"/>
      <c r="AX275" s="218"/>
      <c r="AY275" s="217"/>
      <c r="AZ275" s="217"/>
      <c r="BA275" s="217"/>
      <c r="BB275" s="217"/>
      <c r="BC275" s="217"/>
      <c r="BD275" s="226"/>
    </row>
    <row r="276" spans="1:56" s="8" customFormat="1" ht="42" customHeight="1" x14ac:dyDescent="0.35">
      <c r="A276" s="33"/>
      <c r="B276" s="182"/>
      <c r="C276" s="33"/>
      <c r="D276" s="33"/>
      <c r="E276" s="32"/>
      <c r="F276" s="33"/>
      <c r="G276" s="33"/>
      <c r="H276" s="33"/>
      <c r="I276" s="33"/>
      <c r="J276" s="32"/>
      <c r="K276" s="33"/>
      <c r="L276" s="33"/>
      <c r="M276" s="33"/>
      <c r="N276" s="33"/>
      <c r="O276" s="32"/>
      <c r="P276" s="33"/>
      <c r="Q276" s="33"/>
      <c r="R276" s="33"/>
      <c r="S276" s="33"/>
      <c r="T276" s="32"/>
      <c r="U276" s="33"/>
      <c r="V276" s="33"/>
      <c r="W276" s="33"/>
      <c r="X276" s="33"/>
      <c r="Y276" s="32"/>
      <c r="Z276" s="33"/>
      <c r="AA276" s="33"/>
      <c r="AB276" s="33"/>
      <c r="AC276" s="33"/>
      <c r="AD276" s="32"/>
      <c r="AE276" s="33"/>
      <c r="AF276" s="33"/>
      <c r="AG276" s="33"/>
      <c r="AH276" s="33"/>
      <c r="AI276" s="32"/>
      <c r="AJ276" s="15"/>
      <c r="AK276" s="33"/>
      <c r="AL276" s="33"/>
      <c r="AM276" s="33"/>
      <c r="AN276" s="32"/>
      <c r="AO276" s="217"/>
      <c r="AP276" s="217"/>
      <c r="AQ276" s="217"/>
      <c r="AR276" s="217"/>
      <c r="AS276" s="217"/>
      <c r="AT276" s="218"/>
      <c r="AU276" s="218"/>
      <c r="AV276" s="218"/>
      <c r="AW276" s="218"/>
      <c r="AX276" s="218"/>
      <c r="AY276" s="217"/>
      <c r="AZ276" s="217"/>
      <c r="BA276" s="217"/>
      <c r="BB276" s="217"/>
      <c r="BC276" s="217"/>
      <c r="BD276" s="226"/>
    </row>
    <row r="277" spans="1:56" s="8" customFormat="1" ht="42" customHeight="1" x14ac:dyDescent="0.35">
      <c r="A277" s="33"/>
      <c r="B277" s="182"/>
      <c r="C277" s="33"/>
      <c r="D277" s="33"/>
      <c r="E277" s="32"/>
      <c r="F277" s="33"/>
      <c r="G277" s="33"/>
      <c r="H277" s="33"/>
      <c r="I277" s="33"/>
      <c r="J277" s="32"/>
      <c r="K277" s="33"/>
      <c r="L277" s="33"/>
      <c r="M277" s="33"/>
      <c r="N277" s="33"/>
      <c r="O277" s="32"/>
      <c r="P277" s="33"/>
      <c r="Q277" s="33"/>
      <c r="R277" s="33"/>
      <c r="S277" s="33"/>
      <c r="T277" s="32"/>
      <c r="U277" s="33"/>
      <c r="V277" s="33"/>
      <c r="W277" s="33"/>
      <c r="X277" s="33"/>
      <c r="Y277" s="32"/>
      <c r="Z277" s="33"/>
      <c r="AA277" s="33"/>
      <c r="AB277" s="33"/>
      <c r="AC277" s="33"/>
      <c r="AD277" s="32"/>
      <c r="AE277" s="33"/>
      <c r="AF277" s="33"/>
      <c r="AG277" s="33"/>
      <c r="AH277" s="33"/>
      <c r="AI277" s="32"/>
      <c r="AJ277" s="15"/>
      <c r="AK277" s="33"/>
      <c r="AL277" s="33"/>
      <c r="AM277" s="33"/>
      <c r="AN277" s="32"/>
      <c r="AO277" s="217"/>
      <c r="AP277" s="217"/>
      <c r="AQ277" s="217"/>
      <c r="AR277" s="217"/>
      <c r="AS277" s="217"/>
      <c r="AT277" s="218"/>
      <c r="AU277" s="218"/>
      <c r="AV277" s="218"/>
      <c r="AW277" s="218"/>
      <c r="AX277" s="218"/>
      <c r="AY277" s="217"/>
      <c r="AZ277" s="217"/>
      <c r="BA277" s="217"/>
      <c r="BB277" s="217"/>
      <c r="BC277" s="217"/>
      <c r="BD277" s="226"/>
    </row>
    <row r="278" spans="1:56" s="8" customFormat="1" ht="42" customHeight="1" x14ac:dyDescent="0.35">
      <c r="A278" s="33"/>
      <c r="B278" s="182"/>
      <c r="C278" s="33"/>
      <c r="D278" s="33"/>
      <c r="E278" s="32"/>
      <c r="F278" s="33"/>
      <c r="G278" s="33"/>
      <c r="H278" s="33"/>
      <c r="I278" s="33"/>
      <c r="J278" s="32"/>
      <c r="K278" s="33"/>
      <c r="L278" s="33"/>
      <c r="M278" s="33"/>
      <c r="N278" s="33"/>
      <c r="O278" s="32"/>
      <c r="P278" s="33"/>
      <c r="Q278" s="33"/>
      <c r="R278" s="33"/>
      <c r="S278" s="33"/>
      <c r="T278" s="32"/>
      <c r="U278" s="33"/>
      <c r="V278" s="33"/>
      <c r="W278" s="33"/>
      <c r="X278" s="33"/>
      <c r="Y278" s="32"/>
      <c r="Z278" s="33"/>
      <c r="AA278" s="33"/>
      <c r="AB278" s="33"/>
      <c r="AC278" s="33"/>
      <c r="AD278" s="32"/>
      <c r="AE278" s="33"/>
      <c r="AF278" s="33"/>
      <c r="AG278" s="33"/>
      <c r="AH278" s="33"/>
      <c r="AI278" s="32"/>
      <c r="AJ278" s="15"/>
      <c r="AK278" s="33"/>
      <c r="AL278" s="33"/>
      <c r="AM278" s="33"/>
      <c r="AN278" s="32"/>
      <c r="AO278" s="217"/>
      <c r="AP278" s="217"/>
      <c r="AQ278" s="217"/>
      <c r="AR278" s="217"/>
      <c r="AS278" s="217"/>
      <c r="AT278" s="218"/>
      <c r="AU278" s="218"/>
      <c r="AV278" s="218"/>
      <c r="AW278" s="218"/>
      <c r="AX278" s="218"/>
      <c r="AY278" s="217"/>
      <c r="AZ278" s="217"/>
      <c r="BA278" s="217"/>
      <c r="BB278" s="217"/>
      <c r="BC278" s="217"/>
      <c r="BD278" s="226"/>
    </row>
    <row r="279" spans="1:56" s="8" customFormat="1" ht="42" customHeight="1" x14ac:dyDescent="0.35">
      <c r="A279" s="33"/>
      <c r="B279" s="182"/>
      <c r="C279" s="33"/>
      <c r="D279" s="33"/>
      <c r="E279" s="32"/>
      <c r="F279" s="33"/>
      <c r="G279" s="33"/>
      <c r="H279" s="33"/>
      <c r="I279" s="33"/>
      <c r="J279" s="32"/>
      <c r="K279" s="33"/>
      <c r="L279" s="33"/>
      <c r="M279" s="33"/>
      <c r="N279" s="33"/>
      <c r="O279" s="32"/>
      <c r="P279" s="33"/>
      <c r="Q279" s="33"/>
      <c r="R279" s="33"/>
      <c r="S279" s="33"/>
      <c r="T279" s="32"/>
      <c r="U279" s="33"/>
      <c r="V279" s="33"/>
      <c r="W279" s="33"/>
      <c r="X279" s="33"/>
      <c r="Y279" s="32"/>
      <c r="Z279" s="33"/>
      <c r="AA279" s="33"/>
      <c r="AB279" s="33"/>
      <c r="AC279" s="33"/>
      <c r="AD279" s="32"/>
      <c r="AE279" s="33"/>
      <c r="AF279" s="33"/>
      <c r="AG279" s="33"/>
      <c r="AH279" s="33"/>
      <c r="AI279" s="32"/>
      <c r="AJ279" s="15"/>
      <c r="AK279" s="33"/>
      <c r="AL279" s="33"/>
      <c r="AM279" s="33"/>
      <c r="AN279" s="32"/>
      <c r="AO279" s="217"/>
      <c r="AP279" s="217"/>
      <c r="AQ279" s="217"/>
      <c r="AR279" s="217"/>
      <c r="AS279" s="217"/>
      <c r="AT279" s="218"/>
      <c r="AU279" s="218"/>
      <c r="AV279" s="218"/>
      <c r="AW279" s="218"/>
      <c r="AX279" s="218"/>
      <c r="AY279" s="217"/>
      <c r="AZ279" s="217"/>
      <c r="BA279" s="217"/>
      <c r="BB279" s="217"/>
      <c r="BC279" s="217"/>
      <c r="BD279" s="226"/>
    </row>
    <row r="280" spans="1:56" s="8" customFormat="1" ht="42" customHeight="1" x14ac:dyDescent="0.35">
      <c r="A280" s="33"/>
      <c r="B280" s="182"/>
      <c r="C280" s="33"/>
      <c r="D280" s="33"/>
      <c r="E280" s="32"/>
      <c r="F280" s="33"/>
      <c r="G280" s="33"/>
      <c r="H280" s="33"/>
      <c r="I280" s="33"/>
      <c r="J280" s="32"/>
      <c r="K280" s="33"/>
      <c r="L280" s="33"/>
      <c r="M280" s="33"/>
      <c r="N280" s="33"/>
      <c r="O280" s="32"/>
      <c r="P280" s="33"/>
      <c r="Q280" s="33"/>
      <c r="R280" s="33"/>
      <c r="S280" s="33"/>
      <c r="T280" s="32"/>
      <c r="U280" s="33"/>
      <c r="V280" s="33"/>
      <c r="W280" s="33"/>
      <c r="X280" s="33"/>
      <c r="Y280" s="32"/>
      <c r="Z280" s="33"/>
      <c r="AA280" s="33"/>
      <c r="AB280" s="33"/>
      <c r="AC280" s="33"/>
      <c r="AD280" s="32"/>
      <c r="AE280" s="33"/>
      <c r="AF280" s="33"/>
      <c r="AG280" s="33"/>
      <c r="AH280" s="33"/>
      <c r="AI280" s="32"/>
      <c r="AJ280" s="15"/>
      <c r="AK280" s="33"/>
      <c r="AL280" s="33"/>
      <c r="AM280" s="33"/>
      <c r="AN280" s="32"/>
      <c r="AO280" s="217"/>
      <c r="AP280" s="217"/>
      <c r="AQ280" s="217"/>
      <c r="AR280" s="217"/>
      <c r="AS280" s="217"/>
      <c r="AT280" s="218"/>
      <c r="AU280" s="218"/>
      <c r="AV280" s="218"/>
      <c r="AW280" s="218"/>
      <c r="AX280" s="218"/>
      <c r="AY280" s="217"/>
      <c r="AZ280" s="217"/>
      <c r="BA280" s="217"/>
      <c r="BB280" s="217"/>
      <c r="BC280" s="217"/>
      <c r="BD280" s="226"/>
    </row>
    <row r="281" spans="1:56" s="8" customFormat="1" ht="42" customHeight="1" x14ac:dyDescent="0.35">
      <c r="A281" s="33"/>
      <c r="B281" s="182"/>
      <c r="C281" s="33"/>
      <c r="D281" s="33"/>
      <c r="E281" s="32"/>
      <c r="F281" s="33"/>
      <c r="G281" s="33"/>
      <c r="H281" s="33"/>
      <c r="I281" s="33"/>
      <c r="J281" s="32"/>
      <c r="K281" s="33"/>
      <c r="L281" s="33"/>
      <c r="M281" s="33"/>
      <c r="N281" s="33"/>
      <c r="O281" s="32"/>
      <c r="P281" s="33"/>
      <c r="Q281" s="33"/>
      <c r="R281" s="33"/>
      <c r="S281" s="33"/>
      <c r="T281" s="32"/>
      <c r="U281" s="33"/>
      <c r="V281" s="33"/>
      <c r="W281" s="33"/>
      <c r="X281" s="33"/>
      <c r="Y281" s="32"/>
      <c r="Z281" s="33"/>
      <c r="AA281" s="33"/>
      <c r="AB281" s="33"/>
      <c r="AC281" s="33"/>
      <c r="AD281" s="32"/>
      <c r="AE281" s="33"/>
      <c r="AF281" s="33"/>
      <c r="AG281" s="33"/>
      <c r="AH281" s="33"/>
      <c r="AI281" s="32"/>
      <c r="AJ281" s="15"/>
      <c r="AK281" s="33"/>
      <c r="AL281" s="33"/>
      <c r="AM281" s="33"/>
      <c r="AN281" s="32"/>
      <c r="AO281" s="217"/>
      <c r="AP281" s="217"/>
      <c r="AQ281" s="217"/>
      <c r="AR281" s="217"/>
      <c r="AS281" s="217"/>
      <c r="AT281" s="218"/>
      <c r="AU281" s="218"/>
      <c r="AV281" s="218"/>
      <c r="AW281" s="218"/>
      <c r="AX281" s="218"/>
      <c r="AY281" s="217"/>
      <c r="AZ281" s="217"/>
      <c r="BA281" s="217"/>
      <c r="BB281" s="217"/>
      <c r="BC281" s="217"/>
      <c r="BD281" s="226"/>
    </row>
    <row r="282" spans="1:56" s="8" customFormat="1" ht="42" customHeight="1" x14ac:dyDescent="0.35">
      <c r="A282" s="33"/>
      <c r="B282" s="182"/>
      <c r="C282" s="33"/>
      <c r="D282" s="33"/>
      <c r="E282" s="32"/>
      <c r="F282" s="33"/>
      <c r="G282" s="33"/>
      <c r="H282" s="33"/>
      <c r="I282" s="33"/>
      <c r="J282" s="32"/>
      <c r="K282" s="33"/>
      <c r="L282" s="33"/>
      <c r="M282" s="33"/>
      <c r="N282" s="33"/>
      <c r="O282" s="32"/>
      <c r="P282" s="33"/>
      <c r="Q282" s="33"/>
      <c r="R282" s="33"/>
      <c r="S282" s="33"/>
      <c r="T282" s="32"/>
      <c r="U282" s="33"/>
      <c r="V282" s="33"/>
      <c r="W282" s="33"/>
      <c r="X282" s="33"/>
      <c r="Y282" s="32"/>
      <c r="Z282" s="33"/>
      <c r="AA282" s="33"/>
      <c r="AB282" s="33"/>
      <c r="AC282" s="33"/>
      <c r="AD282" s="32"/>
      <c r="AE282" s="33"/>
      <c r="AF282" s="33"/>
      <c r="AG282" s="33"/>
      <c r="AH282" s="33"/>
      <c r="AI282" s="32"/>
      <c r="AJ282" s="15"/>
      <c r="AK282" s="33"/>
      <c r="AL282" s="33"/>
      <c r="AM282" s="33"/>
      <c r="AN282" s="32"/>
      <c r="AO282" s="217"/>
      <c r="AP282" s="217"/>
      <c r="AQ282" s="217"/>
      <c r="AR282" s="217"/>
      <c r="AS282" s="217"/>
      <c r="AT282" s="218"/>
      <c r="AU282" s="218"/>
      <c r="AV282" s="218"/>
      <c r="AW282" s="218"/>
      <c r="AX282" s="218"/>
      <c r="AY282" s="217"/>
      <c r="AZ282" s="217"/>
      <c r="BA282" s="217"/>
      <c r="BB282" s="217"/>
      <c r="BC282" s="217"/>
      <c r="BD282" s="226"/>
    </row>
    <row r="283" spans="1:56" s="8" customFormat="1" ht="42" customHeight="1" x14ac:dyDescent="0.35">
      <c r="A283" s="33"/>
      <c r="B283" s="182"/>
      <c r="C283" s="33"/>
      <c r="D283" s="33"/>
      <c r="E283" s="32"/>
      <c r="F283" s="33"/>
      <c r="G283" s="33"/>
      <c r="H283" s="33"/>
      <c r="I283" s="33"/>
      <c r="J283" s="32"/>
      <c r="K283" s="33"/>
      <c r="L283" s="33"/>
      <c r="M283" s="33"/>
      <c r="N283" s="33"/>
      <c r="O283" s="32"/>
      <c r="P283" s="33"/>
      <c r="Q283" s="33"/>
      <c r="R283" s="33"/>
      <c r="S283" s="33"/>
      <c r="T283" s="32"/>
      <c r="U283" s="33"/>
      <c r="V283" s="33"/>
      <c r="W283" s="33"/>
      <c r="X283" s="33"/>
      <c r="Y283" s="32"/>
      <c r="Z283" s="33"/>
      <c r="AA283" s="33"/>
      <c r="AB283" s="33"/>
      <c r="AC283" s="33"/>
      <c r="AD283" s="32"/>
      <c r="AE283" s="33"/>
      <c r="AF283" s="33"/>
      <c r="AG283" s="33"/>
      <c r="AH283" s="33"/>
      <c r="AI283" s="32"/>
      <c r="AJ283" s="15"/>
      <c r="AK283" s="33"/>
      <c r="AL283" s="33"/>
      <c r="AM283" s="33"/>
      <c r="AN283" s="32"/>
      <c r="AO283" s="217"/>
      <c r="AP283" s="217"/>
      <c r="AQ283" s="217"/>
      <c r="AR283" s="217"/>
      <c r="AS283" s="217"/>
      <c r="AT283" s="218"/>
      <c r="AU283" s="218"/>
      <c r="AV283" s="218"/>
      <c r="AW283" s="218"/>
      <c r="AX283" s="218"/>
      <c r="AY283" s="217"/>
      <c r="AZ283" s="217"/>
      <c r="BA283" s="217"/>
      <c r="BB283" s="217"/>
      <c r="BC283" s="217"/>
      <c r="BD283" s="226"/>
    </row>
    <row r="284" spans="1:56" s="8" customFormat="1" ht="42" customHeight="1" x14ac:dyDescent="0.35">
      <c r="A284" s="33"/>
      <c r="B284" s="182"/>
      <c r="C284" s="33"/>
      <c r="D284" s="33"/>
      <c r="E284" s="32"/>
      <c r="F284" s="33"/>
      <c r="G284" s="33"/>
      <c r="H284" s="33"/>
      <c r="I284" s="33"/>
      <c r="J284" s="32"/>
      <c r="K284" s="33"/>
      <c r="L284" s="33"/>
      <c r="M284" s="33"/>
      <c r="N284" s="33"/>
      <c r="O284" s="32"/>
      <c r="P284" s="33"/>
      <c r="Q284" s="33"/>
      <c r="R284" s="33"/>
      <c r="S284" s="33"/>
      <c r="T284" s="32"/>
      <c r="U284" s="33"/>
      <c r="V284" s="33"/>
      <c r="W284" s="33"/>
      <c r="X284" s="33"/>
      <c r="Y284" s="32"/>
      <c r="Z284" s="33"/>
      <c r="AA284" s="33"/>
      <c r="AB284" s="33"/>
      <c r="AC284" s="33"/>
      <c r="AD284" s="32"/>
      <c r="AE284" s="33"/>
      <c r="AF284" s="33"/>
      <c r="AG284" s="33"/>
      <c r="AH284" s="33"/>
      <c r="AI284" s="32"/>
      <c r="AJ284" s="15"/>
      <c r="AK284" s="33"/>
      <c r="AL284" s="33"/>
      <c r="AM284" s="33"/>
      <c r="AN284" s="32"/>
      <c r="AO284" s="217"/>
      <c r="AP284" s="217"/>
      <c r="AQ284" s="217"/>
      <c r="AR284" s="217"/>
      <c r="AS284" s="217"/>
      <c r="AT284" s="218"/>
      <c r="AU284" s="218"/>
      <c r="AV284" s="218"/>
      <c r="AW284" s="218"/>
      <c r="AX284" s="218"/>
      <c r="AY284" s="217"/>
      <c r="AZ284" s="217"/>
      <c r="BA284" s="217"/>
      <c r="BB284" s="217"/>
      <c r="BC284" s="217"/>
      <c r="BD284" s="226"/>
    </row>
    <row r="285" spans="1:56" s="8" customFormat="1" ht="42" customHeight="1" x14ac:dyDescent="0.35">
      <c r="A285" s="33"/>
      <c r="B285" s="182"/>
      <c r="C285" s="33"/>
      <c r="D285" s="33"/>
      <c r="E285" s="32"/>
      <c r="F285" s="33"/>
      <c r="G285" s="33"/>
      <c r="H285" s="33"/>
      <c r="I285" s="33"/>
      <c r="J285" s="32"/>
      <c r="K285" s="33"/>
      <c r="L285" s="33"/>
      <c r="M285" s="33"/>
      <c r="N285" s="33"/>
      <c r="O285" s="32"/>
      <c r="P285" s="33"/>
      <c r="Q285" s="33"/>
      <c r="R285" s="33"/>
      <c r="S285" s="33"/>
      <c r="T285" s="32"/>
      <c r="U285" s="33"/>
      <c r="V285" s="33"/>
      <c r="W285" s="33"/>
      <c r="X285" s="33"/>
      <c r="Y285" s="32"/>
      <c r="Z285" s="33"/>
      <c r="AA285" s="33"/>
      <c r="AB285" s="33"/>
      <c r="AC285" s="33"/>
      <c r="AD285" s="32"/>
      <c r="AE285" s="33"/>
      <c r="AF285" s="33"/>
      <c r="AG285" s="33"/>
      <c r="AH285" s="33"/>
      <c r="AI285" s="32"/>
      <c r="AJ285" s="15"/>
      <c r="AK285" s="33"/>
      <c r="AL285" s="33"/>
      <c r="AM285" s="33"/>
      <c r="AN285" s="32"/>
      <c r="AO285" s="217"/>
      <c r="AP285" s="217"/>
      <c r="AQ285" s="217"/>
      <c r="AR285" s="217"/>
      <c r="AS285" s="217"/>
      <c r="AT285" s="218"/>
      <c r="AU285" s="218"/>
      <c r="AV285" s="218"/>
      <c r="AW285" s="218"/>
      <c r="AX285" s="218"/>
      <c r="AY285" s="217"/>
      <c r="AZ285" s="217"/>
      <c r="BA285" s="217"/>
      <c r="BB285" s="217"/>
      <c r="BC285" s="217"/>
      <c r="BD285" s="226"/>
    </row>
    <row r="286" spans="1:56" s="8" customFormat="1" ht="42" customHeight="1" x14ac:dyDescent="0.35">
      <c r="A286" s="33"/>
      <c r="B286" s="182"/>
      <c r="C286" s="33"/>
      <c r="D286" s="33"/>
      <c r="E286" s="32"/>
      <c r="F286" s="33"/>
      <c r="G286" s="33"/>
      <c r="H286" s="33"/>
      <c r="I286" s="33"/>
      <c r="J286" s="32"/>
      <c r="K286" s="33"/>
      <c r="L286" s="33"/>
      <c r="M286" s="33"/>
      <c r="N286" s="33"/>
      <c r="O286" s="32"/>
      <c r="P286" s="33"/>
      <c r="Q286" s="33"/>
      <c r="R286" s="33"/>
      <c r="S286" s="33"/>
      <c r="T286" s="32"/>
      <c r="U286" s="33"/>
      <c r="V286" s="33"/>
      <c r="W286" s="33"/>
      <c r="X286" s="33"/>
      <c r="Y286" s="32"/>
      <c r="Z286" s="33"/>
      <c r="AA286" s="33"/>
      <c r="AB286" s="33"/>
      <c r="AC286" s="33"/>
      <c r="AD286" s="32"/>
      <c r="AE286" s="33"/>
      <c r="AF286" s="33"/>
      <c r="AG286" s="33"/>
      <c r="AH286" s="33"/>
      <c r="AI286" s="32"/>
      <c r="AJ286" s="15"/>
      <c r="AK286" s="33"/>
      <c r="AL286" s="33"/>
      <c r="AM286" s="33"/>
      <c r="AN286" s="32"/>
      <c r="AO286" s="217"/>
      <c r="AP286" s="217"/>
      <c r="AQ286" s="217"/>
      <c r="AR286" s="217"/>
      <c r="AS286" s="217"/>
      <c r="AT286" s="218"/>
      <c r="AU286" s="218"/>
      <c r="AV286" s="218"/>
      <c r="AW286" s="218"/>
      <c r="AX286" s="218"/>
      <c r="AY286" s="217"/>
      <c r="AZ286" s="217"/>
      <c r="BA286" s="217"/>
      <c r="BB286" s="217"/>
      <c r="BC286" s="217"/>
      <c r="BD286" s="226"/>
    </row>
    <row r="287" spans="1:56" s="8" customFormat="1" ht="42" customHeight="1" x14ac:dyDescent="0.35">
      <c r="A287" s="33"/>
      <c r="B287" s="182"/>
      <c r="C287" s="33"/>
      <c r="D287" s="33"/>
      <c r="E287" s="32"/>
      <c r="F287" s="33"/>
      <c r="G287" s="33"/>
      <c r="H287" s="33"/>
      <c r="I287" s="33"/>
      <c r="J287" s="32"/>
      <c r="K287" s="33"/>
      <c r="L287" s="33"/>
      <c r="M287" s="33"/>
      <c r="N287" s="33"/>
      <c r="O287" s="32"/>
      <c r="P287" s="33"/>
      <c r="Q287" s="33"/>
      <c r="R287" s="33"/>
      <c r="S287" s="33"/>
      <c r="T287" s="32"/>
      <c r="U287" s="33"/>
      <c r="V287" s="33"/>
      <c r="W287" s="33"/>
      <c r="X287" s="33"/>
      <c r="Y287" s="32"/>
      <c r="Z287" s="33"/>
      <c r="AA287" s="33"/>
      <c r="AB287" s="33"/>
      <c r="AC287" s="33"/>
      <c r="AD287" s="32"/>
      <c r="AE287" s="33"/>
      <c r="AF287" s="33"/>
      <c r="AG287" s="33"/>
      <c r="AH287" s="33"/>
      <c r="AI287" s="32"/>
      <c r="AJ287" s="15"/>
      <c r="AK287" s="33"/>
      <c r="AL287" s="33"/>
      <c r="AM287" s="33"/>
      <c r="AN287" s="32"/>
      <c r="AO287" s="217"/>
      <c r="AP287" s="217"/>
      <c r="AQ287" s="217"/>
      <c r="AR287" s="217"/>
      <c r="AS287" s="217"/>
      <c r="AT287" s="218"/>
      <c r="AU287" s="218"/>
      <c r="AV287" s="218"/>
      <c r="AW287" s="218"/>
      <c r="AX287" s="218"/>
      <c r="AY287" s="217"/>
      <c r="AZ287" s="217"/>
      <c r="BA287" s="217"/>
      <c r="BB287" s="217"/>
      <c r="BC287" s="217"/>
      <c r="BD287" s="226"/>
    </row>
    <row r="288" spans="1:56" s="8" customFormat="1" ht="42" customHeight="1" x14ac:dyDescent="0.35">
      <c r="A288" s="33"/>
      <c r="B288" s="182"/>
      <c r="C288" s="33"/>
      <c r="D288" s="33"/>
      <c r="E288" s="32"/>
      <c r="F288" s="33"/>
      <c r="G288" s="33"/>
      <c r="H288" s="33"/>
      <c r="I288" s="33"/>
      <c r="J288" s="32"/>
      <c r="K288" s="33"/>
      <c r="L288" s="33"/>
      <c r="M288" s="33"/>
      <c r="N288" s="33"/>
      <c r="O288" s="32"/>
      <c r="P288" s="33"/>
      <c r="Q288" s="33"/>
      <c r="R288" s="33"/>
      <c r="S288" s="33"/>
      <c r="T288" s="32"/>
      <c r="U288" s="33"/>
      <c r="V288" s="33"/>
      <c r="W288" s="33"/>
      <c r="X288" s="33"/>
      <c r="Y288" s="32"/>
      <c r="Z288" s="33"/>
      <c r="AA288" s="33"/>
      <c r="AB288" s="33"/>
      <c r="AC288" s="33"/>
      <c r="AD288" s="32"/>
      <c r="AE288" s="33"/>
      <c r="AF288" s="33"/>
      <c r="AG288" s="33"/>
      <c r="AH288" s="33"/>
      <c r="AI288" s="32"/>
      <c r="AJ288" s="15"/>
      <c r="AK288" s="33"/>
      <c r="AL288" s="33"/>
      <c r="AM288" s="33"/>
      <c r="AN288" s="32"/>
      <c r="AO288" s="217"/>
      <c r="AP288" s="217"/>
      <c r="AQ288" s="217"/>
      <c r="AR288" s="217"/>
      <c r="AS288" s="217"/>
      <c r="AT288" s="218"/>
      <c r="AU288" s="218"/>
      <c r="AV288" s="218"/>
      <c r="AW288" s="218"/>
      <c r="AX288" s="218"/>
      <c r="AY288" s="217"/>
      <c r="AZ288" s="217"/>
      <c r="BA288" s="217"/>
      <c r="BB288" s="217"/>
      <c r="BC288" s="217"/>
      <c r="BD288" s="226"/>
    </row>
    <row r="289" spans="1:56" s="8" customFormat="1" ht="42" customHeight="1" x14ac:dyDescent="0.35">
      <c r="A289" s="33"/>
      <c r="B289" s="182"/>
      <c r="C289" s="33"/>
      <c r="D289" s="33"/>
      <c r="E289" s="32"/>
      <c r="F289" s="33"/>
      <c r="G289" s="33"/>
      <c r="H289" s="33"/>
      <c r="I289" s="33"/>
      <c r="J289" s="32"/>
      <c r="K289" s="33"/>
      <c r="L289" s="33"/>
      <c r="M289" s="33"/>
      <c r="N289" s="33"/>
      <c r="O289" s="32"/>
      <c r="P289" s="33"/>
      <c r="Q289" s="33"/>
      <c r="R289" s="33"/>
      <c r="S289" s="33"/>
      <c r="T289" s="32"/>
      <c r="U289" s="33"/>
      <c r="V289" s="33"/>
      <c r="W289" s="33"/>
      <c r="X289" s="33"/>
      <c r="Y289" s="32"/>
      <c r="Z289" s="33"/>
      <c r="AA289" s="33"/>
      <c r="AB289" s="33"/>
      <c r="AC289" s="33"/>
      <c r="AD289" s="32"/>
      <c r="AE289" s="33"/>
      <c r="AF289" s="33"/>
      <c r="AG289" s="33"/>
      <c r="AH289" s="33"/>
      <c r="AI289" s="32"/>
      <c r="AJ289" s="15"/>
      <c r="AK289" s="33"/>
      <c r="AL289" s="33"/>
      <c r="AM289" s="33"/>
      <c r="AN289" s="32"/>
      <c r="AO289" s="217"/>
      <c r="AP289" s="217"/>
      <c r="AQ289" s="217"/>
      <c r="AR289" s="217"/>
      <c r="AS289" s="217"/>
      <c r="AT289" s="218"/>
      <c r="AU289" s="218"/>
      <c r="AV289" s="218"/>
      <c r="AW289" s="218"/>
      <c r="AX289" s="218"/>
      <c r="AY289" s="217"/>
      <c r="AZ289" s="217"/>
      <c r="BA289" s="217"/>
      <c r="BB289" s="217"/>
      <c r="BC289" s="217"/>
      <c r="BD289" s="226"/>
    </row>
    <row r="290" spans="1:56" s="8" customFormat="1" ht="42" customHeight="1" x14ac:dyDescent="0.35">
      <c r="A290" s="33"/>
      <c r="B290" s="182"/>
      <c r="C290" s="33"/>
      <c r="D290" s="33"/>
      <c r="E290" s="32"/>
      <c r="F290" s="33"/>
      <c r="G290" s="33"/>
      <c r="H290" s="33"/>
      <c r="I290" s="33"/>
      <c r="J290" s="32"/>
      <c r="K290" s="33"/>
      <c r="L290" s="33"/>
      <c r="M290" s="33"/>
      <c r="N290" s="33"/>
      <c r="O290" s="32"/>
      <c r="P290" s="33"/>
      <c r="Q290" s="33"/>
      <c r="R290" s="33"/>
      <c r="S290" s="33"/>
      <c r="T290" s="32"/>
      <c r="U290" s="33"/>
      <c r="V290" s="33"/>
      <c r="W290" s="33"/>
      <c r="X290" s="33"/>
      <c r="Y290" s="32"/>
      <c r="Z290" s="33"/>
      <c r="AA290" s="33"/>
      <c r="AB290" s="33"/>
      <c r="AC290" s="33"/>
      <c r="AD290" s="32"/>
      <c r="AE290" s="33"/>
      <c r="AF290" s="33"/>
      <c r="AG290" s="33"/>
      <c r="AH290" s="33"/>
      <c r="AI290" s="32"/>
      <c r="AJ290" s="15"/>
      <c r="AK290" s="33"/>
      <c r="AL290" s="33"/>
      <c r="AM290" s="33"/>
      <c r="AN290" s="32"/>
      <c r="AO290" s="217"/>
      <c r="AP290" s="217"/>
      <c r="AQ290" s="217"/>
      <c r="AR290" s="217"/>
      <c r="AS290" s="217"/>
      <c r="AT290" s="218"/>
      <c r="AU290" s="218"/>
      <c r="AV290" s="218"/>
      <c r="AW290" s="218"/>
      <c r="AX290" s="218"/>
      <c r="AY290" s="217"/>
      <c r="AZ290" s="217"/>
      <c r="BA290" s="217"/>
      <c r="BB290" s="217"/>
      <c r="BC290" s="217"/>
      <c r="BD290" s="226"/>
    </row>
    <row r="291" spans="1:56" s="8" customFormat="1" ht="42" customHeight="1" x14ac:dyDescent="0.35">
      <c r="A291" s="33"/>
      <c r="B291" s="182"/>
      <c r="C291" s="33"/>
      <c r="D291" s="33"/>
      <c r="E291" s="32"/>
      <c r="F291" s="33"/>
      <c r="G291" s="33"/>
      <c r="H291" s="33"/>
      <c r="I291" s="33"/>
      <c r="J291" s="32"/>
      <c r="K291" s="33"/>
      <c r="L291" s="33"/>
      <c r="M291" s="33"/>
      <c r="N291" s="33"/>
      <c r="O291" s="32"/>
      <c r="P291" s="33"/>
      <c r="Q291" s="33"/>
      <c r="R291" s="33"/>
      <c r="S291" s="33"/>
      <c r="T291" s="32"/>
      <c r="U291" s="33"/>
      <c r="V291" s="33"/>
      <c r="W291" s="33"/>
      <c r="X291" s="33"/>
      <c r="Y291" s="32"/>
      <c r="Z291" s="33"/>
      <c r="AA291" s="33"/>
      <c r="AB291" s="33"/>
      <c r="AC291" s="33"/>
      <c r="AD291" s="32"/>
      <c r="AE291" s="33"/>
      <c r="AF291" s="33"/>
      <c r="AG291" s="33"/>
      <c r="AH291" s="33"/>
      <c r="AI291" s="32"/>
      <c r="AJ291" s="15"/>
      <c r="AK291" s="33"/>
      <c r="AL291" s="33"/>
      <c r="AM291" s="33"/>
      <c r="AN291" s="32"/>
      <c r="AO291" s="217"/>
      <c r="AP291" s="217"/>
      <c r="AQ291" s="217"/>
      <c r="AR291" s="217"/>
      <c r="AS291" s="217"/>
      <c r="AT291" s="218"/>
      <c r="AU291" s="218"/>
      <c r="AV291" s="218"/>
      <c r="AW291" s="218"/>
      <c r="AX291" s="218"/>
      <c r="AY291" s="217"/>
      <c r="AZ291" s="217"/>
      <c r="BA291" s="217"/>
      <c r="BB291" s="217"/>
      <c r="BC291" s="217"/>
      <c r="BD291" s="226"/>
    </row>
    <row r="292" spans="1:56" s="8" customFormat="1" ht="42" customHeight="1" x14ac:dyDescent="0.35">
      <c r="A292" s="33"/>
      <c r="B292" s="182"/>
      <c r="C292" s="33"/>
      <c r="D292" s="33"/>
      <c r="E292" s="32"/>
      <c r="F292" s="33"/>
      <c r="G292" s="33"/>
      <c r="H292" s="33"/>
      <c r="I292" s="33"/>
      <c r="J292" s="32"/>
      <c r="K292" s="33"/>
      <c r="L292" s="33"/>
      <c r="M292" s="33"/>
      <c r="N292" s="33"/>
      <c r="O292" s="32"/>
      <c r="P292" s="33"/>
      <c r="Q292" s="33"/>
      <c r="R292" s="33"/>
      <c r="S292" s="33"/>
      <c r="T292" s="32"/>
      <c r="U292" s="33"/>
      <c r="V292" s="33"/>
      <c r="W292" s="33"/>
      <c r="X292" s="33"/>
      <c r="Y292" s="32"/>
      <c r="Z292" s="33"/>
      <c r="AA292" s="33"/>
      <c r="AB292" s="33"/>
      <c r="AC292" s="33"/>
      <c r="AD292" s="32"/>
      <c r="AE292" s="33"/>
      <c r="AF292" s="33"/>
      <c r="AG292" s="33"/>
      <c r="AH292" s="33"/>
      <c r="AI292" s="32"/>
      <c r="AJ292" s="15"/>
      <c r="AK292" s="33"/>
      <c r="AL292" s="33"/>
      <c r="AM292" s="33"/>
      <c r="AN292" s="32"/>
      <c r="AO292" s="217"/>
      <c r="AP292" s="217"/>
      <c r="AQ292" s="217"/>
      <c r="AR292" s="217"/>
      <c r="AS292" s="217"/>
      <c r="AT292" s="218"/>
      <c r="AU292" s="218"/>
      <c r="AV292" s="218"/>
      <c r="AW292" s="218"/>
      <c r="AX292" s="218"/>
      <c r="AY292" s="217"/>
      <c r="AZ292" s="217"/>
      <c r="BA292" s="217"/>
      <c r="BB292" s="217"/>
      <c r="BC292" s="217"/>
      <c r="BD292" s="226"/>
    </row>
    <row r="293" spans="1:56" s="8" customFormat="1" ht="42" customHeight="1" x14ac:dyDescent="0.35">
      <c r="A293" s="33"/>
      <c r="B293" s="182"/>
      <c r="C293" s="33"/>
      <c r="D293" s="33"/>
      <c r="E293" s="32"/>
      <c r="F293" s="33"/>
      <c r="G293" s="33"/>
      <c r="H293" s="33"/>
      <c r="I293" s="33"/>
      <c r="J293" s="32"/>
      <c r="K293" s="33"/>
      <c r="L293" s="33"/>
      <c r="M293" s="33"/>
      <c r="N293" s="33"/>
      <c r="O293" s="32"/>
      <c r="P293" s="33"/>
      <c r="Q293" s="33"/>
      <c r="R293" s="33"/>
      <c r="S293" s="33"/>
      <c r="T293" s="32"/>
      <c r="U293" s="33"/>
      <c r="V293" s="33"/>
      <c r="W293" s="33"/>
      <c r="X293" s="33"/>
      <c r="Y293" s="32"/>
      <c r="Z293" s="33"/>
      <c r="AA293" s="33"/>
      <c r="AB293" s="33"/>
      <c r="AC293" s="33"/>
      <c r="AD293" s="32"/>
      <c r="AE293" s="33"/>
      <c r="AF293" s="33"/>
      <c r="AG293" s="33"/>
      <c r="AH293" s="33"/>
      <c r="AI293" s="32"/>
      <c r="AJ293" s="15"/>
      <c r="AK293" s="33"/>
      <c r="AL293" s="33"/>
      <c r="AM293" s="33"/>
      <c r="AN293" s="32"/>
      <c r="AO293" s="217"/>
      <c r="AP293" s="217"/>
      <c r="AQ293" s="217"/>
      <c r="AR293" s="217"/>
      <c r="AS293" s="217"/>
      <c r="AT293" s="218"/>
      <c r="AU293" s="218"/>
      <c r="AV293" s="218"/>
      <c r="AW293" s="218"/>
      <c r="AX293" s="218"/>
      <c r="AY293" s="217"/>
      <c r="AZ293" s="217"/>
      <c r="BA293" s="217"/>
      <c r="BB293" s="217"/>
      <c r="BC293" s="217"/>
      <c r="BD293" s="226"/>
    </row>
    <row r="294" spans="1:56" s="8" customFormat="1" ht="42" customHeight="1" x14ac:dyDescent="0.35">
      <c r="A294" s="33"/>
      <c r="B294" s="182"/>
      <c r="C294" s="33"/>
      <c r="D294" s="33"/>
      <c r="E294" s="32"/>
      <c r="F294" s="33"/>
      <c r="G294" s="33"/>
      <c r="H294" s="33"/>
      <c r="I294" s="33"/>
      <c r="J294" s="32"/>
      <c r="K294" s="33"/>
      <c r="L294" s="33"/>
      <c r="M294" s="33"/>
      <c r="N294" s="33"/>
      <c r="O294" s="32"/>
      <c r="P294" s="33"/>
      <c r="Q294" s="33"/>
      <c r="R294" s="33"/>
      <c r="S294" s="33"/>
      <c r="T294" s="32"/>
      <c r="U294" s="33"/>
      <c r="V294" s="33"/>
      <c r="W294" s="33"/>
      <c r="X294" s="33"/>
      <c r="Y294" s="32"/>
      <c r="Z294" s="33"/>
      <c r="AA294" s="33"/>
      <c r="AB294" s="33"/>
      <c r="AC294" s="33"/>
      <c r="AD294" s="32"/>
      <c r="AE294" s="33"/>
      <c r="AF294" s="33"/>
      <c r="AG294" s="33"/>
      <c r="AH294" s="33"/>
      <c r="AI294" s="32"/>
      <c r="AJ294" s="15"/>
      <c r="AK294" s="33"/>
      <c r="AL294" s="33"/>
      <c r="AM294" s="33"/>
      <c r="AN294" s="32"/>
      <c r="AO294" s="217"/>
      <c r="AP294" s="217"/>
      <c r="AQ294" s="217"/>
      <c r="AR294" s="217"/>
      <c r="AS294" s="217"/>
      <c r="AT294" s="218"/>
      <c r="AU294" s="218"/>
      <c r="AV294" s="218"/>
      <c r="AW294" s="218"/>
      <c r="AX294" s="218"/>
      <c r="AY294" s="217"/>
      <c r="AZ294" s="217"/>
      <c r="BA294" s="217"/>
      <c r="BB294" s="217"/>
      <c r="BC294" s="217"/>
      <c r="BD294" s="226"/>
    </row>
    <row r="295" spans="1:56" s="8" customFormat="1" ht="42" customHeight="1" x14ac:dyDescent="0.35">
      <c r="A295" s="33"/>
      <c r="B295" s="182"/>
      <c r="C295" s="33"/>
      <c r="D295" s="33"/>
      <c r="E295" s="32"/>
      <c r="F295" s="33"/>
      <c r="G295" s="33"/>
      <c r="H295" s="33"/>
      <c r="I295" s="33"/>
      <c r="J295" s="32"/>
      <c r="K295" s="33"/>
      <c r="L295" s="33"/>
      <c r="M295" s="33"/>
      <c r="N295" s="33"/>
      <c r="O295" s="32"/>
      <c r="P295" s="33"/>
      <c r="Q295" s="33"/>
      <c r="R295" s="33"/>
      <c r="S295" s="33"/>
      <c r="T295" s="32"/>
      <c r="U295" s="33"/>
      <c r="V295" s="33"/>
      <c r="W295" s="33"/>
      <c r="X295" s="33"/>
      <c r="Y295" s="32"/>
      <c r="Z295" s="33"/>
      <c r="AA295" s="33"/>
      <c r="AB295" s="33"/>
      <c r="AC295" s="33"/>
      <c r="AD295" s="32"/>
      <c r="AE295" s="33"/>
      <c r="AF295" s="33"/>
      <c r="AG295" s="33"/>
      <c r="AH295" s="33"/>
      <c r="AI295" s="32"/>
      <c r="AJ295" s="15"/>
      <c r="AK295" s="33"/>
      <c r="AL295" s="33"/>
      <c r="AM295" s="33"/>
      <c r="AN295" s="32"/>
      <c r="AO295" s="217"/>
      <c r="AP295" s="217"/>
      <c r="AQ295" s="217"/>
      <c r="AR295" s="217"/>
      <c r="AS295" s="217"/>
      <c r="AT295" s="218"/>
      <c r="AU295" s="218"/>
      <c r="AV295" s="218"/>
      <c r="AW295" s="218"/>
      <c r="AX295" s="218"/>
      <c r="AY295" s="217"/>
      <c r="AZ295" s="217"/>
      <c r="BA295" s="217"/>
      <c r="BB295" s="217"/>
      <c r="BC295" s="217"/>
      <c r="BD295" s="226"/>
    </row>
    <row r="296" spans="1:56" s="8" customFormat="1" ht="42" customHeight="1" x14ac:dyDescent="0.35">
      <c r="A296" s="33"/>
      <c r="B296" s="182"/>
      <c r="C296" s="33"/>
      <c r="D296" s="33"/>
      <c r="E296" s="32"/>
      <c r="F296" s="33"/>
      <c r="G296" s="33"/>
      <c r="H296" s="33"/>
      <c r="I296" s="33"/>
      <c r="J296" s="32"/>
      <c r="K296" s="33"/>
      <c r="L296" s="33"/>
      <c r="M296" s="33"/>
      <c r="N296" s="33"/>
      <c r="O296" s="32"/>
      <c r="P296" s="33"/>
      <c r="Q296" s="33"/>
      <c r="R296" s="33"/>
      <c r="S296" s="33"/>
      <c r="T296" s="32"/>
      <c r="U296" s="33"/>
      <c r="V296" s="33"/>
      <c r="W296" s="33"/>
      <c r="X296" s="33"/>
      <c r="Y296" s="32"/>
      <c r="Z296" s="33"/>
      <c r="AA296" s="33"/>
      <c r="AB296" s="33"/>
      <c r="AC296" s="33"/>
      <c r="AD296" s="32"/>
      <c r="AE296" s="33"/>
      <c r="AF296" s="33"/>
      <c r="AG296" s="33"/>
      <c r="AH296" s="33"/>
      <c r="AI296" s="32"/>
      <c r="AJ296" s="15"/>
      <c r="AK296" s="33"/>
      <c r="AL296" s="33"/>
      <c r="AM296" s="33"/>
      <c r="AN296" s="32"/>
      <c r="AO296" s="217"/>
      <c r="AP296" s="217"/>
      <c r="AQ296" s="217"/>
      <c r="AR296" s="217"/>
      <c r="AS296" s="217"/>
      <c r="AT296" s="218"/>
      <c r="AU296" s="218"/>
      <c r="AV296" s="218"/>
      <c r="AW296" s="218"/>
      <c r="AX296" s="218"/>
      <c r="AY296" s="217"/>
      <c r="AZ296" s="217"/>
      <c r="BA296" s="217"/>
      <c r="BB296" s="217"/>
      <c r="BC296" s="217"/>
      <c r="BD296" s="226"/>
    </row>
    <row r="297" spans="1:56" s="8" customFormat="1" ht="42" customHeight="1" x14ac:dyDescent="0.35">
      <c r="A297" s="33"/>
      <c r="B297" s="182"/>
      <c r="C297" s="33"/>
      <c r="D297" s="33"/>
      <c r="E297" s="32"/>
      <c r="F297" s="33"/>
      <c r="G297" s="33"/>
      <c r="H297" s="33"/>
      <c r="I297" s="33"/>
      <c r="J297" s="32"/>
      <c r="K297" s="33"/>
      <c r="L297" s="33"/>
      <c r="M297" s="33"/>
      <c r="N297" s="33"/>
      <c r="O297" s="32"/>
      <c r="P297" s="33"/>
      <c r="Q297" s="33"/>
      <c r="R297" s="33"/>
      <c r="S297" s="33"/>
      <c r="T297" s="32"/>
      <c r="U297" s="33"/>
      <c r="V297" s="33"/>
      <c r="W297" s="33"/>
      <c r="X297" s="33"/>
      <c r="Y297" s="32"/>
      <c r="Z297" s="33"/>
      <c r="AA297" s="33"/>
      <c r="AB297" s="33"/>
      <c r="AC297" s="33"/>
      <c r="AD297" s="32"/>
      <c r="AE297" s="33"/>
      <c r="AF297" s="33"/>
      <c r="AG297" s="33"/>
      <c r="AH297" s="33"/>
      <c r="AI297" s="32"/>
      <c r="AJ297" s="15"/>
      <c r="AK297" s="33"/>
      <c r="AL297" s="33"/>
      <c r="AM297" s="33"/>
      <c r="AN297" s="32"/>
      <c r="AO297" s="217"/>
      <c r="AP297" s="217"/>
      <c r="AQ297" s="217"/>
      <c r="AR297" s="217"/>
      <c r="AS297" s="217"/>
      <c r="AT297" s="218"/>
      <c r="AU297" s="218"/>
      <c r="AV297" s="218"/>
      <c r="AW297" s="218"/>
      <c r="AX297" s="218"/>
      <c r="AY297" s="217"/>
      <c r="AZ297" s="217"/>
      <c r="BA297" s="217"/>
      <c r="BB297" s="217"/>
      <c r="BC297" s="217"/>
      <c r="BD297" s="226"/>
    </row>
    <row r="298" spans="1:56" s="8" customFormat="1" ht="42" customHeight="1" x14ac:dyDescent="0.35">
      <c r="A298" s="33"/>
      <c r="B298" s="182"/>
      <c r="C298" s="33"/>
      <c r="D298" s="33"/>
      <c r="E298" s="32"/>
      <c r="F298" s="33"/>
      <c r="G298" s="33"/>
      <c r="H298" s="33"/>
      <c r="I298" s="33"/>
      <c r="J298" s="32"/>
      <c r="K298" s="33"/>
      <c r="L298" s="33"/>
      <c r="M298" s="33"/>
      <c r="N298" s="33"/>
      <c r="O298" s="32"/>
      <c r="P298" s="33"/>
      <c r="Q298" s="33"/>
      <c r="R298" s="33"/>
      <c r="S298" s="33"/>
      <c r="T298" s="32"/>
      <c r="U298" s="33"/>
      <c r="V298" s="33"/>
      <c r="W298" s="33"/>
      <c r="X298" s="33"/>
      <c r="Y298" s="32"/>
      <c r="Z298" s="33"/>
      <c r="AA298" s="33"/>
      <c r="AB298" s="33"/>
      <c r="AC298" s="33"/>
      <c r="AD298" s="32"/>
      <c r="AE298" s="33"/>
      <c r="AF298" s="33"/>
      <c r="AG298" s="33"/>
      <c r="AH298" s="33"/>
      <c r="AI298" s="32"/>
      <c r="AJ298" s="15"/>
      <c r="AK298" s="33"/>
      <c r="AL298" s="33"/>
      <c r="AM298" s="33"/>
      <c r="AN298" s="32"/>
      <c r="AO298" s="217"/>
      <c r="AP298" s="217"/>
      <c r="AQ298" s="217"/>
      <c r="AR298" s="217"/>
      <c r="AS298" s="217"/>
      <c r="AT298" s="218"/>
      <c r="AU298" s="218"/>
      <c r="AV298" s="218"/>
      <c r="AW298" s="218"/>
      <c r="AX298" s="218"/>
      <c r="AY298" s="217"/>
      <c r="AZ298" s="217"/>
      <c r="BA298" s="217"/>
      <c r="BB298" s="217"/>
      <c r="BC298" s="217"/>
      <c r="BD298" s="226"/>
    </row>
    <row r="299" spans="1:56" s="8" customFormat="1" ht="42" customHeight="1" x14ac:dyDescent="0.35">
      <c r="A299" s="33"/>
      <c r="B299" s="182"/>
      <c r="C299" s="33"/>
      <c r="D299" s="33"/>
      <c r="E299" s="32"/>
      <c r="F299" s="33"/>
      <c r="G299" s="33"/>
      <c r="H299" s="33"/>
      <c r="I299" s="33"/>
      <c r="J299" s="32"/>
      <c r="K299" s="33"/>
      <c r="L299" s="33"/>
      <c r="M299" s="33"/>
      <c r="N299" s="33"/>
      <c r="O299" s="32"/>
      <c r="P299" s="33"/>
      <c r="Q299" s="33"/>
      <c r="R299" s="33"/>
      <c r="S299" s="33"/>
      <c r="T299" s="32"/>
      <c r="U299" s="33"/>
      <c r="V299" s="33"/>
      <c r="W299" s="33"/>
      <c r="X299" s="33"/>
      <c r="Y299" s="32"/>
      <c r="Z299" s="33"/>
      <c r="AA299" s="33"/>
      <c r="AB299" s="33"/>
      <c r="AC299" s="33"/>
      <c r="AD299" s="32"/>
      <c r="AE299" s="33"/>
      <c r="AF299" s="33"/>
      <c r="AG299" s="33"/>
      <c r="AH299" s="33"/>
      <c r="AI299" s="32"/>
      <c r="AJ299" s="15"/>
      <c r="AK299" s="33"/>
      <c r="AL299" s="33"/>
      <c r="AM299" s="33"/>
      <c r="AN299" s="32"/>
      <c r="AO299" s="217"/>
      <c r="AP299" s="217"/>
      <c r="AQ299" s="217"/>
      <c r="AR299" s="217"/>
      <c r="AS299" s="217"/>
      <c r="AT299" s="218"/>
      <c r="AU299" s="218"/>
      <c r="AV299" s="218"/>
      <c r="AW299" s="218"/>
      <c r="AX299" s="218"/>
      <c r="AY299" s="217"/>
      <c r="AZ299" s="217"/>
      <c r="BA299" s="217"/>
      <c r="BB299" s="217"/>
      <c r="BC299" s="217"/>
      <c r="BD299" s="226"/>
    </row>
    <row r="300" spans="1:56" s="8" customFormat="1" ht="42" customHeight="1" x14ac:dyDescent="0.35">
      <c r="A300" s="33"/>
      <c r="B300" s="182"/>
      <c r="C300" s="33"/>
      <c r="D300" s="33"/>
      <c r="E300" s="32"/>
      <c r="F300" s="33"/>
      <c r="G300" s="33"/>
      <c r="H300" s="33"/>
      <c r="I300" s="33"/>
      <c r="J300" s="32"/>
      <c r="K300" s="33"/>
      <c r="L300" s="33"/>
      <c r="M300" s="33"/>
      <c r="N300" s="33"/>
      <c r="O300" s="32"/>
      <c r="P300" s="33"/>
      <c r="Q300" s="33"/>
      <c r="R300" s="33"/>
      <c r="S300" s="33"/>
      <c r="T300" s="32"/>
      <c r="U300" s="33"/>
      <c r="V300" s="33"/>
      <c r="W300" s="33"/>
      <c r="X300" s="33"/>
      <c r="Y300" s="32"/>
      <c r="Z300" s="33"/>
      <c r="AA300" s="33"/>
      <c r="AB300" s="33"/>
      <c r="AC300" s="33"/>
      <c r="AD300" s="32"/>
      <c r="AE300" s="33"/>
      <c r="AF300" s="33"/>
      <c r="AG300" s="33"/>
      <c r="AH300" s="33"/>
      <c r="AI300" s="32"/>
      <c r="AJ300" s="15"/>
      <c r="AK300" s="33"/>
      <c r="AL300" s="33"/>
      <c r="AM300" s="33"/>
      <c r="AN300" s="32"/>
      <c r="AO300" s="217"/>
      <c r="AP300" s="217"/>
      <c r="AQ300" s="217"/>
      <c r="AR300" s="217"/>
      <c r="AS300" s="217"/>
      <c r="AT300" s="218"/>
      <c r="AU300" s="218"/>
      <c r="AV300" s="218"/>
      <c r="AW300" s="218"/>
      <c r="AX300" s="218"/>
      <c r="AY300" s="217"/>
      <c r="AZ300" s="217"/>
      <c r="BA300" s="217"/>
      <c r="BB300" s="217"/>
      <c r="BC300" s="217"/>
      <c r="BD300" s="226"/>
    </row>
    <row r="301" spans="1:56" s="8" customFormat="1" ht="42" customHeight="1" x14ac:dyDescent="0.35">
      <c r="A301" s="33"/>
      <c r="B301" s="182"/>
      <c r="C301" s="33"/>
      <c r="D301" s="33"/>
      <c r="E301" s="32"/>
      <c r="F301" s="33"/>
      <c r="G301" s="33"/>
      <c r="H301" s="33"/>
      <c r="I301" s="33"/>
      <c r="J301" s="32"/>
      <c r="K301" s="33"/>
      <c r="L301" s="33"/>
      <c r="M301" s="33"/>
      <c r="N301" s="33"/>
      <c r="O301" s="32"/>
      <c r="P301" s="33"/>
      <c r="Q301" s="33"/>
      <c r="R301" s="33"/>
      <c r="S301" s="33"/>
      <c r="T301" s="32"/>
      <c r="U301" s="33"/>
      <c r="V301" s="33"/>
      <c r="W301" s="33"/>
      <c r="X301" s="33"/>
      <c r="Y301" s="32"/>
      <c r="Z301" s="33"/>
      <c r="AA301" s="33"/>
      <c r="AB301" s="33"/>
      <c r="AC301" s="33"/>
      <c r="AD301" s="32"/>
      <c r="AE301" s="33"/>
      <c r="AF301" s="33"/>
      <c r="AG301" s="33"/>
      <c r="AH301" s="33"/>
      <c r="AI301" s="32"/>
      <c r="AJ301" s="15"/>
      <c r="AK301" s="33"/>
      <c r="AL301" s="33"/>
      <c r="AM301" s="33"/>
      <c r="AN301" s="32"/>
      <c r="AO301" s="217"/>
      <c r="AP301" s="217"/>
      <c r="AQ301" s="217"/>
      <c r="AR301" s="217"/>
      <c r="AS301" s="217"/>
      <c r="AT301" s="218"/>
      <c r="AU301" s="218"/>
      <c r="AV301" s="218"/>
      <c r="AW301" s="218"/>
      <c r="AX301" s="218"/>
      <c r="AY301" s="217"/>
      <c r="AZ301" s="217"/>
      <c r="BA301" s="217"/>
      <c r="BB301" s="217"/>
      <c r="BC301" s="217"/>
      <c r="BD301" s="226"/>
    </row>
    <row r="302" spans="1:56" s="8" customFormat="1" ht="42" customHeight="1" x14ac:dyDescent="0.35">
      <c r="A302" s="33"/>
      <c r="B302" s="182"/>
      <c r="C302" s="33"/>
      <c r="D302" s="33"/>
      <c r="E302" s="32"/>
      <c r="F302" s="33"/>
      <c r="G302" s="33"/>
      <c r="H302" s="33"/>
      <c r="I302" s="33"/>
      <c r="J302" s="32"/>
      <c r="K302" s="33"/>
      <c r="L302" s="33"/>
      <c r="M302" s="33"/>
      <c r="N302" s="33"/>
      <c r="O302" s="32"/>
      <c r="P302" s="33"/>
      <c r="Q302" s="33"/>
      <c r="R302" s="33"/>
      <c r="S302" s="33"/>
      <c r="T302" s="32"/>
      <c r="U302" s="33"/>
      <c r="V302" s="33"/>
      <c r="W302" s="33"/>
      <c r="X302" s="33"/>
      <c r="Y302" s="32"/>
      <c r="Z302" s="33"/>
      <c r="AA302" s="33"/>
      <c r="AB302" s="33"/>
      <c r="AC302" s="33"/>
      <c r="AD302" s="32"/>
      <c r="AE302" s="33"/>
      <c r="AF302" s="33"/>
      <c r="AG302" s="33"/>
      <c r="AH302" s="33"/>
      <c r="AI302" s="32"/>
      <c r="AJ302" s="15"/>
      <c r="AK302" s="33"/>
      <c r="AL302" s="33"/>
      <c r="AM302" s="33"/>
      <c r="AN302" s="32"/>
      <c r="AO302" s="217"/>
      <c r="AP302" s="217"/>
      <c r="AQ302" s="217"/>
      <c r="AR302" s="217"/>
      <c r="AS302" s="217"/>
      <c r="AT302" s="218"/>
      <c r="AU302" s="218"/>
      <c r="AV302" s="218"/>
      <c r="AW302" s="218"/>
      <c r="AX302" s="218"/>
      <c r="AY302" s="217"/>
      <c r="AZ302" s="217"/>
      <c r="BA302" s="217"/>
      <c r="BB302" s="217"/>
      <c r="BC302" s="217"/>
      <c r="BD302" s="226"/>
    </row>
    <row r="303" spans="1:56" s="8" customFormat="1" ht="42" customHeight="1" x14ac:dyDescent="0.35">
      <c r="A303" s="33"/>
      <c r="B303" s="182"/>
      <c r="C303" s="33"/>
      <c r="D303" s="33"/>
      <c r="E303" s="32"/>
      <c r="F303" s="33"/>
      <c r="G303" s="33"/>
      <c r="H303" s="33"/>
      <c r="I303" s="33"/>
      <c r="J303" s="32"/>
      <c r="K303" s="33"/>
      <c r="L303" s="33"/>
      <c r="M303" s="33"/>
      <c r="N303" s="33"/>
      <c r="O303" s="32"/>
      <c r="P303" s="33"/>
      <c r="Q303" s="33"/>
      <c r="R303" s="33"/>
      <c r="S303" s="33"/>
      <c r="T303" s="32"/>
      <c r="U303" s="33"/>
      <c r="V303" s="33"/>
      <c r="W303" s="33"/>
      <c r="X303" s="33"/>
      <c r="Y303" s="32"/>
      <c r="Z303" s="33"/>
      <c r="AA303" s="33"/>
      <c r="AB303" s="33"/>
      <c r="AC303" s="33"/>
      <c r="AD303" s="32"/>
      <c r="AE303" s="33"/>
      <c r="AF303" s="33"/>
      <c r="AG303" s="33"/>
      <c r="AH303" s="33"/>
      <c r="AI303" s="32"/>
      <c r="AJ303" s="15"/>
      <c r="AK303" s="33"/>
      <c r="AL303" s="33"/>
      <c r="AM303" s="33"/>
      <c r="AN303" s="32"/>
      <c r="AO303" s="217"/>
      <c r="AP303" s="217"/>
      <c r="AQ303" s="217"/>
      <c r="AR303" s="217"/>
      <c r="AS303" s="217"/>
      <c r="AT303" s="218"/>
      <c r="AU303" s="218"/>
      <c r="AV303" s="218"/>
      <c r="AW303" s="218"/>
      <c r="AX303" s="218"/>
      <c r="AY303" s="217"/>
      <c r="AZ303" s="217"/>
      <c r="BA303" s="217"/>
      <c r="BB303" s="217"/>
      <c r="BC303" s="217"/>
      <c r="BD303" s="226"/>
    </row>
    <row r="304" spans="1:56" s="8" customFormat="1" ht="42" customHeight="1" x14ac:dyDescent="0.35">
      <c r="A304" s="33"/>
      <c r="B304" s="182"/>
      <c r="C304" s="33"/>
      <c r="D304" s="33"/>
      <c r="E304" s="32"/>
      <c r="F304" s="33"/>
      <c r="G304" s="33"/>
      <c r="H304" s="33"/>
      <c r="I304" s="33"/>
      <c r="J304" s="32"/>
      <c r="K304" s="33"/>
      <c r="L304" s="33"/>
      <c r="M304" s="33"/>
      <c r="N304" s="33"/>
      <c r="O304" s="32"/>
      <c r="P304" s="33"/>
      <c r="Q304" s="33"/>
      <c r="R304" s="33"/>
      <c r="S304" s="33"/>
      <c r="T304" s="32"/>
      <c r="U304" s="33"/>
      <c r="V304" s="33"/>
      <c r="W304" s="33"/>
      <c r="X304" s="33"/>
      <c r="Y304" s="32"/>
      <c r="Z304" s="33"/>
      <c r="AA304" s="33"/>
      <c r="AB304" s="33"/>
      <c r="AC304" s="33"/>
      <c r="AD304" s="32"/>
      <c r="AE304" s="33"/>
      <c r="AF304" s="33"/>
      <c r="AG304" s="33"/>
      <c r="AH304" s="33"/>
      <c r="AI304" s="32"/>
      <c r="AJ304" s="15"/>
      <c r="AK304" s="33"/>
      <c r="AL304" s="33"/>
      <c r="AM304" s="33"/>
      <c r="AN304" s="32"/>
      <c r="AO304" s="217"/>
      <c r="AP304" s="217"/>
      <c r="AQ304" s="217"/>
      <c r="AR304" s="217"/>
      <c r="AS304" s="217"/>
      <c r="AT304" s="218"/>
      <c r="AU304" s="218"/>
      <c r="AV304" s="218"/>
      <c r="AW304" s="218"/>
      <c r="AX304" s="218"/>
      <c r="AY304" s="217"/>
      <c r="AZ304" s="217"/>
      <c r="BA304" s="217"/>
      <c r="BB304" s="217"/>
      <c r="BC304" s="217"/>
      <c r="BD304" s="226"/>
    </row>
    <row r="305" spans="1:56" s="8" customFormat="1" ht="42" customHeight="1" x14ac:dyDescent="0.35">
      <c r="A305" s="33"/>
      <c r="B305" s="182"/>
      <c r="C305" s="33"/>
      <c r="D305" s="33"/>
      <c r="E305" s="32"/>
      <c r="F305" s="33"/>
      <c r="G305" s="33"/>
      <c r="H305" s="33"/>
      <c r="I305" s="33"/>
      <c r="J305" s="32"/>
      <c r="K305" s="33"/>
      <c r="L305" s="33"/>
      <c r="M305" s="33"/>
      <c r="N305" s="33"/>
      <c r="O305" s="32"/>
      <c r="P305" s="33"/>
      <c r="Q305" s="33"/>
      <c r="R305" s="33"/>
      <c r="S305" s="33"/>
      <c r="T305" s="32"/>
      <c r="U305" s="33"/>
      <c r="V305" s="33"/>
      <c r="W305" s="33"/>
      <c r="X305" s="33"/>
      <c r="Y305" s="32"/>
      <c r="Z305" s="33"/>
      <c r="AA305" s="33"/>
      <c r="AB305" s="33"/>
      <c r="AC305" s="33"/>
      <c r="AD305" s="32"/>
      <c r="AE305" s="33"/>
      <c r="AF305" s="33"/>
      <c r="AG305" s="33"/>
      <c r="AH305" s="33"/>
      <c r="AI305" s="32"/>
      <c r="AJ305" s="15"/>
      <c r="AK305" s="33"/>
      <c r="AL305" s="33"/>
      <c r="AM305" s="33"/>
      <c r="AN305" s="32"/>
      <c r="AO305" s="217"/>
      <c r="AP305" s="217"/>
      <c r="AQ305" s="217"/>
      <c r="AR305" s="217"/>
      <c r="AS305" s="217"/>
      <c r="AT305" s="218"/>
      <c r="AU305" s="218"/>
      <c r="AV305" s="218"/>
      <c r="AW305" s="218"/>
      <c r="AX305" s="218"/>
      <c r="AY305" s="217"/>
      <c r="AZ305" s="217"/>
      <c r="BA305" s="217"/>
      <c r="BB305" s="217"/>
      <c r="BC305" s="217"/>
      <c r="BD305" s="226"/>
    </row>
    <row r="306" spans="1:56" s="8" customFormat="1" ht="42" customHeight="1" x14ac:dyDescent="0.35">
      <c r="A306" s="33"/>
      <c r="B306" s="182"/>
      <c r="C306" s="33"/>
      <c r="D306" s="33"/>
      <c r="E306" s="32"/>
      <c r="F306" s="33"/>
      <c r="G306" s="33"/>
      <c r="H306" s="33"/>
      <c r="I306" s="33"/>
      <c r="J306" s="32"/>
      <c r="K306" s="33"/>
      <c r="L306" s="33"/>
      <c r="M306" s="33"/>
      <c r="N306" s="33"/>
      <c r="O306" s="32"/>
      <c r="P306" s="33"/>
      <c r="Q306" s="33"/>
      <c r="R306" s="33"/>
      <c r="S306" s="33"/>
      <c r="T306" s="32"/>
      <c r="U306" s="33"/>
      <c r="V306" s="33"/>
      <c r="W306" s="33"/>
      <c r="X306" s="33"/>
      <c r="Y306" s="32"/>
      <c r="Z306" s="33"/>
      <c r="AA306" s="33"/>
      <c r="AB306" s="33"/>
      <c r="AC306" s="33"/>
      <c r="AD306" s="32"/>
      <c r="AE306" s="33"/>
      <c r="AF306" s="33"/>
      <c r="AG306" s="33"/>
      <c r="AH306" s="33"/>
      <c r="AI306" s="32"/>
      <c r="AJ306" s="15"/>
      <c r="AK306" s="33"/>
      <c r="AL306" s="33"/>
      <c r="AM306" s="33"/>
      <c r="AN306" s="32"/>
      <c r="AO306" s="217"/>
      <c r="AP306" s="217"/>
      <c r="AQ306" s="217"/>
      <c r="AR306" s="217"/>
      <c r="AS306" s="217"/>
      <c r="AT306" s="218"/>
      <c r="AU306" s="218"/>
      <c r="AV306" s="218"/>
      <c r="AW306" s="218"/>
      <c r="AX306" s="218"/>
      <c r="AY306" s="217"/>
      <c r="AZ306" s="217"/>
      <c r="BA306" s="217"/>
      <c r="BB306" s="217"/>
      <c r="BC306" s="217"/>
      <c r="BD306" s="226"/>
    </row>
    <row r="307" spans="1:56" s="8" customFormat="1" ht="42" customHeight="1" x14ac:dyDescent="0.35">
      <c r="A307" s="33"/>
      <c r="B307" s="182"/>
      <c r="C307" s="33"/>
      <c r="D307" s="33"/>
      <c r="E307" s="32"/>
      <c r="F307" s="33"/>
      <c r="G307" s="33"/>
      <c r="H307" s="33"/>
      <c r="I307" s="33"/>
      <c r="J307" s="32"/>
      <c r="K307" s="33"/>
      <c r="L307" s="33"/>
      <c r="M307" s="33"/>
      <c r="N307" s="33"/>
      <c r="O307" s="32"/>
      <c r="P307" s="33"/>
      <c r="Q307" s="33"/>
      <c r="R307" s="33"/>
      <c r="S307" s="33"/>
      <c r="T307" s="32"/>
      <c r="U307" s="33"/>
      <c r="V307" s="33"/>
      <c r="W307" s="33"/>
      <c r="X307" s="33"/>
      <c r="Y307" s="32"/>
      <c r="Z307" s="33"/>
      <c r="AA307" s="33"/>
      <c r="AB307" s="33"/>
      <c r="AC307" s="33"/>
      <c r="AD307" s="32"/>
      <c r="AE307" s="33"/>
      <c r="AF307" s="33"/>
      <c r="AG307" s="33"/>
      <c r="AH307" s="33"/>
      <c r="AI307" s="32"/>
      <c r="AJ307" s="15"/>
      <c r="AK307" s="33"/>
      <c r="AL307" s="33"/>
      <c r="AM307" s="33"/>
      <c r="AN307" s="32"/>
      <c r="AO307" s="217"/>
      <c r="AP307" s="217"/>
      <c r="AQ307" s="217"/>
      <c r="AR307" s="217"/>
      <c r="AS307" s="217"/>
      <c r="AT307" s="218"/>
      <c r="AU307" s="218"/>
      <c r="AV307" s="218"/>
      <c r="AW307" s="218"/>
      <c r="AX307" s="218"/>
      <c r="AY307" s="217"/>
      <c r="AZ307" s="217"/>
      <c r="BA307" s="217"/>
      <c r="BB307" s="217"/>
      <c r="BC307" s="217"/>
      <c r="BD307" s="226"/>
    </row>
    <row r="308" spans="1:56" s="8" customFormat="1" ht="42" customHeight="1" x14ac:dyDescent="0.35">
      <c r="A308" s="33"/>
      <c r="B308" s="182"/>
      <c r="C308" s="33"/>
      <c r="D308" s="33"/>
      <c r="E308" s="32"/>
      <c r="F308" s="33"/>
      <c r="G308" s="33"/>
      <c r="H308" s="33"/>
      <c r="I308" s="33"/>
      <c r="J308" s="32"/>
      <c r="K308" s="33"/>
      <c r="L308" s="33"/>
      <c r="M308" s="33"/>
      <c r="N308" s="33"/>
      <c r="O308" s="32"/>
      <c r="P308" s="33"/>
      <c r="Q308" s="33"/>
      <c r="R308" s="33"/>
      <c r="S308" s="33"/>
      <c r="T308" s="32"/>
      <c r="U308" s="33"/>
      <c r="V308" s="33"/>
      <c r="W308" s="33"/>
      <c r="X308" s="33"/>
      <c r="Y308" s="32"/>
      <c r="Z308" s="33"/>
      <c r="AA308" s="33"/>
      <c r="AB308" s="33"/>
      <c r="AC308" s="33"/>
      <c r="AD308" s="32"/>
      <c r="AE308" s="33"/>
      <c r="AF308" s="33"/>
      <c r="AG308" s="33"/>
      <c r="AH308" s="33"/>
      <c r="AI308" s="32"/>
      <c r="AJ308" s="15"/>
      <c r="AK308" s="33"/>
      <c r="AL308" s="33"/>
      <c r="AM308" s="33"/>
      <c r="AN308" s="32"/>
      <c r="AO308" s="217"/>
      <c r="AP308" s="217"/>
      <c r="AQ308" s="217"/>
      <c r="AR308" s="217"/>
      <c r="AS308" s="217"/>
      <c r="AT308" s="218"/>
      <c r="AU308" s="218"/>
      <c r="AV308" s="218"/>
      <c r="AW308" s="218"/>
      <c r="AX308" s="218"/>
      <c r="AY308" s="217"/>
      <c r="AZ308" s="217"/>
      <c r="BA308" s="217"/>
      <c r="BB308" s="217"/>
      <c r="BC308" s="217"/>
      <c r="BD308" s="226"/>
    </row>
    <row r="309" spans="1:56" s="8" customFormat="1" ht="42" customHeight="1" x14ac:dyDescent="0.35">
      <c r="A309" s="33"/>
      <c r="B309" s="182"/>
      <c r="C309" s="33"/>
      <c r="D309" s="33"/>
      <c r="E309" s="32"/>
      <c r="F309" s="33"/>
      <c r="G309" s="33"/>
      <c r="H309" s="33"/>
      <c r="I309" s="33"/>
      <c r="J309" s="32"/>
      <c r="K309" s="33"/>
      <c r="L309" s="33"/>
      <c r="M309" s="33"/>
      <c r="N309" s="33"/>
      <c r="O309" s="32"/>
      <c r="P309" s="33"/>
      <c r="Q309" s="33"/>
      <c r="R309" s="33"/>
      <c r="S309" s="33"/>
      <c r="T309" s="32"/>
      <c r="U309" s="33"/>
      <c r="V309" s="33"/>
      <c r="W309" s="33"/>
      <c r="X309" s="33"/>
      <c r="Y309" s="32"/>
      <c r="Z309" s="33"/>
      <c r="AA309" s="33"/>
      <c r="AB309" s="33"/>
      <c r="AC309" s="33"/>
      <c r="AD309" s="32"/>
      <c r="AE309" s="33"/>
      <c r="AF309" s="33"/>
      <c r="AG309" s="33"/>
      <c r="AH309" s="33"/>
      <c r="AI309" s="32"/>
      <c r="AJ309" s="15"/>
      <c r="AK309" s="33"/>
      <c r="AL309" s="33"/>
      <c r="AM309" s="33"/>
      <c r="AN309" s="32"/>
      <c r="AO309" s="217"/>
      <c r="AP309" s="217"/>
      <c r="AQ309" s="217"/>
      <c r="AR309" s="217"/>
      <c r="AS309" s="217"/>
      <c r="AT309" s="218"/>
      <c r="AU309" s="218"/>
      <c r="AV309" s="218"/>
      <c r="AW309" s="218"/>
      <c r="AX309" s="218"/>
      <c r="AY309" s="217"/>
      <c r="AZ309" s="217"/>
      <c r="BA309" s="217"/>
      <c r="BB309" s="217"/>
      <c r="BC309" s="217"/>
      <c r="BD309" s="226"/>
    </row>
    <row r="310" spans="1:56" s="8" customFormat="1" ht="42" customHeight="1" x14ac:dyDescent="0.35">
      <c r="A310" s="33"/>
      <c r="B310" s="182"/>
      <c r="C310" s="33"/>
      <c r="D310" s="33"/>
      <c r="E310" s="32"/>
      <c r="F310" s="33"/>
      <c r="G310" s="33"/>
      <c r="H310" s="33"/>
      <c r="I310" s="33"/>
      <c r="J310" s="32"/>
      <c r="K310" s="33"/>
      <c r="L310" s="33"/>
      <c r="M310" s="33"/>
      <c r="N310" s="33"/>
      <c r="O310" s="32"/>
      <c r="P310" s="33"/>
      <c r="Q310" s="33"/>
      <c r="R310" s="33"/>
      <c r="S310" s="33"/>
      <c r="T310" s="32"/>
      <c r="U310" s="33"/>
      <c r="V310" s="33"/>
      <c r="W310" s="33"/>
      <c r="X310" s="33"/>
      <c r="Y310" s="32"/>
      <c r="Z310" s="33"/>
      <c r="AA310" s="33"/>
      <c r="AB310" s="33"/>
      <c r="AC310" s="33"/>
      <c r="AD310" s="32"/>
      <c r="AE310" s="33"/>
      <c r="AF310" s="33"/>
      <c r="AG310" s="33"/>
      <c r="AH310" s="33"/>
      <c r="AI310" s="32"/>
      <c r="AJ310" s="15"/>
      <c r="AK310" s="33"/>
      <c r="AL310" s="33"/>
      <c r="AM310" s="33"/>
      <c r="AN310" s="32"/>
      <c r="AO310" s="217"/>
      <c r="AP310" s="217"/>
      <c r="AQ310" s="217"/>
      <c r="AR310" s="217"/>
      <c r="AS310" s="217"/>
      <c r="AT310" s="218"/>
      <c r="AU310" s="218"/>
      <c r="AV310" s="218"/>
      <c r="AW310" s="218"/>
      <c r="AX310" s="218"/>
      <c r="AY310" s="217"/>
      <c r="AZ310" s="217"/>
      <c r="BA310" s="217"/>
      <c r="BB310" s="217"/>
      <c r="BC310" s="217"/>
      <c r="BD310" s="226"/>
    </row>
    <row r="311" spans="1:56" s="8" customFormat="1" ht="42" customHeight="1" x14ac:dyDescent="0.35">
      <c r="A311" s="33"/>
      <c r="B311" s="182"/>
      <c r="C311" s="33"/>
      <c r="D311" s="33"/>
      <c r="E311" s="32"/>
      <c r="F311" s="33"/>
      <c r="G311" s="33"/>
      <c r="H311" s="33"/>
      <c r="I311" s="33"/>
      <c r="J311" s="32"/>
      <c r="K311" s="33"/>
      <c r="L311" s="33"/>
      <c r="M311" s="33"/>
      <c r="N311" s="33"/>
      <c r="O311" s="32"/>
      <c r="P311" s="33"/>
      <c r="Q311" s="33"/>
      <c r="R311" s="33"/>
      <c r="S311" s="33"/>
      <c r="T311" s="32"/>
      <c r="U311" s="33"/>
      <c r="V311" s="33"/>
      <c r="W311" s="33"/>
      <c r="X311" s="33"/>
      <c r="Y311" s="32"/>
      <c r="Z311" s="33"/>
      <c r="AA311" s="33"/>
      <c r="AB311" s="33"/>
      <c r="AC311" s="33"/>
      <c r="AD311" s="32"/>
      <c r="AE311" s="33"/>
      <c r="AF311" s="33"/>
      <c r="AG311" s="33"/>
      <c r="AH311" s="33"/>
      <c r="AI311" s="32"/>
      <c r="AJ311" s="15"/>
      <c r="AK311" s="33"/>
      <c r="AL311" s="33"/>
      <c r="AM311" s="33"/>
      <c r="AN311" s="32"/>
      <c r="AO311" s="217"/>
      <c r="AP311" s="217"/>
      <c r="AQ311" s="217"/>
      <c r="AR311" s="217"/>
      <c r="AS311" s="217"/>
      <c r="AT311" s="218"/>
      <c r="AU311" s="218"/>
      <c r="AV311" s="218"/>
      <c r="AW311" s="218"/>
      <c r="AX311" s="218"/>
      <c r="AY311" s="217"/>
      <c r="AZ311" s="217"/>
      <c r="BA311" s="217"/>
      <c r="BB311" s="217"/>
      <c r="BC311" s="217"/>
      <c r="BD311" s="226"/>
    </row>
    <row r="312" spans="1:56" s="8" customFormat="1" ht="42" customHeight="1" x14ac:dyDescent="0.35">
      <c r="A312" s="33"/>
      <c r="B312" s="182"/>
      <c r="C312" s="33"/>
      <c r="D312" s="33"/>
      <c r="E312" s="32"/>
      <c r="F312" s="33"/>
      <c r="G312" s="33"/>
      <c r="H312" s="33"/>
      <c r="I312" s="33"/>
      <c r="J312" s="32"/>
      <c r="K312" s="33"/>
      <c r="L312" s="33"/>
      <c r="M312" s="33"/>
      <c r="N312" s="33"/>
      <c r="O312" s="32"/>
      <c r="P312" s="33"/>
      <c r="Q312" s="33"/>
      <c r="R312" s="33"/>
      <c r="S312" s="33"/>
      <c r="T312" s="32"/>
      <c r="U312" s="33"/>
      <c r="V312" s="33"/>
      <c r="W312" s="33"/>
      <c r="X312" s="33"/>
      <c r="Y312" s="32"/>
      <c r="Z312" s="33"/>
      <c r="AA312" s="33"/>
      <c r="AB312" s="33"/>
      <c r="AC312" s="33"/>
      <c r="AD312" s="32"/>
      <c r="AE312" s="33"/>
      <c r="AF312" s="33"/>
      <c r="AG312" s="33"/>
      <c r="AH312" s="33"/>
      <c r="AI312" s="32"/>
      <c r="AJ312" s="15"/>
      <c r="AK312" s="33"/>
      <c r="AL312" s="33"/>
      <c r="AM312" s="33"/>
      <c r="AN312" s="32"/>
      <c r="AO312" s="217"/>
      <c r="AP312" s="217"/>
      <c r="AQ312" s="217"/>
      <c r="AR312" s="217"/>
      <c r="AS312" s="217"/>
      <c r="AT312" s="218"/>
      <c r="AU312" s="218"/>
      <c r="AV312" s="218"/>
      <c r="AW312" s="218"/>
      <c r="AX312" s="218"/>
      <c r="AY312" s="217"/>
      <c r="AZ312" s="217"/>
      <c r="BA312" s="217"/>
      <c r="BB312" s="217"/>
      <c r="BC312" s="217"/>
      <c r="BD312" s="226"/>
    </row>
    <row r="313" spans="1:56" s="8" customFormat="1" ht="42" customHeight="1" x14ac:dyDescent="0.35">
      <c r="A313" s="33"/>
      <c r="B313" s="182"/>
      <c r="C313" s="33"/>
      <c r="D313" s="33"/>
      <c r="E313" s="32"/>
      <c r="F313" s="33"/>
      <c r="G313" s="33"/>
      <c r="H313" s="33"/>
      <c r="I313" s="33"/>
      <c r="J313" s="32"/>
      <c r="K313" s="33"/>
      <c r="L313" s="33"/>
      <c r="M313" s="33"/>
      <c r="N313" s="33"/>
      <c r="O313" s="32"/>
      <c r="P313" s="33"/>
      <c r="Q313" s="33"/>
      <c r="R313" s="33"/>
      <c r="S313" s="33"/>
      <c r="T313" s="32"/>
      <c r="U313" s="33"/>
      <c r="V313" s="33"/>
      <c r="W313" s="33"/>
      <c r="X313" s="33"/>
      <c r="Y313" s="32"/>
      <c r="Z313" s="33"/>
      <c r="AA313" s="33"/>
      <c r="AB313" s="33"/>
      <c r="AC313" s="33"/>
      <c r="AD313" s="32"/>
      <c r="AE313" s="33"/>
      <c r="AF313" s="33"/>
      <c r="AG313" s="33"/>
      <c r="AH313" s="33"/>
      <c r="AI313" s="32"/>
      <c r="AJ313" s="15"/>
      <c r="AK313" s="33"/>
      <c r="AL313" s="33"/>
      <c r="AM313" s="33"/>
      <c r="AN313" s="32"/>
      <c r="AO313" s="217"/>
      <c r="AP313" s="217"/>
      <c r="AQ313" s="217"/>
      <c r="AR313" s="217"/>
      <c r="AS313" s="217"/>
      <c r="AT313" s="218"/>
      <c r="AU313" s="218"/>
      <c r="AV313" s="218"/>
      <c r="AW313" s="218"/>
      <c r="AX313" s="218"/>
      <c r="AY313" s="217"/>
      <c r="AZ313" s="217"/>
      <c r="BA313" s="217"/>
      <c r="BB313" s="217"/>
      <c r="BC313" s="217"/>
      <c r="BD313" s="226"/>
    </row>
  </sheetData>
  <mergeCells count="100">
    <mergeCell ref="AI1:AN1"/>
    <mergeCell ref="J3:N3"/>
    <mergeCell ref="B5:AN5"/>
    <mergeCell ref="A6:A8"/>
    <mergeCell ref="B6:B8"/>
    <mergeCell ref="C6:C8"/>
    <mergeCell ref="D6:D8"/>
    <mergeCell ref="E6:AM6"/>
    <mergeCell ref="AN6:AN8"/>
    <mergeCell ref="AH3:AN3"/>
    <mergeCell ref="A14:AN14"/>
    <mergeCell ref="E7:I7"/>
    <mergeCell ref="J7:N7"/>
    <mergeCell ref="O7:S7"/>
    <mergeCell ref="T7:X7"/>
    <mergeCell ref="Y7:AC7"/>
    <mergeCell ref="AD7:AH7"/>
    <mergeCell ref="AI7:AM7"/>
    <mergeCell ref="A10:AN10"/>
    <mergeCell ref="A11:AN11"/>
    <mergeCell ref="A12:AN12"/>
    <mergeCell ref="A13:AN13"/>
    <mergeCell ref="C26:C27"/>
    <mergeCell ref="A28:A29"/>
    <mergeCell ref="B28:B29"/>
    <mergeCell ref="C28:C29"/>
    <mergeCell ref="A60:A61"/>
    <mergeCell ref="B60:B61"/>
    <mergeCell ref="C60:C61"/>
    <mergeCell ref="A31:AN31"/>
    <mergeCell ref="A44:AN44"/>
    <mergeCell ref="A26:A27"/>
    <mergeCell ref="B26:B27"/>
    <mergeCell ref="A50:A51"/>
    <mergeCell ref="B50:B51"/>
    <mergeCell ref="C50:C51"/>
    <mergeCell ref="A68:C68"/>
    <mergeCell ref="A70:C70"/>
    <mergeCell ref="A63:AN63"/>
    <mergeCell ref="A65:AN65"/>
    <mergeCell ref="A66:A67"/>
    <mergeCell ref="B66:B67"/>
    <mergeCell ref="C66:C67"/>
    <mergeCell ref="A69:C69"/>
    <mergeCell ref="A74:AN74"/>
    <mergeCell ref="A81:AN81"/>
    <mergeCell ref="B107:B108"/>
    <mergeCell ref="C107:C108"/>
    <mergeCell ref="B112:B113"/>
    <mergeCell ref="C112:C113"/>
    <mergeCell ref="A100:A101"/>
    <mergeCell ref="C100:C101"/>
    <mergeCell ref="A103:AN103"/>
    <mergeCell ref="A104:AN104"/>
    <mergeCell ref="A105:AN105"/>
    <mergeCell ref="B138:C138"/>
    <mergeCell ref="D115:D117"/>
    <mergeCell ref="A107:A108"/>
    <mergeCell ref="A133:A134"/>
    <mergeCell ref="B133:B134"/>
    <mergeCell ref="C133:C134"/>
    <mergeCell ref="A118:A119"/>
    <mergeCell ref="A112:A113"/>
    <mergeCell ref="B115:B116"/>
    <mergeCell ref="A115:A117"/>
    <mergeCell ref="C115:C117"/>
    <mergeCell ref="B118:B119"/>
    <mergeCell ref="C118:C119"/>
    <mergeCell ref="A73:AN73"/>
    <mergeCell ref="A140:C140"/>
    <mergeCell ref="A141:C141"/>
    <mergeCell ref="A120:C120"/>
    <mergeCell ref="A121:C121"/>
    <mergeCell ref="A122:C122"/>
    <mergeCell ref="A123:AN123"/>
    <mergeCell ref="A124:AN124"/>
    <mergeCell ref="A125:AN125"/>
    <mergeCell ref="A126:AN126"/>
    <mergeCell ref="A129:AN129"/>
    <mergeCell ref="B136:C136"/>
    <mergeCell ref="A139:C139"/>
    <mergeCell ref="A130:A131"/>
    <mergeCell ref="B130:B131"/>
    <mergeCell ref="C130:C131"/>
    <mergeCell ref="AT7:AX7"/>
    <mergeCell ref="AY7:BC7"/>
    <mergeCell ref="A106:AN106"/>
    <mergeCell ref="B109:B110"/>
    <mergeCell ref="C109:C110"/>
    <mergeCell ref="A109:A110"/>
    <mergeCell ref="A82:AN82"/>
    <mergeCell ref="A83:AN83"/>
    <mergeCell ref="A84:AN84"/>
    <mergeCell ref="A90:AN90"/>
    <mergeCell ref="A94:AN94"/>
    <mergeCell ref="A91:A93"/>
    <mergeCell ref="C91:C93"/>
    <mergeCell ref="AO7:AS7"/>
    <mergeCell ref="A71:AN71"/>
    <mergeCell ref="A72:AN72"/>
  </mergeCells>
  <printOptions horizontalCentered="1"/>
  <pageMargins left="3.937007874015748E-2" right="3.937007874015748E-2" top="0.62992125984251968" bottom="0.59055118110236227" header="0.19685039370078741" footer="0.15748031496062992"/>
  <pageSetup paperSize="8" scale="23" fitToHeight="0" orientation="landscape" r:id="rId1"/>
  <headerFooter alignWithMargins="0"/>
  <rowBreaks count="5" manualBreakCount="5">
    <brk id="31" max="39" man="1"/>
    <brk id="47" max="39" man="1"/>
    <brk id="74" max="39" man="1"/>
    <brk id="93" max="39" man="1"/>
    <brk id="111" max="39" man="1"/>
  </rowBreaks>
  <ignoredErrors>
    <ignoredError sqref="J136 O136 Y136 J80 O80 T80 Y80 AD80 AI80 E136" formula="1"/>
    <ignoredError sqref="E15 E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78"/>
  <sheetViews>
    <sheetView view="pageBreakPreview" topLeftCell="A65" zoomScale="80" zoomScaleNormal="90" zoomScaleSheetLayoutView="80" workbookViewId="0">
      <selection activeCell="A110" sqref="A110:L139"/>
    </sheetView>
  </sheetViews>
  <sheetFormatPr defaultRowHeight="13.2" x14ac:dyDescent="0.25"/>
  <cols>
    <col min="1" max="1" width="3.44140625" style="34" customWidth="1"/>
    <col min="2" max="2" width="47.109375" style="2" customWidth="1"/>
    <col min="3" max="3" width="59.33203125" style="35" customWidth="1"/>
    <col min="4" max="4" width="7.44140625" style="92" customWidth="1"/>
    <col min="5" max="5" width="8" style="1" customWidth="1"/>
    <col min="6" max="6" width="8.44140625" style="1" customWidth="1"/>
    <col min="7" max="7" width="8" style="1" customWidth="1"/>
    <col min="8" max="8" width="7.44140625" style="93" customWidth="1"/>
    <col min="9" max="9" width="7.88671875" style="1" customWidth="1"/>
    <col min="10" max="10" width="7.44140625" style="1" customWidth="1"/>
    <col min="11" max="11" width="7.109375" style="1" customWidth="1"/>
    <col min="12" max="12" width="8.88671875" style="1" customWidth="1"/>
    <col min="13" max="256" width="8.88671875" style="2"/>
    <col min="257" max="257" width="3.44140625" style="2" customWidth="1"/>
    <col min="258" max="258" width="47.109375" style="2" customWidth="1"/>
    <col min="259" max="259" width="49.5546875" style="2" customWidth="1"/>
    <col min="260" max="260" width="8.88671875" style="2" customWidth="1"/>
    <col min="261" max="261" width="8" style="2" customWidth="1"/>
    <col min="262" max="262" width="7.88671875" style="2" customWidth="1"/>
    <col min="263" max="263" width="7" style="2" customWidth="1"/>
    <col min="264" max="264" width="7.44140625" style="2" customWidth="1"/>
    <col min="265" max="265" width="7.88671875" style="2" customWidth="1"/>
    <col min="266" max="266" width="7.44140625" style="2" customWidth="1"/>
    <col min="267" max="267" width="7.109375" style="2" customWidth="1"/>
    <col min="268" max="268" width="8.88671875" style="2" customWidth="1"/>
    <col min="269" max="512" width="8.88671875" style="2"/>
    <col min="513" max="513" width="3.44140625" style="2" customWidth="1"/>
    <col min="514" max="514" width="47.109375" style="2" customWidth="1"/>
    <col min="515" max="515" width="49.5546875" style="2" customWidth="1"/>
    <col min="516" max="516" width="8.88671875" style="2" customWidth="1"/>
    <col min="517" max="517" width="8" style="2" customWidth="1"/>
    <col min="518" max="518" width="7.88671875" style="2" customWidth="1"/>
    <col min="519" max="519" width="7" style="2" customWidth="1"/>
    <col min="520" max="520" width="7.44140625" style="2" customWidth="1"/>
    <col min="521" max="521" width="7.88671875" style="2" customWidth="1"/>
    <col min="522" max="522" width="7.44140625" style="2" customWidth="1"/>
    <col min="523" max="523" width="7.109375" style="2" customWidth="1"/>
    <col min="524" max="524" width="8.88671875" style="2" customWidth="1"/>
    <col min="525" max="768" width="8.88671875" style="2"/>
    <col min="769" max="769" width="3.44140625" style="2" customWidth="1"/>
    <col min="770" max="770" width="47.109375" style="2" customWidth="1"/>
    <col min="771" max="771" width="49.5546875" style="2" customWidth="1"/>
    <col min="772" max="772" width="8.88671875" style="2" customWidth="1"/>
    <col min="773" max="773" width="8" style="2" customWidth="1"/>
    <col min="774" max="774" width="7.88671875" style="2" customWidth="1"/>
    <col min="775" max="775" width="7" style="2" customWidth="1"/>
    <col min="776" max="776" width="7.44140625" style="2" customWidth="1"/>
    <col min="777" max="777" width="7.88671875" style="2" customWidth="1"/>
    <col min="778" max="778" width="7.44140625" style="2" customWidth="1"/>
    <col min="779" max="779" width="7.109375" style="2" customWidth="1"/>
    <col min="780" max="780" width="8.88671875" style="2" customWidth="1"/>
    <col min="781" max="1024" width="8.88671875" style="2"/>
    <col min="1025" max="1025" width="3.44140625" style="2" customWidth="1"/>
    <col min="1026" max="1026" width="47.109375" style="2" customWidth="1"/>
    <col min="1027" max="1027" width="49.5546875" style="2" customWidth="1"/>
    <col min="1028" max="1028" width="8.88671875" style="2" customWidth="1"/>
    <col min="1029" max="1029" width="8" style="2" customWidth="1"/>
    <col min="1030" max="1030" width="7.88671875" style="2" customWidth="1"/>
    <col min="1031" max="1031" width="7" style="2" customWidth="1"/>
    <col min="1032" max="1032" width="7.44140625" style="2" customWidth="1"/>
    <col min="1033" max="1033" width="7.88671875" style="2" customWidth="1"/>
    <col min="1034" max="1034" width="7.44140625" style="2" customWidth="1"/>
    <col min="1035" max="1035" width="7.109375" style="2" customWidth="1"/>
    <col min="1036" max="1036" width="8.88671875" style="2" customWidth="1"/>
    <col min="1037" max="1280" width="8.88671875" style="2"/>
    <col min="1281" max="1281" width="3.44140625" style="2" customWidth="1"/>
    <col min="1282" max="1282" width="47.109375" style="2" customWidth="1"/>
    <col min="1283" max="1283" width="49.5546875" style="2" customWidth="1"/>
    <col min="1284" max="1284" width="8.88671875" style="2" customWidth="1"/>
    <col min="1285" max="1285" width="8" style="2" customWidth="1"/>
    <col min="1286" max="1286" width="7.88671875" style="2" customWidth="1"/>
    <col min="1287" max="1287" width="7" style="2" customWidth="1"/>
    <col min="1288" max="1288" width="7.44140625" style="2" customWidth="1"/>
    <col min="1289" max="1289" width="7.88671875" style="2" customWidth="1"/>
    <col min="1290" max="1290" width="7.44140625" style="2" customWidth="1"/>
    <col min="1291" max="1291" width="7.109375" style="2" customWidth="1"/>
    <col min="1292" max="1292" width="8.88671875" style="2" customWidth="1"/>
    <col min="1293" max="1536" width="8.88671875" style="2"/>
    <col min="1537" max="1537" width="3.44140625" style="2" customWidth="1"/>
    <col min="1538" max="1538" width="47.109375" style="2" customWidth="1"/>
    <col min="1539" max="1539" width="49.5546875" style="2" customWidth="1"/>
    <col min="1540" max="1540" width="8.88671875" style="2" customWidth="1"/>
    <col min="1541" max="1541" width="8" style="2" customWidth="1"/>
    <col min="1542" max="1542" width="7.88671875" style="2" customWidth="1"/>
    <col min="1543" max="1543" width="7" style="2" customWidth="1"/>
    <col min="1544" max="1544" width="7.44140625" style="2" customWidth="1"/>
    <col min="1545" max="1545" width="7.88671875" style="2" customWidth="1"/>
    <col min="1546" max="1546" width="7.44140625" style="2" customWidth="1"/>
    <col min="1547" max="1547" width="7.109375" style="2" customWidth="1"/>
    <col min="1548" max="1548" width="8.88671875" style="2" customWidth="1"/>
    <col min="1549" max="1792" width="8.88671875" style="2"/>
    <col min="1793" max="1793" width="3.44140625" style="2" customWidth="1"/>
    <col min="1794" max="1794" width="47.109375" style="2" customWidth="1"/>
    <col min="1795" max="1795" width="49.5546875" style="2" customWidth="1"/>
    <col min="1796" max="1796" width="8.88671875" style="2" customWidth="1"/>
    <col min="1797" max="1797" width="8" style="2" customWidth="1"/>
    <col min="1798" max="1798" width="7.88671875" style="2" customWidth="1"/>
    <col min="1799" max="1799" width="7" style="2" customWidth="1"/>
    <col min="1800" max="1800" width="7.44140625" style="2" customWidth="1"/>
    <col min="1801" max="1801" width="7.88671875" style="2" customWidth="1"/>
    <col min="1802" max="1802" width="7.44140625" style="2" customWidth="1"/>
    <col min="1803" max="1803" width="7.109375" style="2" customWidth="1"/>
    <col min="1804" max="1804" width="8.88671875" style="2" customWidth="1"/>
    <col min="1805" max="2048" width="8.88671875" style="2"/>
    <col min="2049" max="2049" width="3.44140625" style="2" customWidth="1"/>
    <col min="2050" max="2050" width="47.109375" style="2" customWidth="1"/>
    <col min="2051" max="2051" width="49.5546875" style="2" customWidth="1"/>
    <col min="2052" max="2052" width="8.88671875" style="2" customWidth="1"/>
    <col min="2053" max="2053" width="8" style="2" customWidth="1"/>
    <col min="2054" max="2054" width="7.88671875" style="2" customWidth="1"/>
    <col min="2055" max="2055" width="7" style="2" customWidth="1"/>
    <col min="2056" max="2056" width="7.44140625" style="2" customWidth="1"/>
    <col min="2057" max="2057" width="7.88671875" style="2" customWidth="1"/>
    <col min="2058" max="2058" width="7.44140625" style="2" customWidth="1"/>
    <col min="2059" max="2059" width="7.109375" style="2" customWidth="1"/>
    <col min="2060" max="2060" width="8.88671875" style="2" customWidth="1"/>
    <col min="2061" max="2304" width="8.88671875" style="2"/>
    <col min="2305" max="2305" width="3.44140625" style="2" customWidth="1"/>
    <col min="2306" max="2306" width="47.109375" style="2" customWidth="1"/>
    <col min="2307" max="2307" width="49.5546875" style="2" customWidth="1"/>
    <col min="2308" max="2308" width="8.88671875" style="2" customWidth="1"/>
    <col min="2309" max="2309" width="8" style="2" customWidth="1"/>
    <col min="2310" max="2310" width="7.88671875" style="2" customWidth="1"/>
    <col min="2311" max="2311" width="7" style="2" customWidth="1"/>
    <col min="2312" max="2312" width="7.44140625" style="2" customWidth="1"/>
    <col min="2313" max="2313" width="7.88671875" style="2" customWidth="1"/>
    <col min="2314" max="2314" width="7.44140625" style="2" customWidth="1"/>
    <col min="2315" max="2315" width="7.109375" style="2" customWidth="1"/>
    <col min="2316" max="2316" width="8.88671875" style="2" customWidth="1"/>
    <col min="2317" max="2560" width="8.88671875" style="2"/>
    <col min="2561" max="2561" width="3.44140625" style="2" customWidth="1"/>
    <col min="2562" max="2562" width="47.109375" style="2" customWidth="1"/>
    <col min="2563" max="2563" width="49.5546875" style="2" customWidth="1"/>
    <col min="2564" max="2564" width="8.88671875" style="2" customWidth="1"/>
    <col min="2565" max="2565" width="8" style="2" customWidth="1"/>
    <col min="2566" max="2566" width="7.88671875" style="2" customWidth="1"/>
    <col min="2567" max="2567" width="7" style="2" customWidth="1"/>
    <col min="2568" max="2568" width="7.44140625" style="2" customWidth="1"/>
    <col min="2569" max="2569" width="7.88671875" style="2" customWidth="1"/>
    <col min="2570" max="2570" width="7.44140625" style="2" customWidth="1"/>
    <col min="2571" max="2571" width="7.109375" style="2" customWidth="1"/>
    <col min="2572" max="2572" width="8.88671875" style="2" customWidth="1"/>
    <col min="2573" max="2816" width="8.88671875" style="2"/>
    <col min="2817" max="2817" width="3.44140625" style="2" customWidth="1"/>
    <col min="2818" max="2818" width="47.109375" style="2" customWidth="1"/>
    <col min="2819" max="2819" width="49.5546875" style="2" customWidth="1"/>
    <col min="2820" max="2820" width="8.88671875" style="2" customWidth="1"/>
    <col min="2821" max="2821" width="8" style="2" customWidth="1"/>
    <col min="2822" max="2822" width="7.88671875" style="2" customWidth="1"/>
    <col min="2823" max="2823" width="7" style="2" customWidth="1"/>
    <col min="2824" max="2824" width="7.44140625" style="2" customWidth="1"/>
    <col min="2825" max="2825" width="7.88671875" style="2" customWidth="1"/>
    <col min="2826" max="2826" width="7.44140625" style="2" customWidth="1"/>
    <col min="2827" max="2827" width="7.109375" style="2" customWidth="1"/>
    <col min="2828" max="2828" width="8.88671875" style="2" customWidth="1"/>
    <col min="2829" max="3072" width="8.88671875" style="2"/>
    <col min="3073" max="3073" width="3.44140625" style="2" customWidth="1"/>
    <col min="3074" max="3074" width="47.109375" style="2" customWidth="1"/>
    <col min="3075" max="3075" width="49.5546875" style="2" customWidth="1"/>
    <col min="3076" max="3076" width="8.88671875" style="2" customWidth="1"/>
    <col min="3077" max="3077" width="8" style="2" customWidth="1"/>
    <col min="3078" max="3078" width="7.88671875" style="2" customWidth="1"/>
    <col min="3079" max="3079" width="7" style="2" customWidth="1"/>
    <col min="3080" max="3080" width="7.44140625" style="2" customWidth="1"/>
    <col min="3081" max="3081" width="7.88671875" style="2" customWidth="1"/>
    <col min="3082" max="3082" width="7.44140625" style="2" customWidth="1"/>
    <col min="3083" max="3083" width="7.109375" style="2" customWidth="1"/>
    <col min="3084" max="3084" width="8.88671875" style="2" customWidth="1"/>
    <col min="3085" max="3328" width="8.88671875" style="2"/>
    <col min="3329" max="3329" width="3.44140625" style="2" customWidth="1"/>
    <col min="3330" max="3330" width="47.109375" style="2" customWidth="1"/>
    <col min="3331" max="3331" width="49.5546875" style="2" customWidth="1"/>
    <col min="3332" max="3332" width="8.88671875" style="2" customWidth="1"/>
    <col min="3333" max="3333" width="8" style="2" customWidth="1"/>
    <col min="3334" max="3334" width="7.88671875" style="2" customWidth="1"/>
    <col min="3335" max="3335" width="7" style="2" customWidth="1"/>
    <col min="3336" max="3336" width="7.44140625" style="2" customWidth="1"/>
    <col min="3337" max="3337" width="7.88671875" style="2" customWidth="1"/>
    <col min="3338" max="3338" width="7.44140625" style="2" customWidth="1"/>
    <col min="3339" max="3339" width="7.109375" style="2" customWidth="1"/>
    <col min="3340" max="3340" width="8.88671875" style="2" customWidth="1"/>
    <col min="3341" max="3584" width="8.88671875" style="2"/>
    <col min="3585" max="3585" width="3.44140625" style="2" customWidth="1"/>
    <col min="3586" max="3586" width="47.109375" style="2" customWidth="1"/>
    <col min="3587" max="3587" width="49.5546875" style="2" customWidth="1"/>
    <col min="3588" max="3588" width="8.88671875" style="2" customWidth="1"/>
    <col min="3589" max="3589" width="8" style="2" customWidth="1"/>
    <col min="3590" max="3590" width="7.88671875" style="2" customWidth="1"/>
    <col min="3591" max="3591" width="7" style="2" customWidth="1"/>
    <col min="3592" max="3592" width="7.44140625" style="2" customWidth="1"/>
    <col min="3593" max="3593" width="7.88671875" style="2" customWidth="1"/>
    <col min="3594" max="3594" width="7.44140625" style="2" customWidth="1"/>
    <col min="3595" max="3595" width="7.109375" style="2" customWidth="1"/>
    <col min="3596" max="3596" width="8.88671875" style="2" customWidth="1"/>
    <col min="3597" max="3840" width="8.88671875" style="2"/>
    <col min="3841" max="3841" width="3.44140625" style="2" customWidth="1"/>
    <col min="3842" max="3842" width="47.109375" style="2" customWidth="1"/>
    <col min="3843" max="3843" width="49.5546875" style="2" customWidth="1"/>
    <col min="3844" max="3844" width="8.88671875" style="2" customWidth="1"/>
    <col min="3845" max="3845" width="8" style="2" customWidth="1"/>
    <col min="3846" max="3846" width="7.88671875" style="2" customWidth="1"/>
    <col min="3847" max="3847" width="7" style="2" customWidth="1"/>
    <col min="3848" max="3848" width="7.44140625" style="2" customWidth="1"/>
    <col min="3849" max="3849" width="7.88671875" style="2" customWidth="1"/>
    <col min="3850" max="3850" width="7.44140625" style="2" customWidth="1"/>
    <col min="3851" max="3851" width="7.109375" style="2" customWidth="1"/>
    <col min="3852" max="3852" width="8.88671875" style="2" customWidth="1"/>
    <col min="3853" max="4096" width="8.88671875" style="2"/>
    <col min="4097" max="4097" width="3.44140625" style="2" customWidth="1"/>
    <col min="4098" max="4098" width="47.109375" style="2" customWidth="1"/>
    <col min="4099" max="4099" width="49.5546875" style="2" customWidth="1"/>
    <col min="4100" max="4100" width="8.88671875" style="2" customWidth="1"/>
    <col min="4101" max="4101" width="8" style="2" customWidth="1"/>
    <col min="4102" max="4102" width="7.88671875" style="2" customWidth="1"/>
    <col min="4103" max="4103" width="7" style="2" customWidth="1"/>
    <col min="4104" max="4104" width="7.44140625" style="2" customWidth="1"/>
    <col min="4105" max="4105" width="7.88671875" style="2" customWidth="1"/>
    <col min="4106" max="4106" width="7.44140625" style="2" customWidth="1"/>
    <col min="4107" max="4107" width="7.109375" style="2" customWidth="1"/>
    <col min="4108" max="4108" width="8.88671875" style="2" customWidth="1"/>
    <col min="4109" max="4352" width="8.88671875" style="2"/>
    <col min="4353" max="4353" width="3.44140625" style="2" customWidth="1"/>
    <col min="4354" max="4354" width="47.109375" style="2" customWidth="1"/>
    <col min="4355" max="4355" width="49.5546875" style="2" customWidth="1"/>
    <col min="4356" max="4356" width="8.88671875" style="2" customWidth="1"/>
    <col min="4357" max="4357" width="8" style="2" customWidth="1"/>
    <col min="4358" max="4358" width="7.88671875" style="2" customWidth="1"/>
    <col min="4359" max="4359" width="7" style="2" customWidth="1"/>
    <col min="4360" max="4360" width="7.44140625" style="2" customWidth="1"/>
    <col min="4361" max="4361" width="7.88671875" style="2" customWidth="1"/>
    <col min="4362" max="4362" width="7.44140625" style="2" customWidth="1"/>
    <col min="4363" max="4363" width="7.109375" style="2" customWidth="1"/>
    <col min="4364" max="4364" width="8.88671875" style="2" customWidth="1"/>
    <col min="4365" max="4608" width="8.88671875" style="2"/>
    <col min="4609" max="4609" width="3.44140625" style="2" customWidth="1"/>
    <col min="4610" max="4610" width="47.109375" style="2" customWidth="1"/>
    <col min="4611" max="4611" width="49.5546875" style="2" customWidth="1"/>
    <col min="4612" max="4612" width="8.88671875" style="2" customWidth="1"/>
    <col min="4613" max="4613" width="8" style="2" customWidth="1"/>
    <col min="4614" max="4614" width="7.88671875" style="2" customWidth="1"/>
    <col min="4615" max="4615" width="7" style="2" customWidth="1"/>
    <col min="4616" max="4616" width="7.44140625" style="2" customWidth="1"/>
    <col min="4617" max="4617" width="7.88671875" style="2" customWidth="1"/>
    <col min="4618" max="4618" width="7.44140625" style="2" customWidth="1"/>
    <col min="4619" max="4619" width="7.109375" style="2" customWidth="1"/>
    <col min="4620" max="4620" width="8.88671875" style="2" customWidth="1"/>
    <col min="4621" max="4864" width="8.88671875" style="2"/>
    <col min="4865" max="4865" width="3.44140625" style="2" customWidth="1"/>
    <col min="4866" max="4866" width="47.109375" style="2" customWidth="1"/>
    <col min="4867" max="4867" width="49.5546875" style="2" customWidth="1"/>
    <col min="4868" max="4868" width="8.88671875" style="2" customWidth="1"/>
    <col min="4869" max="4869" width="8" style="2" customWidth="1"/>
    <col min="4870" max="4870" width="7.88671875" style="2" customWidth="1"/>
    <col min="4871" max="4871" width="7" style="2" customWidth="1"/>
    <col min="4872" max="4872" width="7.44140625" style="2" customWidth="1"/>
    <col min="4873" max="4873" width="7.88671875" style="2" customWidth="1"/>
    <col min="4874" max="4874" width="7.44140625" style="2" customWidth="1"/>
    <col min="4875" max="4875" width="7.109375" style="2" customWidth="1"/>
    <col min="4876" max="4876" width="8.88671875" style="2" customWidth="1"/>
    <col min="4877" max="5120" width="8.88671875" style="2"/>
    <col min="5121" max="5121" width="3.44140625" style="2" customWidth="1"/>
    <col min="5122" max="5122" width="47.109375" style="2" customWidth="1"/>
    <col min="5123" max="5123" width="49.5546875" style="2" customWidth="1"/>
    <col min="5124" max="5124" width="8.88671875" style="2" customWidth="1"/>
    <col min="5125" max="5125" width="8" style="2" customWidth="1"/>
    <col min="5126" max="5126" width="7.88671875" style="2" customWidth="1"/>
    <col min="5127" max="5127" width="7" style="2" customWidth="1"/>
    <col min="5128" max="5128" width="7.44140625" style="2" customWidth="1"/>
    <col min="5129" max="5129" width="7.88671875" style="2" customWidth="1"/>
    <col min="5130" max="5130" width="7.44140625" style="2" customWidth="1"/>
    <col min="5131" max="5131" width="7.109375" style="2" customWidth="1"/>
    <col min="5132" max="5132" width="8.88671875" style="2" customWidth="1"/>
    <col min="5133" max="5376" width="8.88671875" style="2"/>
    <col min="5377" max="5377" width="3.44140625" style="2" customWidth="1"/>
    <col min="5378" max="5378" width="47.109375" style="2" customWidth="1"/>
    <col min="5379" max="5379" width="49.5546875" style="2" customWidth="1"/>
    <col min="5380" max="5380" width="8.88671875" style="2" customWidth="1"/>
    <col min="5381" max="5381" width="8" style="2" customWidth="1"/>
    <col min="5382" max="5382" width="7.88671875" style="2" customWidth="1"/>
    <col min="5383" max="5383" width="7" style="2" customWidth="1"/>
    <col min="5384" max="5384" width="7.44140625" style="2" customWidth="1"/>
    <col min="5385" max="5385" width="7.88671875" style="2" customWidth="1"/>
    <col min="5386" max="5386" width="7.44140625" style="2" customWidth="1"/>
    <col min="5387" max="5387" width="7.109375" style="2" customWidth="1"/>
    <col min="5388" max="5388" width="8.88671875" style="2" customWidth="1"/>
    <col min="5389" max="5632" width="8.88671875" style="2"/>
    <col min="5633" max="5633" width="3.44140625" style="2" customWidth="1"/>
    <col min="5634" max="5634" width="47.109375" style="2" customWidth="1"/>
    <col min="5635" max="5635" width="49.5546875" style="2" customWidth="1"/>
    <col min="5636" max="5636" width="8.88671875" style="2" customWidth="1"/>
    <col min="5637" max="5637" width="8" style="2" customWidth="1"/>
    <col min="5638" max="5638" width="7.88671875" style="2" customWidth="1"/>
    <col min="5639" max="5639" width="7" style="2" customWidth="1"/>
    <col min="5640" max="5640" width="7.44140625" style="2" customWidth="1"/>
    <col min="5641" max="5641" width="7.88671875" style="2" customWidth="1"/>
    <col min="5642" max="5642" width="7.44140625" style="2" customWidth="1"/>
    <col min="5643" max="5643" width="7.109375" style="2" customWidth="1"/>
    <col min="5644" max="5644" width="8.88671875" style="2" customWidth="1"/>
    <col min="5645" max="5888" width="8.88671875" style="2"/>
    <col min="5889" max="5889" width="3.44140625" style="2" customWidth="1"/>
    <col min="5890" max="5890" width="47.109375" style="2" customWidth="1"/>
    <col min="5891" max="5891" width="49.5546875" style="2" customWidth="1"/>
    <col min="5892" max="5892" width="8.88671875" style="2" customWidth="1"/>
    <col min="5893" max="5893" width="8" style="2" customWidth="1"/>
    <col min="5894" max="5894" width="7.88671875" style="2" customWidth="1"/>
    <col min="5895" max="5895" width="7" style="2" customWidth="1"/>
    <col min="5896" max="5896" width="7.44140625" style="2" customWidth="1"/>
    <col min="5897" max="5897" width="7.88671875" style="2" customWidth="1"/>
    <col min="5898" max="5898" width="7.44140625" style="2" customWidth="1"/>
    <col min="5899" max="5899" width="7.109375" style="2" customWidth="1"/>
    <col min="5900" max="5900" width="8.88671875" style="2" customWidth="1"/>
    <col min="5901" max="6144" width="8.88671875" style="2"/>
    <col min="6145" max="6145" width="3.44140625" style="2" customWidth="1"/>
    <col min="6146" max="6146" width="47.109375" style="2" customWidth="1"/>
    <col min="6147" max="6147" width="49.5546875" style="2" customWidth="1"/>
    <col min="6148" max="6148" width="8.88671875" style="2" customWidth="1"/>
    <col min="6149" max="6149" width="8" style="2" customWidth="1"/>
    <col min="6150" max="6150" width="7.88671875" style="2" customWidth="1"/>
    <col min="6151" max="6151" width="7" style="2" customWidth="1"/>
    <col min="6152" max="6152" width="7.44140625" style="2" customWidth="1"/>
    <col min="6153" max="6153" width="7.88671875" style="2" customWidth="1"/>
    <col min="6154" max="6154" width="7.44140625" style="2" customWidth="1"/>
    <col min="6155" max="6155" width="7.109375" style="2" customWidth="1"/>
    <col min="6156" max="6156" width="8.88671875" style="2" customWidth="1"/>
    <col min="6157" max="6400" width="8.88671875" style="2"/>
    <col min="6401" max="6401" width="3.44140625" style="2" customWidth="1"/>
    <col min="6402" max="6402" width="47.109375" style="2" customWidth="1"/>
    <col min="6403" max="6403" width="49.5546875" style="2" customWidth="1"/>
    <col min="6404" max="6404" width="8.88671875" style="2" customWidth="1"/>
    <col min="6405" max="6405" width="8" style="2" customWidth="1"/>
    <col min="6406" max="6406" width="7.88671875" style="2" customWidth="1"/>
    <col min="6407" max="6407" width="7" style="2" customWidth="1"/>
    <col min="6408" max="6408" width="7.44140625" style="2" customWidth="1"/>
    <col min="6409" max="6409" width="7.88671875" style="2" customWidth="1"/>
    <col min="6410" max="6410" width="7.44140625" style="2" customWidth="1"/>
    <col min="6411" max="6411" width="7.109375" style="2" customWidth="1"/>
    <col min="6412" max="6412" width="8.88671875" style="2" customWidth="1"/>
    <col min="6413" max="6656" width="8.88671875" style="2"/>
    <col min="6657" max="6657" width="3.44140625" style="2" customWidth="1"/>
    <col min="6658" max="6658" width="47.109375" style="2" customWidth="1"/>
    <col min="6659" max="6659" width="49.5546875" style="2" customWidth="1"/>
    <col min="6660" max="6660" width="8.88671875" style="2" customWidth="1"/>
    <col min="6661" max="6661" width="8" style="2" customWidth="1"/>
    <col min="6662" max="6662" width="7.88671875" style="2" customWidth="1"/>
    <col min="6663" max="6663" width="7" style="2" customWidth="1"/>
    <col min="6664" max="6664" width="7.44140625" style="2" customWidth="1"/>
    <col min="6665" max="6665" width="7.88671875" style="2" customWidth="1"/>
    <col min="6666" max="6666" width="7.44140625" style="2" customWidth="1"/>
    <col min="6667" max="6667" width="7.109375" style="2" customWidth="1"/>
    <col min="6668" max="6668" width="8.88671875" style="2" customWidth="1"/>
    <col min="6669" max="6912" width="8.88671875" style="2"/>
    <col min="6913" max="6913" width="3.44140625" style="2" customWidth="1"/>
    <col min="6914" max="6914" width="47.109375" style="2" customWidth="1"/>
    <col min="6915" max="6915" width="49.5546875" style="2" customWidth="1"/>
    <col min="6916" max="6916" width="8.88671875" style="2" customWidth="1"/>
    <col min="6917" max="6917" width="8" style="2" customWidth="1"/>
    <col min="6918" max="6918" width="7.88671875" style="2" customWidth="1"/>
    <col min="6919" max="6919" width="7" style="2" customWidth="1"/>
    <col min="6920" max="6920" width="7.44140625" style="2" customWidth="1"/>
    <col min="6921" max="6921" width="7.88671875" style="2" customWidth="1"/>
    <col min="6922" max="6922" width="7.44140625" style="2" customWidth="1"/>
    <col min="6923" max="6923" width="7.109375" style="2" customWidth="1"/>
    <col min="6924" max="6924" width="8.88671875" style="2" customWidth="1"/>
    <col min="6925" max="7168" width="8.88671875" style="2"/>
    <col min="7169" max="7169" width="3.44140625" style="2" customWidth="1"/>
    <col min="7170" max="7170" width="47.109375" style="2" customWidth="1"/>
    <col min="7171" max="7171" width="49.5546875" style="2" customWidth="1"/>
    <col min="7172" max="7172" width="8.88671875" style="2" customWidth="1"/>
    <col min="7173" max="7173" width="8" style="2" customWidth="1"/>
    <col min="7174" max="7174" width="7.88671875" style="2" customWidth="1"/>
    <col min="7175" max="7175" width="7" style="2" customWidth="1"/>
    <col min="7176" max="7176" width="7.44140625" style="2" customWidth="1"/>
    <col min="7177" max="7177" width="7.88671875" style="2" customWidth="1"/>
    <col min="7178" max="7178" width="7.44140625" style="2" customWidth="1"/>
    <col min="7179" max="7179" width="7.109375" style="2" customWidth="1"/>
    <col min="7180" max="7180" width="8.88671875" style="2" customWidth="1"/>
    <col min="7181" max="7424" width="8.88671875" style="2"/>
    <col min="7425" max="7425" width="3.44140625" style="2" customWidth="1"/>
    <col min="7426" max="7426" width="47.109375" style="2" customWidth="1"/>
    <col min="7427" max="7427" width="49.5546875" style="2" customWidth="1"/>
    <col min="7428" max="7428" width="8.88671875" style="2" customWidth="1"/>
    <col min="7429" max="7429" width="8" style="2" customWidth="1"/>
    <col min="7430" max="7430" width="7.88671875" style="2" customWidth="1"/>
    <col min="7431" max="7431" width="7" style="2" customWidth="1"/>
    <col min="7432" max="7432" width="7.44140625" style="2" customWidth="1"/>
    <col min="7433" max="7433" width="7.88671875" style="2" customWidth="1"/>
    <col min="7434" max="7434" width="7.44140625" style="2" customWidth="1"/>
    <col min="7435" max="7435" width="7.109375" style="2" customWidth="1"/>
    <col min="7436" max="7436" width="8.88671875" style="2" customWidth="1"/>
    <col min="7437" max="7680" width="8.88671875" style="2"/>
    <col min="7681" max="7681" width="3.44140625" style="2" customWidth="1"/>
    <col min="7682" max="7682" width="47.109375" style="2" customWidth="1"/>
    <col min="7683" max="7683" width="49.5546875" style="2" customWidth="1"/>
    <col min="7684" max="7684" width="8.88671875" style="2" customWidth="1"/>
    <col min="7685" max="7685" width="8" style="2" customWidth="1"/>
    <col min="7686" max="7686" width="7.88671875" style="2" customWidth="1"/>
    <col min="7687" max="7687" width="7" style="2" customWidth="1"/>
    <col min="7688" max="7688" width="7.44140625" style="2" customWidth="1"/>
    <col min="7689" max="7689" width="7.88671875" style="2" customWidth="1"/>
    <col min="7690" max="7690" width="7.44140625" style="2" customWidth="1"/>
    <col min="7691" max="7691" width="7.109375" style="2" customWidth="1"/>
    <col min="7692" max="7692" width="8.88671875" style="2" customWidth="1"/>
    <col min="7693" max="7936" width="8.88671875" style="2"/>
    <col min="7937" max="7937" width="3.44140625" style="2" customWidth="1"/>
    <col min="7938" max="7938" width="47.109375" style="2" customWidth="1"/>
    <col min="7939" max="7939" width="49.5546875" style="2" customWidth="1"/>
    <col min="7940" max="7940" width="8.88671875" style="2" customWidth="1"/>
    <col min="7941" max="7941" width="8" style="2" customWidth="1"/>
    <col min="7942" max="7942" width="7.88671875" style="2" customWidth="1"/>
    <col min="7943" max="7943" width="7" style="2" customWidth="1"/>
    <col min="7944" max="7944" width="7.44140625" style="2" customWidth="1"/>
    <col min="7945" max="7945" width="7.88671875" style="2" customWidth="1"/>
    <col min="7946" max="7946" width="7.44140625" style="2" customWidth="1"/>
    <col min="7947" max="7947" width="7.109375" style="2" customWidth="1"/>
    <col min="7948" max="7948" width="8.88671875" style="2" customWidth="1"/>
    <col min="7949" max="8192" width="8.88671875" style="2"/>
    <col min="8193" max="8193" width="3.44140625" style="2" customWidth="1"/>
    <col min="8194" max="8194" width="47.109375" style="2" customWidth="1"/>
    <col min="8195" max="8195" width="49.5546875" style="2" customWidth="1"/>
    <col min="8196" max="8196" width="8.88671875" style="2" customWidth="1"/>
    <col min="8197" max="8197" width="8" style="2" customWidth="1"/>
    <col min="8198" max="8198" width="7.88671875" style="2" customWidth="1"/>
    <col min="8199" max="8199" width="7" style="2" customWidth="1"/>
    <col min="8200" max="8200" width="7.44140625" style="2" customWidth="1"/>
    <col min="8201" max="8201" width="7.88671875" style="2" customWidth="1"/>
    <col min="8202" max="8202" width="7.44140625" style="2" customWidth="1"/>
    <col min="8203" max="8203" width="7.109375" style="2" customWidth="1"/>
    <col min="8204" max="8204" width="8.88671875" style="2" customWidth="1"/>
    <col min="8205" max="8448" width="8.88671875" style="2"/>
    <col min="8449" max="8449" width="3.44140625" style="2" customWidth="1"/>
    <col min="8450" max="8450" width="47.109375" style="2" customWidth="1"/>
    <col min="8451" max="8451" width="49.5546875" style="2" customWidth="1"/>
    <col min="8452" max="8452" width="8.88671875" style="2" customWidth="1"/>
    <col min="8453" max="8453" width="8" style="2" customWidth="1"/>
    <col min="8454" max="8454" width="7.88671875" style="2" customWidth="1"/>
    <col min="8455" max="8455" width="7" style="2" customWidth="1"/>
    <col min="8456" max="8456" width="7.44140625" style="2" customWidth="1"/>
    <col min="8457" max="8457" width="7.88671875" style="2" customWidth="1"/>
    <col min="8458" max="8458" width="7.44140625" style="2" customWidth="1"/>
    <col min="8459" max="8459" width="7.109375" style="2" customWidth="1"/>
    <col min="8460" max="8460" width="8.88671875" style="2" customWidth="1"/>
    <col min="8461" max="8704" width="8.88671875" style="2"/>
    <col min="8705" max="8705" width="3.44140625" style="2" customWidth="1"/>
    <col min="8706" max="8706" width="47.109375" style="2" customWidth="1"/>
    <col min="8707" max="8707" width="49.5546875" style="2" customWidth="1"/>
    <col min="8708" max="8708" width="8.88671875" style="2" customWidth="1"/>
    <col min="8709" max="8709" width="8" style="2" customWidth="1"/>
    <col min="8710" max="8710" width="7.88671875" style="2" customWidth="1"/>
    <col min="8711" max="8711" width="7" style="2" customWidth="1"/>
    <col min="8712" max="8712" width="7.44140625" style="2" customWidth="1"/>
    <col min="8713" max="8713" width="7.88671875" style="2" customWidth="1"/>
    <col min="8714" max="8714" width="7.44140625" style="2" customWidth="1"/>
    <col min="8715" max="8715" width="7.109375" style="2" customWidth="1"/>
    <col min="8716" max="8716" width="8.88671875" style="2" customWidth="1"/>
    <col min="8717" max="8960" width="8.88671875" style="2"/>
    <col min="8961" max="8961" width="3.44140625" style="2" customWidth="1"/>
    <col min="8962" max="8962" width="47.109375" style="2" customWidth="1"/>
    <col min="8963" max="8963" width="49.5546875" style="2" customWidth="1"/>
    <col min="8964" max="8964" width="8.88671875" style="2" customWidth="1"/>
    <col min="8965" max="8965" width="8" style="2" customWidth="1"/>
    <col min="8966" max="8966" width="7.88671875" style="2" customWidth="1"/>
    <col min="8967" max="8967" width="7" style="2" customWidth="1"/>
    <col min="8968" max="8968" width="7.44140625" style="2" customWidth="1"/>
    <col min="8969" max="8969" width="7.88671875" style="2" customWidth="1"/>
    <col min="8970" max="8970" width="7.44140625" style="2" customWidth="1"/>
    <col min="8971" max="8971" width="7.109375" style="2" customWidth="1"/>
    <col min="8972" max="8972" width="8.88671875" style="2" customWidth="1"/>
    <col min="8973" max="9216" width="8.88671875" style="2"/>
    <col min="9217" max="9217" width="3.44140625" style="2" customWidth="1"/>
    <col min="9218" max="9218" width="47.109375" style="2" customWidth="1"/>
    <col min="9219" max="9219" width="49.5546875" style="2" customWidth="1"/>
    <col min="9220" max="9220" width="8.88671875" style="2" customWidth="1"/>
    <col min="9221" max="9221" width="8" style="2" customWidth="1"/>
    <col min="9222" max="9222" width="7.88671875" style="2" customWidth="1"/>
    <col min="9223" max="9223" width="7" style="2" customWidth="1"/>
    <col min="9224" max="9224" width="7.44140625" style="2" customWidth="1"/>
    <col min="9225" max="9225" width="7.88671875" style="2" customWidth="1"/>
    <col min="9226" max="9226" width="7.44140625" style="2" customWidth="1"/>
    <col min="9227" max="9227" width="7.109375" style="2" customWidth="1"/>
    <col min="9228" max="9228" width="8.88671875" style="2" customWidth="1"/>
    <col min="9229" max="9472" width="8.88671875" style="2"/>
    <col min="9473" max="9473" width="3.44140625" style="2" customWidth="1"/>
    <col min="9474" max="9474" width="47.109375" style="2" customWidth="1"/>
    <col min="9475" max="9475" width="49.5546875" style="2" customWidth="1"/>
    <col min="9476" max="9476" width="8.88671875" style="2" customWidth="1"/>
    <col min="9477" max="9477" width="8" style="2" customWidth="1"/>
    <col min="9478" max="9478" width="7.88671875" style="2" customWidth="1"/>
    <col min="9479" max="9479" width="7" style="2" customWidth="1"/>
    <col min="9480" max="9480" width="7.44140625" style="2" customWidth="1"/>
    <col min="9481" max="9481" width="7.88671875" style="2" customWidth="1"/>
    <col min="9482" max="9482" width="7.44140625" style="2" customWidth="1"/>
    <col min="9483" max="9483" width="7.109375" style="2" customWidth="1"/>
    <col min="9484" max="9484" width="8.88671875" style="2" customWidth="1"/>
    <col min="9485" max="9728" width="8.88671875" style="2"/>
    <col min="9729" max="9729" width="3.44140625" style="2" customWidth="1"/>
    <col min="9730" max="9730" width="47.109375" style="2" customWidth="1"/>
    <col min="9731" max="9731" width="49.5546875" style="2" customWidth="1"/>
    <col min="9732" max="9732" width="8.88671875" style="2" customWidth="1"/>
    <col min="9733" max="9733" width="8" style="2" customWidth="1"/>
    <col min="9734" max="9734" width="7.88671875" style="2" customWidth="1"/>
    <col min="9735" max="9735" width="7" style="2" customWidth="1"/>
    <col min="9736" max="9736" width="7.44140625" style="2" customWidth="1"/>
    <col min="9737" max="9737" width="7.88671875" style="2" customWidth="1"/>
    <col min="9738" max="9738" width="7.44140625" style="2" customWidth="1"/>
    <col min="9739" max="9739" width="7.109375" style="2" customWidth="1"/>
    <col min="9740" max="9740" width="8.88671875" style="2" customWidth="1"/>
    <col min="9741" max="9984" width="8.88671875" style="2"/>
    <col min="9985" max="9985" width="3.44140625" style="2" customWidth="1"/>
    <col min="9986" max="9986" width="47.109375" style="2" customWidth="1"/>
    <col min="9987" max="9987" width="49.5546875" style="2" customWidth="1"/>
    <col min="9988" max="9988" width="8.88671875" style="2" customWidth="1"/>
    <col min="9989" max="9989" width="8" style="2" customWidth="1"/>
    <col min="9990" max="9990" width="7.88671875" style="2" customWidth="1"/>
    <col min="9991" max="9991" width="7" style="2" customWidth="1"/>
    <col min="9992" max="9992" width="7.44140625" style="2" customWidth="1"/>
    <col min="9993" max="9993" width="7.88671875" style="2" customWidth="1"/>
    <col min="9994" max="9994" width="7.44140625" style="2" customWidth="1"/>
    <col min="9995" max="9995" width="7.109375" style="2" customWidth="1"/>
    <col min="9996" max="9996" width="8.88671875" style="2" customWidth="1"/>
    <col min="9997" max="10240" width="8.88671875" style="2"/>
    <col min="10241" max="10241" width="3.44140625" style="2" customWidth="1"/>
    <col min="10242" max="10242" width="47.109375" style="2" customWidth="1"/>
    <col min="10243" max="10243" width="49.5546875" style="2" customWidth="1"/>
    <col min="10244" max="10244" width="8.88671875" style="2" customWidth="1"/>
    <col min="10245" max="10245" width="8" style="2" customWidth="1"/>
    <col min="10246" max="10246" width="7.88671875" style="2" customWidth="1"/>
    <col min="10247" max="10247" width="7" style="2" customWidth="1"/>
    <col min="10248" max="10248" width="7.44140625" style="2" customWidth="1"/>
    <col min="10249" max="10249" width="7.88671875" style="2" customWidth="1"/>
    <col min="10250" max="10250" width="7.44140625" style="2" customWidth="1"/>
    <col min="10251" max="10251" width="7.109375" style="2" customWidth="1"/>
    <col min="10252" max="10252" width="8.88671875" style="2" customWidth="1"/>
    <col min="10253" max="10496" width="8.88671875" style="2"/>
    <col min="10497" max="10497" width="3.44140625" style="2" customWidth="1"/>
    <col min="10498" max="10498" width="47.109375" style="2" customWidth="1"/>
    <col min="10499" max="10499" width="49.5546875" style="2" customWidth="1"/>
    <col min="10500" max="10500" width="8.88671875" style="2" customWidth="1"/>
    <col min="10501" max="10501" width="8" style="2" customWidth="1"/>
    <col min="10502" max="10502" width="7.88671875" style="2" customWidth="1"/>
    <col min="10503" max="10503" width="7" style="2" customWidth="1"/>
    <col min="10504" max="10504" width="7.44140625" style="2" customWidth="1"/>
    <col min="10505" max="10505" width="7.88671875" style="2" customWidth="1"/>
    <col min="10506" max="10506" width="7.44140625" style="2" customWidth="1"/>
    <col min="10507" max="10507" width="7.109375" style="2" customWidth="1"/>
    <col min="10508" max="10508" width="8.88671875" style="2" customWidth="1"/>
    <col min="10509" max="10752" width="8.88671875" style="2"/>
    <col min="10753" max="10753" width="3.44140625" style="2" customWidth="1"/>
    <col min="10754" max="10754" width="47.109375" style="2" customWidth="1"/>
    <col min="10755" max="10755" width="49.5546875" style="2" customWidth="1"/>
    <col min="10756" max="10756" width="8.88671875" style="2" customWidth="1"/>
    <col min="10757" max="10757" width="8" style="2" customWidth="1"/>
    <col min="10758" max="10758" width="7.88671875" style="2" customWidth="1"/>
    <col min="10759" max="10759" width="7" style="2" customWidth="1"/>
    <col min="10760" max="10760" width="7.44140625" style="2" customWidth="1"/>
    <col min="10761" max="10761" width="7.88671875" style="2" customWidth="1"/>
    <col min="10762" max="10762" width="7.44140625" style="2" customWidth="1"/>
    <col min="10763" max="10763" width="7.109375" style="2" customWidth="1"/>
    <col min="10764" max="10764" width="8.88671875" style="2" customWidth="1"/>
    <col min="10765" max="11008" width="8.88671875" style="2"/>
    <col min="11009" max="11009" width="3.44140625" style="2" customWidth="1"/>
    <col min="11010" max="11010" width="47.109375" style="2" customWidth="1"/>
    <col min="11011" max="11011" width="49.5546875" style="2" customWidth="1"/>
    <col min="11012" max="11012" width="8.88671875" style="2" customWidth="1"/>
    <col min="11013" max="11013" width="8" style="2" customWidth="1"/>
    <col min="11014" max="11014" width="7.88671875" style="2" customWidth="1"/>
    <col min="11015" max="11015" width="7" style="2" customWidth="1"/>
    <col min="11016" max="11016" width="7.44140625" style="2" customWidth="1"/>
    <col min="11017" max="11017" width="7.88671875" style="2" customWidth="1"/>
    <col min="11018" max="11018" width="7.44140625" style="2" customWidth="1"/>
    <col min="11019" max="11019" width="7.109375" style="2" customWidth="1"/>
    <col min="11020" max="11020" width="8.88671875" style="2" customWidth="1"/>
    <col min="11021" max="11264" width="8.88671875" style="2"/>
    <col min="11265" max="11265" width="3.44140625" style="2" customWidth="1"/>
    <col min="11266" max="11266" width="47.109375" style="2" customWidth="1"/>
    <col min="11267" max="11267" width="49.5546875" style="2" customWidth="1"/>
    <col min="11268" max="11268" width="8.88671875" style="2" customWidth="1"/>
    <col min="11269" max="11269" width="8" style="2" customWidth="1"/>
    <col min="11270" max="11270" width="7.88671875" style="2" customWidth="1"/>
    <col min="11271" max="11271" width="7" style="2" customWidth="1"/>
    <col min="11272" max="11272" width="7.44140625" style="2" customWidth="1"/>
    <col min="11273" max="11273" width="7.88671875" style="2" customWidth="1"/>
    <col min="11274" max="11274" width="7.44140625" style="2" customWidth="1"/>
    <col min="11275" max="11275" width="7.109375" style="2" customWidth="1"/>
    <col min="11276" max="11276" width="8.88671875" style="2" customWidth="1"/>
    <col min="11277" max="11520" width="8.88671875" style="2"/>
    <col min="11521" max="11521" width="3.44140625" style="2" customWidth="1"/>
    <col min="11522" max="11522" width="47.109375" style="2" customWidth="1"/>
    <col min="11523" max="11523" width="49.5546875" style="2" customWidth="1"/>
    <col min="11524" max="11524" width="8.88671875" style="2" customWidth="1"/>
    <col min="11525" max="11525" width="8" style="2" customWidth="1"/>
    <col min="11526" max="11526" width="7.88671875" style="2" customWidth="1"/>
    <col min="11527" max="11527" width="7" style="2" customWidth="1"/>
    <col min="11528" max="11528" width="7.44140625" style="2" customWidth="1"/>
    <col min="11529" max="11529" width="7.88671875" style="2" customWidth="1"/>
    <col min="11530" max="11530" width="7.44140625" style="2" customWidth="1"/>
    <col min="11531" max="11531" width="7.109375" style="2" customWidth="1"/>
    <col min="11532" max="11532" width="8.88671875" style="2" customWidth="1"/>
    <col min="11533" max="11776" width="8.88671875" style="2"/>
    <col min="11777" max="11777" width="3.44140625" style="2" customWidth="1"/>
    <col min="11778" max="11778" width="47.109375" style="2" customWidth="1"/>
    <col min="11779" max="11779" width="49.5546875" style="2" customWidth="1"/>
    <col min="11780" max="11780" width="8.88671875" style="2" customWidth="1"/>
    <col min="11781" max="11781" width="8" style="2" customWidth="1"/>
    <col min="11782" max="11782" width="7.88671875" style="2" customWidth="1"/>
    <col min="11783" max="11783" width="7" style="2" customWidth="1"/>
    <col min="11784" max="11784" width="7.44140625" style="2" customWidth="1"/>
    <col min="11785" max="11785" width="7.88671875" style="2" customWidth="1"/>
    <col min="11786" max="11786" width="7.44140625" style="2" customWidth="1"/>
    <col min="11787" max="11787" width="7.109375" style="2" customWidth="1"/>
    <col min="11788" max="11788" width="8.88671875" style="2" customWidth="1"/>
    <col min="11789" max="12032" width="8.88671875" style="2"/>
    <col min="12033" max="12033" width="3.44140625" style="2" customWidth="1"/>
    <col min="12034" max="12034" width="47.109375" style="2" customWidth="1"/>
    <col min="12035" max="12035" width="49.5546875" style="2" customWidth="1"/>
    <col min="12036" max="12036" width="8.88671875" style="2" customWidth="1"/>
    <col min="12037" max="12037" width="8" style="2" customWidth="1"/>
    <col min="12038" max="12038" width="7.88671875" style="2" customWidth="1"/>
    <col min="12039" max="12039" width="7" style="2" customWidth="1"/>
    <col min="12040" max="12040" width="7.44140625" style="2" customWidth="1"/>
    <col min="12041" max="12041" width="7.88671875" style="2" customWidth="1"/>
    <col min="12042" max="12042" width="7.44140625" style="2" customWidth="1"/>
    <col min="12043" max="12043" width="7.109375" style="2" customWidth="1"/>
    <col min="12044" max="12044" width="8.88671875" style="2" customWidth="1"/>
    <col min="12045" max="12288" width="8.88671875" style="2"/>
    <col min="12289" max="12289" width="3.44140625" style="2" customWidth="1"/>
    <col min="12290" max="12290" width="47.109375" style="2" customWidth="1"/>
    <col min="12291" max="12291" width="49.5546875" style="2" customWidth="1"/>
    <col min="12292" max="12292" width="8.88671875" style="2" customWidth="1"/>
    <col min="12293" max="12293" width="8" style="2" customWidth="1"/>
    <col min="12294" max="12294" width="7.88671875" style="2" customWidth="1"/>
    <col min="12295" max="12295" width="7" style="2" customWidth="1"/>
    <col min="12296" max="12296" width="7.44140625" style="2" customWidth="1"/>
    <col min="12297" max="12297" width="7.88671875" style="2" customWidth="1"/>
    <col min="12298" max="12298" width="7.44140625" style="2" customWidth="1"/>
    <col min="12299" max="12299" width="7.109375" style="2" customWidth="1"/>
    <col min="12300" max="12300" width="8.88671875" style="2" customWidth="1"/>
    <col min="12301" max="12544" width="8.88671875" style="2"/>
    <col min="12545" max="12545" width="3.44140625" style="2" customWidth="1"/>
    <col min="12546" max="12546" width="47.109375" style="2" customWidth="1"/>
    <col min="12547" max="12547" width="49.5546875" style="2" customWidth="1"/>
    <col min="12548" max="12548" width="8.88671875" style="2" customWidth="1"/>
    <col min="12549" max="12549" width="8" style="2" customWidth="1"/>
    <col min="12550" max="12550" width="7.88671875" style="2" customWidth="1"/>
    <col min="12551" max="12551" width="7" style="2" customWidth="1"/>
    <col min="12552" max="12552" width="7.44140625" style="2" customWidth="1"/>
    <col min="12553" max="12553" width="7.88671875" style="2" customWidth="1"/>
    <col min="12554" max="12554" width="7.44140625" style="2" customWidth="1"/>
    <col min="12555" max="12555" width="7.109375" style="2" customWidth="1"/>
    <col min="12556" max="12556" width="8.88671875" style="2" customWidth="1"/>
    <col min="12557" max="12800" width="8.88671875" style="2"/>
    <col min="12801" max="12801" width="3.44140625" style="2" customWidth="1"/>
    <col min="12802" max="12802" width="47.109375" style="2" customWidth="1"/>
    <col min="12803" max="12803" width="49.5546875" style="2" customWidth="1"/>
    <col min="12804" max="12804" width="8.88671875" style="2" customWidth="1"/>
    <col min="12805" max="12805" width="8" style="2" customWidth="1"/>
    <col min="12806" max="12806" width="7.88671875" style="2" customWidth="1"/>
    <col min="12807" max="12807" width="7" style="2" customWidth="1"/>
    <col min="12808" max="12808" width="7.44140625" style="2" customWidth="1"/>
    <col min="12809" max="12809" width="7.88671875" style="2" customWidth="1"/>
    <col min="12810" max="12810" width="7.44140625" style="2" customWidth="1"/>
    <col min="12811" max="12811" width="7.109375" style="2" customWidth="1"/>
    <col min="12812" max="12812" width="8.88671875" style="2" customWidth="1"/>
    <col min="12813" max="13056" width="8.88671875" style="2"/>
    <col min="13057" max="13057" width="3.44140625" style="2" customWidth="1"/>
    <col min="13058" max="13058" width="47.109375" style="2" customWidth="1"/>
    <col min="13059" max="13059" width="49.5546875" style="2" customWidth="1"/>
    <col min="13060" max="13060" width="8.88671875" style="2" customWidth="1"/>
    <col min="13061" max="13061" width="8" style="2" customWidth="1"/>
    <col min="13062" max="13062" width="7.88671875" style="2" customWidth="1"/>
    <col min="13063" max="13063" width="7" style="2" customWidth="1"/>
    <col min="13064" max="13064" width="7.44140625" style="2" customWidth="1"/>
    <col min="13065" max="13065" width="7.88671875" style="2" customWidth="1"/>
    <col min="13066" max="13066" width="7.44140625" style="2" customWidth="1"/>
    <col min="13067" max="13067" width="7.109375" style="2" customWidth="1"/>
    <col min="13068" max="13068" width="8.88671875" style="2" customWidth="1"/>
    <col min="13069" max="13312" width="8.88671875" style="2"/>
    <col min="13313" max="13313" width="3.44140625" style="2" customWidth="1"/>
    <col min="13314" max="13314" width="47.109375" style="2" customWidth="1"/>
    <col min="13315" max="13315" width="49.5546875" style="2" customWidth="1"/>
    <col min="13316" max="13316" width="8.88671875" style="2" customWidth="1"/>
    <col min="13317" max="13317" width="8" style="2" customWidth="1"/>
    <col min="13318" max="13318" width="7.88671875" style="2" customWidth="1"/>
    <col min="13319" max="13319" width="7" style="2" customWidth="1"/>
    <col min="13320" max="13320" width="7.44140625" style="2" customWidth="1"/>
    <col min="13321" max="13321" width="7.88671875" style="2" customWidth="1"/>
    <col min="13322" max="13322" width="7.44140625" style="2" customWidth="1"/>
    <col min="13323" max="13323" width="7.109375" style="2" customWidth="1"/>
    <col min="13324" max="13324" width="8.88671875" style="2" customWidth="1"/>
    <col min="13325" max="13568" width="8.88671875" style="2"/>
    <col min="13569" max="13569" width="3.44140625" style="2" customWidth="1"/>
    <col min="13570" max="13570" width="47.109375" style="2" customWidth="1"/>
    <col min="13571" max="13571" width="49.5546875" style="2" customWidth="1"/>
    <col min="13572" max="13572" width="8.88671875" style="2" customWidth="1"/>
    <col min="13573" max="13573" width="8" style="2" customWidth="1"/>
    <col min="13574" max="13574" width="7.88671875" style="2" customWidth="1"/>
    <col min="13575" max="13575" width="7" style="2" customWidth="1"/>
    <col min="13576" max="13576" width="7.44140625" style="2" customWidth="1"/>
    <col min="13577" max="13577" width="7.88671875" style="2" customWidth="1"/>
    <col min="13578" max="13578" width="7.44140625" style="2" customWidth="1"/>
    <col min="13579" max="13579" width="7.109375" style="2" customWidth="1"/>
    <col min="13580" max="13580" width="8.88671875" style="2" customWidth="1"/>
    <col min="13581" max="13824" width="8.88671875" style="2"/>
    <col min="13825" max="13825" width="3.44140625" style="2" customWidth="1"/>
    <col min="13826" max="13826" width="47.109375" style="2" customWidth="1"/>
    <col min="13827" max="13827" width="49.5546875" style="2" customWidth="1"/>
    <col min="13828" max="13828" width="8.88671875" style="2" customWidth="1"/>
    <col min="13829" max="13829" width="8" style="2" customWidth="1"/>
    <col min="13830" max="13830" width="7.88671875" style="2" customWidth="1"/>
    <col min="13831" max="13831" width="7" style="2" customWidth="1"/>
    <col min="13832" max="13832" width="7.44140625" style="2" customWidth="1"/>
    <col min="13833" max="13833" width="7.88671875" style="2" customWidth="1"/>
    <col min="13834" max="13834" width="7.44140625" style="2" customWidth="1"/>
    <col min="13835" max="13835" width="7.109375" style="2" customWidth="1"/>
    <col min="13836" max="13836" width="8.88671875" style="2" customWidth="1"/>
    <col min="13837" max="14080" width="8.88671875" style="2"/>
    <col min="14081" max="14081" width="3.44140625" style="2" customWidth="1"/>
    <col min="14082" max="14082" width="47.109375" style="2" customWidth="1"/>
    <col min="14083" max="14083" width="49.5546875" style="2" customWidth="1"/>
    <col min="14084" max="14084" width="8.88671875" style="2" customWidth="1"/>
    <col min="14085" max="14085" width="8" style="2" customWidth="1"/>
    <col min="14086" max="14086" width="7.88671875" style="2" customWidth="1"/>
    <col min="14087" max="14087" width="7" style="2" customWidth="1"/>
    <col min="14088" max="14088" width="7.44140625" style="2" customWidth="1"/>
    <col min="14089" max="14089" width="7.88671875" style="2" customWidth="1"/>
    <col min="14090" max="14090" width="7.44140625" style="2" customWidth="1"/>
    <col min="14091" max="14091" width="7.109375" style="2" customWidth="1"/>
    <col min="14092" max="14092" width="8.88671875" style="2" customWidth="1"/>
    <col min="14093" max="14336" width="8.88671875" style="2"/>
    <col min="14337" max="14337" width="3.44140625" style="2" customWidth="1"/>
    <col min="14338" max="14338" width="47.109375" style="2" customWidth="1"/>
    <col min="14339" max="14339" width="49.5546875" style="2" customWidth="1"/>
    <col min="14340" max="14340" width="8.88671875" style="2" customWidth="1"/>
    <col min="14341" max="14341" width="8" style="2" customWidth="1"/>
    <col min="14342" max="14342" width="7.88671875" style="2" customWidth="1"/>
    <col min="14343" max="14343" width="7" style="2" customWidth="1"/>
    <col min="14344" max="14344" width="7.44140625" style="2" customWidth="1"/>
    <col min="14345" max="14345" width="7.88671875" style="2" customWidth="1"/>
    <col min="14346" max="14346" width="7.44140625" style="2" customWidth="1"/>
    <col min="14347" max="14347" width="7.109375" style="2" customWidth="1"/>
    <col min="14348" max="14348" width="8.88671875" style="2" customWidth="1"/>
    <col min="14349" max="14592" width="8.88671875" style="2"/>
    <col min="14593" max="14593" width="3.44140625" style="2" customWidth="1"/>
    <col min="14594" max="14594" width="47.109375" style="2" customWidth="1"/>
    <col min="14595" max="14595" width="49.5546875" style="2" customWidth="1"/>
    <col min="14596" max="14596" width="8.88671875" style="2" customWidth="1"/>
    <col min="14597" max="14597" width="8" style="2" customWidth="1"/>
    <col min="14598" max="14598" width="7.88671875" style="2" customWidth="1"/>
    <col min="14599" max="14599" width="7" style="2" customWidth="1"/>
    <col min="14600" max="14600" width="7.44140625" style="2" customWidth="1"/>
    <col min="14601" max="14601" width="7.88671875" style="2" customWidth="1"/>
    <col min="14602" max="14602" width="7.44140625" style="2" customWidth="1"/>
    <col min="14603" max="14603" width="7.109375" style="2" customWidth="1"/>
    <col min="14604" max="14604" width="8.88671875" style="2" customWidth="1"/>
    <col min="14605" max="14848" width="8.88671875" style="2"/>
    <col min="14849" max="14849" width="3.44140625" style="2" customWidth="1"/>
    <col min="14850" max="14850" width="47.109375" style="2" customWidth="1"/>
    <col min="14851" max="14851" width="49.5546875" style="2" customWidth="1"/>
    <col min="14852" max="14852" width="8.88671875" style="2" customWidth="1"/>
    <col min="14853" max="14853" width="8" style="2" customWidth="1"/>
    <col min="14854" max="14854" width="7.88671875" style="2" customWidth="1"/>
    <col min="14855" max="14855" width="7" style="2" customWidth="1"/>
    <col min="14856" max="14856" width="7.44140625" style="2" customWidth="1"/>
    <col min="14857" max="14857" width="7.88671875" style="2" customWidth="1"/>
    <col min="14858" max="14858" width="7.44140625" style="2" customWidth="1"/>
    <col min="14859" max="14859" width="7.109375" style="2" customWidth="1"/>
    <col min="14860" max="14860" width="8.88671875" style="2" customWidth="1"/>
    <col min="14861" max="15104" width="8.88671875" style="2"/>
    <col min="15105" max="15105" width="3.44140625" style="2" customWidth="1"/>
    <col min="15106" max="15106" width="47.109375" style="2" customWidth="1"/>
    <col min="15107" max="15107" width="49.5546875" style="2" customWidth="1"/>
    <col min="15108" max="15108" width="8.88671875" style="2" customWidth="1"/>
    <col min="15109" max="15109" width="8" style="2" customWidth="1"/>
    <col min="15110" max="15110" width="7.88671875" style="2" customWidth="1"/>
    <col min="15111" max="15111" width="7" style="2" customWidth="1"/>
    <col min="15112" max="15112" width="7.44140625" style="2" customWidth="1"/>
    <col min="15113" max="15113" width="7.88671875" style="2" customWidth="1"/>
    <col min="15114" max="15114" width="7.44140625" style="2" customWidth="1"/>
    <col min="15115" max="15115" width="7.109375" style="2" customWidth="1"/>
    <col min="15116" max="15116" width="8.88671875" style="2" customWidth="1"/>
    <col min="15117" max="15360" width="8.88671875" style="2"/>
    <col min="15361" max="15361" width="3.44140625" style="2" customWidth="1"/>
    <col min="15362" max="15362" width="47.109375" style="2" customWidth="1"/>
    <col min="15363" max="15363" width="49.5546875" style="2" customWidth="1"/>
    <col min="15364" max="15364" width="8.88671875" style="2" customWidth="1"/>
    <col min="15365" max="15365" width="8" style="2" customWidth="1"/>
    <col min="15366" max="15366" width="7.88671875" style="2" customWidth="1"/>
    <col min="15367" max="15367" width="7" style="2" customWidth="1"/>
    <col min="15368" max="15368" width="7.44140625" style="2" customWidth="1"/>
    <col min="15369" max="15369" width="7.88671875" style="2" customWidth="1"/>
    <col min="15370" max="15370" width="7.44140625" style="2" customWidth="1"/>
    <col min="15371" max="15371" width="7.109375" style="2" customWidth="1"/>
    <col min="15372" max="15372" width="8.88671875" style="2" customWidth="1"/>
    <col min="15373" max="15616" width="8.88671875" style="2"/>
    <col min="15617" max="15617" width="3.44140625" style="2" customWidth="1"/>
    <col min="15618" max="15618" width="47.109375" style="2" customWidth="1"/>
    <col min="15619" max="15619" width="49.5546875" style="2" customWidth="1"/>
    <col min="15620" max="15620" width="8.88671875" style="2" customWidth="1"/>
    <col min="15621" max="15621" width="8" style="2" customWidth="1"/>
    <col min="15622" max="15622" width="7.88671875" style="2" customWidth="1"/>
    <col min="15623" max="15623" width="7" style="2" customWidth="1"/>
    <col min="15624" max="15624" width="7.44140625" style="2" customWidth="1"/>
    <col min="15625" max="15625" width="7.88671875" style="2" customWidth="1"/>
    <col min="15626" max="15626" width="7.44140625" style="2" customWidth="1"/>
    <col min="15627" max="15627" width="7.109375" style="2" customWidth="1"/>
    <col min="15628" max="15628" width="8.88671875" style="2" customWidth="1"/>
    <col min="15629" max="15872" width="8.88671875" style="2"/>
    <col min="15873" max="15873" width="3.44140625" style="2" customWidth="1"/>
    <col min="15874" max="15874" width="47.109375" style="2" customWidth="1"/>
    <col min="15875" max="15875" width="49.5546875" style="2" customWidth="1"/>
    <col min="15876" max="15876" width="8.88671875" style="2" customWidth="1"/>
    <col min="15877" max="15877" width="8" style="2" customWidth="1"/>
    <col min="15878" max="15878" width="7.88671875" style="2" customWidth="1"/>
    <col min="15879" max="15879" width="7" style="2" customWidth="1"/>
    <col min="15880" max="15880" width="7.44140625" style="2" customWidth="1"/>
    <col min="15881" max="15881" width="7.88671875" style="2" customWidth="1"/>
    <col min="15882" max="15882" width="7.44140625" style="2" customWidth="1"/>
    <col min="15883" max="15883" width="7.109375" style="2" customWidth="1"/>
    <col min="15884" max="15884" width="8.88671875" style="2" customWidth="1"/>
    <col min="15885" max="16128" width="8.88671875" style="2"/>
    <col min="16129" max="16129" width="3.44140625" style="2" customWidth="1"/>
    <col min="16130" max="16130" width="47.109375" style="2" customWidth="1"/>
    <col min="16131" max="16131" width="49.5546875" style="2" customWidth="1"/>
    <col min="16132" max="16132" width="8.88671875" style="2" customWidth="1"/>
    <col min="16133" max="16133" width="8" style="2" customWidth="1"/>
    <col min="16134" max="16134" width="7.88671875" style="2" customWidth="1"/>
    <col min="16135" max="16135" width="7" style="2" customWidth="1"/>
    <col min="16136" max="16136" width="7.44140625" style="2" customWidth="1"/>
    <col min="16137" max="16137" width="7.88671875" style="2" customWidth="1"/>
    <col min="16138" max="16138" width="7.44140625" style="2" customWidth="1"/>
    <col min="16139" max="16139" width="7.109375" style="2" customWidth="1"/>
    <col min="16140" max="16140" width="8.88671875" style="2" customWidth="1"/>
    <col min="16141" max="16384" width="8.88671875" style="2"/>
  </cols>
  <sheetData>
    <row r="1" spans="1:48" x14ac:dyDescent="0.25">
      <c r="J1" s="646" t="s">
        <v>1483</v>
      </c>
      <c r="K1" s="646"/>
      <c r="L1" s="646"/>
    </row>
    <row r="2" spans="1:48" ht="38.4" customHeight="1" x14ac:dyDescent="0.25">
      <c r="D2" s="36"/>
      <c r="E2" s="593" t="s">
        <v>1286</v>
      </c>
      <c r="F2" s="593"/>
      <c r="G2" s="593"/>
      <c r="H2" s="593"/>
      <c r="I2" s="593"/>
      <c r="J2" s="593"/>
      <c r="K2" s="593"/>
      <c r="L2" s="593"/>
    </row>
    <row r="5" spans="1:48" ht="43.35" customHeight="1" x14ac:dyDescent="0.25">
      <c r="A5" s="37"/>
      <c r="B5" s="38"/>
      <c r="C5" s="39"/>
      <c r="D5" s="40"/>
      <c r="E5" s="594" t="s">
        <v>151</v>
      </c>
      <c r="F5" s="594"/>
      <c r="G5" s="594"/>
      <c r="H5" s="594"/>
      <c r="I5" s="594"/>
      <c r="J5" s="594"/>
      <c r="K5" s="594"/>
      <c r="L5" s="594"/>
      <c r="M5" s="41"/>
      <c r="N5" s="41"/>
      <c r="R5" s="42"/>
      <c r="W5" s="42"/>
      <c r="AB5" s="42"/>
      <c r="AG5" s="42"/>
      <c r="AL5" s="42"/>
      <c r="AQ5" s="42"/>
      <c r="AS5" s="41"/>
      <c r="AT5" s="41"/>
      <c r="AU5" s="41"/>
      <c r="AV5" s="41"/>
    </row>
    <row r="6" spans="1:48" ht="21.6" customHeight="1" x14ac:dyDescent="0.25">
      <c r="A6" s="37"/>
      <c r="B6" s="38"/>
      <c r="C6" s="39"/>
      <c r="D6" s="40"/>
      <c r="E6" s="43"/>
      <c r="F6" s="43"/>
      <c r="G6" s="43"/>
      <c r="H6" s="43"/>
      <c r="I6" s="43"/>
      <c r="J6" s="43"/>
      <c r="K6" s="43"/>
      <c r="L6" s="43"/>
      <c r="M6" s="41"/>
      <c r="N6" s="41"/>
      <c r="R6" s="42"/>
      <c r="W6" s="42"/>
      <c r="AB6" s="42"/>
      <c r="AG6" s="42"/>
      <c r="AL6" s="42"/>
      <c r="AQ6" s="42"/>
      <c r="AS6" s="41"/>
      <c r="AT6" s="41"/>
      <c r="AU6" s="41"/>
      <c r="AV6" s="41"/>
    </row>
    <row r="7" spans="1:48" ht="24.75" customHeight="1" x14ac:dyDescent="0.25">
      <c r="B7" s="595" t="s">
        <v>152</v>
      </c>
      <c r="C7" s="595"/>
      <c r="D7" s="595"/>
      <c r="E7" s="595"/>
      <c r="F7" s="595"/>
      <c r="G7" s="595"/>
      <c r="H7" s="595"/>
      <c r="I7" s="595"/>
      <c r="J7" s="595"/>
      <c r="K7" s="44"/>
      <c r="L7" s="44"/>
    </row>
    <row r="8" spans="1:48" ht="15.75" customHeight="1" x14ac:dyDescent="0.25">
      <c r="B8" s="595"/>
      <c r="C8" s="595"/>
      <c r="D8" s="595"/>
      <c r="E8" s="595"/>
      <c r="F8" s="595"/>
      <c r="G8" s="595"/>
      <c r="H8" s="595"/>
      <c r="I8" s="595"/>
      <c r="J8" s="595"/>
      <c r="K8" s="45"/>
      <c r="L8" s="46"/>
    </row>
    <row r="9" spans="1:48" ht="13.65" customHeight="1" x14ac:dyDescent="0.25">
      <c r="B9" s="595"/>
      <c r="C9" s="595"/>
      <c r="D9" s="595"/>
      <c r="E9" s="595"/>
      <c r="F9" s="595"/>
      <c r="G9" s="595"/>
      <c r="H9" s="595"/>
      <c r="I9" s="595"/>
      <c r="J9" s="595"/>
      <c r="K9" s="45"/>
      <c r="L9" s="46"/>
    </row>
    <row r="10" spans="1:48" ht="0.6" customHeight="1" x14ac:dyDescent="0.25">
      <c r="B10" s="47"/>
      <c r="C10" s="48"/>
      <c r="D10" s="49"/>
      <c r="E10" s="45"/>
      <c r="F10" s="45"/>
      <c r="G10" s="45"/>
      <c r="H10" s="45"/>
      <c r="I10" s="45"/>
      <c r="J10" s="45"/>
      <c r="K10" s="45"/>
      <c r="L10" s="46"/>
    </row>
    <row r="11" spans="1:48" ht="17.100000000000001" customHeight="1" x14ac:dyDescent="0.25">
      <c r="A11" s="608" t="s">
        <v>4</v>
      </c>
      <c r="B11" s="596" t="s">
        <v>86</v>
      </c>
      <c r="C11" s="596" t="s">
        <v>153</v>
      </c>
      <c r="D11" s="596" t="s">
        <v>154</v>
      </c>
      <c r="E11" s="599" t="s">
        <v>155</v>
      </c>
      <c r="F11" s="601" t="s">
        <v>156</v>
      </c>
      <c r="G11" s="601"/>
      <c r="H11" s="602"/>
      <c r="I11" s="602"/>
      <c r="J11" s="602"/>
      <c r="K11" s="602"/>
      <c r="L11" s="602"/>
      <c r="M11" s="92" t="s">
        <v>1287</v>
      </c>
      <c r="N11" s="92" t="s">
        <v>1288</v>
      </c>
    </row>
    <row r="12" spans="1:48" ht="7.35" customHeight="1" x14ac:dyDescent="0.25">
      <c r="A12" s="608"/>
      <c r="B12" s="597"/>
      <c r="C12" s="596"/>
      <c r="D12" s="598"/>
      <c r="E12" s="600"/>
      <c r="F12" s="602"/>
      <c r="G12" s="602"/>
      <c r="H12" s="602"/>
      <c r="I12" s="602"/>
      <c r="J12" s="602"/>
      <c r="K12" s="602"/>
      <c r="L12" s="602"/>
    </row>
    <row r="13" spans="1:48" ht="15.6" customHeight="1" x14ac:dyDescent="0.25">
      <c r="A13" s="608"/>
      <c r="B13" s="597"/>
      <c r="C13" s="596"/>
      <c r="D13" s="598"/>
      <c r="E13" s="600"/>
      <c r="F13" s="603">
        <v>2014</v>
      </c>
      <c r="G13" s="603">
        <v>2015</v>
      </c>
      <c r="H13" s="603">
        <v>2016</v>
      </c>
      <c r="I13" s="603">
        <v>2017</v>
      </c>
      <c r="J13" s="603">
        <v>2018</v>
      </c>
      <c r="K13" s="603">
        <v>2019</v>
      </c>
      <c r="L13" s="603">
        <v>2020</v>
      </c>
    </row>
    <row r="14" spans="1:48" ht="9" customHeight="1" x14ac:dyDescent="0.25">
      <c r="A14" s="608"/>
      <c r="B14" s="597"/>
      <c r="C14" s="596"/>
      <c r="D14" s="598"/>
      <c r="E14" s="600"/>
      <c r="F14" s="603"/>
      <c r="G14" s="603"/>
      <c r="H14" s="603"/>
      <c r="I14" s="603"/>
      <c r="J14" s="603"/>
      <c r="K14" s="603"/>
      <c r="L14" s="603"/>
    </row>
    <row r="15" spans="1:48" ht="18.600000000000001" customHeight="1" x14ac:dyDescent="0.25">
      <c r="A15" s="50">
        <v>1</v>
      </c>
      <c r="B15" s="51">
        <v>2</v>
      </c>
      <c r="C15" s="51">
        <v>3</v>
      </c>
      <c r="D15" s="51">
        <v>4</v>
      </c>
      <c r="E15" s="50">
        <v>5</v>
      </c>
      <c r="F15" s="50">
        <v>6</v>
      </c>
      <c r="G15" s="50">
        <v>7</v>
      </c>
      <c r="H15" s="50">
        <v>8</v>
      </c>
      <c r="I15" s="50">
        <v>9</v>
      </c>
      <c r="J15" s="50">
        <v>10</v>
      </c>
      <c r="K15" s="50">
        <v>11</v>
      </c>
      <c r="L15" s="50">
        <v>12</v>
      </c>
    </row>
    <row r="16" spans="1:48" ht="21.6" customHeight="1" x14ac:dyDescent="0.25">
      <c r="A16" s="609" t="s">
        <v>157</v>
      </c>
      <c r="B16" s="610"/>
      <c r="C16" s="610"/>
      <c r="D16" s="610"/>
      <c r="E16" s="610"/>
      <c r="F16" s="610"/>
      <c r="G16" s="610"/>
      <c r="H16" s="610"/>
      <c r="I16" s="610"/>
      <c r="J16" s="610"/>
      <c r="K16" s="610"/>
      <c r="L16" s="611"/>
    </row>
    <row r="17" spans="1:14" ht="30" customHeight="1" x14ac:dyDescent="0.25">
      <c r="A17" s="612" t="s">
        <v>65</v>
      </c>
      <c r="B17" s="613"/>
      <c r="C17" s="613"/>
      <c r="D17" s="613"/>
      <c r="E17" s="613"/>
      <c r="F17" s="613"/>
      <c r="G17" s="613"/>
      <c r="H17" s="613"/>
      <c r="I17" s="613"/>
      <c r="J17" s="613"/>
      <c r="K17" s="613"/>
      <c r="L17" s="614"/>
    </row>
    <row r="18" spans="1:14" ht="19.5" customHeight="1" x14ac:dyDescent="0.25">
      <c r="A18" s="615" t="s">
        <v>93</v>
      </c>
      <c r="B18" s="616"/>
      <c r="C18" s="616"/>
      <c r="D18" s="616"/>
      <c r="E18" s="616"/>
      <c r="F18" s="616"/>
      <c r="G18" s="616"/>
      <c r="H18" s="616"/>
      <c r="I18" s="616"/>
      <c r="J18" s="616"/>
      <c r="K18" s="616"/>
      <c r="L18" s="617"/>
      <c r="M18" s="52"/>
      <c r="N18" s="52"/>
    </row>
    <row r="19" spans="1:14" ht="23.4" customHeight="1" x14ac:dyDescent="0.25">
      <c r="A19" s="612" t="s">
        <v>158</v>
      </c>
      <c r="B19" s="613"/>
      <c r="C19" s="613"/>
      <c r="D19" s="613"/>
      <c r="E19" s="613"/>
      <c r="F19" s="613"/>
      <c r="G19" s="613"/>
      <c r="H19" s="613"/>
      <c r="I19" s="613"/>
      <c r="J19" s="613"/>
      <c r="K19" s="613"/>
      <c r="L19" s="614"/>
      <c r="M19" s="53"/>
      <c r="N19" s="53"/>
    </row>
    <row r="20" spans="1:14" ht="19.350000000000001" customHeight="1" x14ac:dyDescent="0.25">
      <c r="A20" s="618" t="s">
        <v>66</v>
      </c>
      <c r="B20" s="618"/>
      <c r="C20" s="618"/>
      <c r="D20" s="618"/>
      <c r="E20" s="618"/>
      <c r="F20" s="618"/>
      <c r="G20" s="618"/>
      <c r="H20" s="618"/>
      <c r="I20" s="618"/>
      <c r="J20" s="618"/>
      <c r="K20" s="618"/>
      <c r="L20" s="618"/>
      <c r="M20" s="54"/>
      <c r="N20" s="54"/>
    </row>
    <row r="21" spans="1:14" ht="37.35" customHeight="1" x14ac:dyDescent="0.25">
      <c r="A21" s="50">
        <v>1</v>
      </c>
      <c r="B21" s="55" t="s">
        <v>159</v>
      </c>
      <c r="C21" s="55" t="s">
        <v>160</v>
      </c>
      <c r="D21" s="56" t="s">
        <v>161</v>
      </c>
      <c r="E21" s="57" t="s">
        <v>162</v>
      </c>
      <c r="F21" s="57" t="s">
        <v>162</v>
      </c>
      <c r="G21" s="57" t="s">
        <v>162</v>
      </c>
      <c r="H21" s="57" t="s">
        <v>162</v>
      </c>
      <c r="I21" s="57" t="s">
        <v>162</v>
      </c>
      <c r="J21" s="57" t="s">
        <v>162</v>
      </c>
      <c r="K21" s="57" t="s">
        <v>162</v>
      </c>
      <c r="L21" s="57" t="s">
        <v>162</v>
      </c>
      <c r="M21" s="57" t="s">
        <v>162</v>
      </c>
      <c r="N21" s="57" t="e">
        <f>L21-M21</f>
        <v>#VALUE!</v>
      </c>
    </row>
    <row r="22" spans="1:14" ht="34.65" customHeight="1" x14ac:dyDescent="0.25">
      <c r="A22" s="50">
        <v>2</v>
      </c>
      <c r="B22" s="55" t="s">
        <v>163</v>
      </c>
      <c r="C22" s="55" t="s">
        <v>164</v>
      </c>
      <c r="D22" s="56" t="s">
        <v>161</v>
      </c>
      <c r="E22" s="57" t="s">
        <v>162</v>
      </c>
      <c r="F22" s="57" t="s">
        <v>162</v>
      </c>
      <c r="G22" s="57" t="s">
        <v>162</v>
      </c>
      <c r="H22" s="57" t="s">
        <v>162</v>
      </c>
      <c r="I22" s="57" t="s">
        <v>162</v>
      </c>
      <c r="J22" s="57" t="s">
        <v>162</v>
      </c>
      <c r="K22" s="57" t="s">
        <v>162</v>
      </c>
      <c r="L22" s="57" t="s">
        <v>162</v>
      </c>
      <c r="M22" s="57" t="s">
        <v>162</v>
      </c>
      <c r="N22" s="57" t="e">
        <f t="shared" ref="N22:N85" si="0">L22-M22</f>
        <v>#VALUE!</v>
      </c>
    </row>
    <row r="23" spans="1:14" ht="36.6" customHeight="1" x14ac:dyDescent="0.25">
      <c r="A23" s="50">
        <v>3</v>
      </c>
      <c r="B23" s="55" t="s">
        <v>165</v>
      </c>
      <c r="C23" s="55" t="s">
        <v>166</v>
      </c>
      <c r="D23" s="56" t="s">
        <v>161</v>
      </c>
      <c r="E23" s="57" t="s">
        <v>162</v>
      </c>
      <c r="F23" s="57" t="s">
        <v>162</v>
      </c>
      <c r="G23" s="57" t="s">
        <v>162</v>
      </c>
      <c r="H23" s="57" t="s">
        <v>162</v>
      </c>
      <c r="I23" s="57" t="s">
        <v>162</v>
      </c>
      <c r="J23" s="57" t="s">
        <v>162</v>
      </c>
      <c r="K23" s="57" t="s">
        <v>162</v>
      </c>
      <c r="L23" s="57" t="s">
        <v>162</v>
      </c>
      <c r="M23" s="57" t="s">
        <v>162</v>
      </c>
      <c r="N23" s="57" t="e">
        <f t="shared" si="0"/>
        <v>#VALUE!</v>
      </c>
    </row>
    <row r="24" spans="1:14" ht="36" customHeight="1" x14ac:dyDescent="0.25">
      <c r="A24" s="50">
        <v>4</v>
      </c>
      <c r="B24" s="55" t="s">
        <v>167</v>
      </c>
      <c r="C24" s="55" t="s">
        <v>168</v>
      </c>
      <c r="D24" s="56" t="s">
        <v>161</v>
      </c>
      <c r="E24" s="57" t="s">
        <v>162</v>
      </c>
      <c r="F24" s="57" t="s">
        <v>162</v>
      </c>
      <c r="G24" s="57" t="s">
        <v>162</v>
      </c>
      <c r="H24" s="57" t="s">
        <v>162</v>
      </c>
      <c r="I24" s="57" t="s">
        <v>162</v>
      </c>
      <c r="J24" s="57" t="s">
        <v>162</v>
      </c>
      <c r="K24" s="57" t="s">
        <v>162</v>
      </c>
      <c r="L24" s="57" t="s">
        <v>162</v>
      </c>
      <c r="M24" s="57" t="s">
        <v>162</v>
      </c>
      <c r="N24" s="57" t="e">
        <f t="shared" si="0"/>
        <v>#VALUE!</v>
      </c>
    </row>
    <row r="25" spans="1:14" ht="31.65" customHeight="1" x14ac:dyDescent="0.25">
      <c r="A25" s="50">
        <v>5</v>
      </c>
      <c r="B25" s="58" t="s">
        <v>60</v>
      </c>
      <c r="C25" s="58" t="s">
        <v>169</v>
      </c>
      <c r="D25" s="56" t="s">
        <v>161</v>
      </c>
      <c r="E25" s="57" t="s">
        <v>162</v>
      </c>
      <c r="F25" s="57" t="s">
        <v>162</v>
      </c>
      <c r="G25" s="59">
        <v>1</v>
      </c>
      <c r="H25" s="59">
        <v>3</v>
      </c>
      <c r="I25" s="59">
        <v>1</v>
      </c>
      <c r="J25" s="59">
        <v>1</v>
      </c>
      <c r="K25" s="57" t="s">
        <v>162</v>
      </c>
      <c r="L25" s="57" t="s">
        <v>162</v>
      </c>
      <c r="M25" s="57" t="s">
        <v>162</v>
      </c>
      <c r="N25" s="57" t="e">
        <f t="shared" si="0"/>
        <v>#VALUE!</v>
      </c>
    </row>
    <row r="26" spans="1:14" ht="29.4" customHeight="1" x14ac:dyDescent="0.25">
      <c r="A26" s="604">
        <v>6</v>
      </c>
      <c r="B26" s="606" t="s">
        <v>170</v>
      </c>
      <c r="C26" s="58" t="s">
        <v>171</v>
      </c>
      <c r="D26" s="56" t="s">
        <v>161</v>
      </c>
      <c r="E26" s="57" t="s">
        <v>162</v>
      </c>
      <c r="F26" s="57" t="s">
        <v>162</v>
      </c>
      <c r="G26" s="57" t="s">
        <v>162</v>
      </c>
      <c r="H26" s="57" t="s">
        <v>162</v>
      </c>
      <c r="I26" s="57" t="s">
        <v>162</v>
      </c>
      <c r="J26" s="59">
        <v>7</v>
      </c>
      <c r="K26" s="59">
        <v>9</v>
      </c>
      <c r="L26" s="57" t="s">
        <v>162</v>
      </c>
      <c r="M26" s="59">
        <v>1</v>
      </c>
      <c r="N26" s="57" t="e">
        <f t="shared" si="0"/>
        <v>#VALUE!</v>
      </c>
    </row>
    <row r="27" spans="1:14" ht="31.35" customHeight="1" x14ac:dyDescent="0.25">
      <c r="A27" s="605"/>
      <c r="B27" s="607"/>
      <c r="C27" s="58" t="s">
        <v>172</v>
      </c>
      <c r="D27" s="56" t="s">
        <v>161</v>
      </c>
      <c r="E27" s="57" t="s">
        <v>162</v>
      </c>
      <c r="F27" s="57" t="s">
        <v>162</v>
      </c>
      <c r="G27" s="57" t="s">
        <v>162</v>
      </c>
      <c r="H27" s="57" t="s">
        <v>162</v>
      </c>
      <c r="I27" s="57" t="s">
        <v>162</v>
      </c>
      <c r="J27" s="59">
        <v>1</v>
      </c>
      <c r="K27" s="57" t="s">
        <v>162</v>
      </c>
      <c r="L27" s="57" t="s">
        <v>162</v>
      </c>
      <c r="M27" s="57" t="s">
        <v>162</v>
      </c>
      <c r="N27" s="57" t="e">
        <f t="shared" si="0"/>
        <v>#VALUE!</v>
      </c>
    </row>
    <row r="28" spans="1:14" ht="29.4" customHeight="1" x14ac:dyDescent="0.25">
      <c r="A28" s="50">
        <v>7</v>
      </c>
      <c r="B28" s="55" t="s">
        <v>173</v>
      </c>
      <c r="C28" s="58" t="s">
        <v>174</v>
      </c>
      <c r="D28" s="60" t="s">
        <v>161</v>
      </c>
      <c r="E28" s="57" t="s">
        <v>162</v>
      </c>
      <c r="F28" s="57" t="s">
        <v>162</v>
      </c>
      <c r="G28" s="57" t="s">
        <v>162</v>
      </c>
      <c r="H28" s="59">
        <v>1</v>
      </c>
      <c r="I28" s="59">
        <v>2</v>
      </c>
      <c r="J28" s="59">
        <v>3</v>
      </c>
      <c r="K28" s="57" t="s">
        <v>162</v>
      </c>
      <c r="L28" s="59">
        <v>1</v>
      </c>
      <c r="M28" s="59">
        <v>3</v>
      </c>
      <c r="N28" s="57">
        <f t="shared" si="0"/>
        <v>-2</v>
      </c>
    </row>
    <row r="29" spans="1:14" ht="34.35" customHeight="1" x14ac:dyDescent="0.25">
      <c r="A29" s="50">
        <v>8</v>
      </c>
      <c r="B29" s="55" t="s">
        <v>175</v>
      </c>
      <c r="C29" s="55" t="s">
        <v>176</v>
      </c>
      <c r="D29" s="56" t="s">
        <v>161</v>
      </c>
      <c r="E29" s="57" t="s">
        <v>162</v>
      </c>
      <c r="F29" s="57" t="s">
        <v>162</v>
      </c>
      <c r="G29" s="57" t="s">
        <v>162</v>
      </c>
      <c r="H29" s="57" t="s">
        <v>162</v>
      </c>
      <c r="I29" s="59">
        <v>182</v>
      </c>
      <c r="J29" s="59">
        <v>182</v>
      </c>
      <c r="K29" s="57" t="s">
        <v>162</v>
      </c>
      <c r="L29" s="57" t="s">
        <v>162</v>
      </c>
      <c r="M29" s="57" t="s">
        <v>162</v>
      </c>
      <c r="N29" s="57" t="e">
        <f t="shared" si="0"/>
        <v>#VALUE!</v>
      </c>
    </row>
    <row r="30" spans="1:14" ht="49.35" customHeight="1" x14ac:dyDescent="0.25">
      <c r="A30" s="50">
        <v>9</v>
      </c>
      <c r="B30" s="55" t="s">
        <v>177</v>
      </c>
      <c r="C30" s="144" t="s">
        <v>178</v>
      </c>
      <c r="D30" s="56" t="s">
        <v>179</v>
      </c>
      <c r="E30" s="57" t="s">
        <v>162</v>
      </c>
      <c r="F30" s="61">
        <v>5.9279999999999999</v>
      </c>
      <c r="G30" s="61">
        <v>6.26</v>
      </c>
      <c r="H30" s="61">
        <v>1.57</v>
      </c>
      <c r="I30" s="61">
        <v>4.9749999999999996</v>
      </c>
      <c r="J30" s="61">
        <v>0.32</v>
      </c>
      <c r="K30" s="61">
        <f>6.593+0.2</f>
        <v>6.7930000000000001</v>
      </c>
      <c r="L30" s="62">
        <f>0.744+0.216</f>
        <v>0.96</v>
      </c>
      <c r="M30" s="162">
        <v>0.74399999999999999</v>
      </c>
      <c r="N30" s="57">
        <f t="shared" si="0"/>
        <v>0.21599999999999997</v>
      </c>
    </row>
    <row r="31" spans="1:14" ht="22.35" customHeight="1" x14ac:dyDescent="0.25">
      <c r="A31" s="604">
        <v>10</v>
      </c>
      <c r="B31" s="622" t="s">
        <v>180</v>
      </c>
      <c r="C31" s="55" t="s">
        <v>181</v>
      </c>
      <c r="D31" s="56" t="s">
        <v>161</v>
      </c>
      <c r="E31" s="57" t="s">
        <v>162</v>
      </c>
      <c r="F31" s="59">
        <v>8</v>
      </c>
      <c r="G31" s="59">
        <v>5</v>
      </c>
      <c r="H31" s="59">
        <v>2</v>
      </c>
      <c r="I31" s="59">
        <v>10</v>
      </c>
      <c r="J31" s="59">
        <v>28</v>
      </c>
      <c r="K31" s="63">
        <v>9</v>
      </c>
      <c r="L31" s="59">
        <v>13</v>
      </c>
      <c r="M31" s="59">
        <v>13</v>
      </c>
      <c r="N31" s="57">
        <f t="shared" si="0"/>
        <v>0</v>
      </c>
    </row>
    <row r="32" spans="1:14" ht="28.35" customHeight="1" x14ac:dyDescent="0.25">
      <c r="A32" s="605"/>
      <c r="B32" s="623"/>
      <c r="C32" s="58" t="s">
        <v>172</v>
      </c>
      <c r="D32" s="56" t="s">
        <v>161</v>
      </c>
      <c r="E32" s="57" t="s">
        <v>162</v>
      </c>
      <c r="F32" s="57" t="s">
        <v>162</v>
      </c>
      <c r="G32" s="57" t="s">
        <v>162</v>
      </c>
      <c r="H32" s="57" t="s">
        <v>162</v>
      </c>
      <c r="I32" s="57" t="s">
        <v>162</v>
      </c>
      <c r="J32" s="59">
        <v>1</v>
      </c>
      <c r="K32" s="57" t="s">
        <v>162</v>
      </c>
      <c r="L32" s="57" t="s">
        <v>162</v>
      </c>
      <c r="M32" s="57" t="s">
        <v>162</v>
      </c>
      <c r="N32" s="57" t="e">
        <f t="shared" si="0"/>
        <v>#VALUE!</v>
      </c>
    </row>
    <row r="33" spans="1:14" ht="25.35" customHeight="1" x14ac:dyDescent="0.25">
      <c r="A33" s="50">
        <v>11</v>
      </c>
      <c r="B33" s="55" t="s">
        <v>182</v>
      </c>
      <c r="C33" s="55" t="s">
        <v>183</v>
      </c>
      <c r="D33" s="56" t="s">
        <v>161</v>
      </c>
      <c r="E33" s="57" t="s">
        <v>162</v>
      </c>
      <c r="F33" s="57" t="s">
        <v>162</v>
      </c>
      <c r="G33" s="57" t="s">
        <v>162</v>
      </c>
      <c r="H33" s="57" t="s">
        <v>162</v>
      </c>
      <c r="I33" s="57" t="s">
        <v>162</v>
      </c>
      <c r="J33" s="57" t="s">
        <v>162</v>
      </c>
      <c r="K33" s="57" t="s">
        <v>162</v>
      </c>
      <c r="L33" s="57" t="s">
        <v>162</v>
      </c>
      <c r="M33" s="57" t="s">
        <v>162</v>
      </c>
      <c r="N33" s="57" t="e">
        <f t="shared" si="0"/>
        <v>#VALUE!</v>
      </c>
    </row>
    <row r="34" spans="1:14" ht="24.6" customHeight="1" x14ac:dyDescent="0.25">
      <c r="A34" s="604">
        <v>12</v>
      </c>
      <c r="B34" s="622" t="s">
        <v>184</v>
      </c>
      <c r="C34" s="55" t="s">
        <v>185</v>
      </c>
      <c r="D34" s="56" t="s">
        <v>161</v>
      </c>
      <c r="E34" s="57" t="s">
        <v>162</v>
      </c>
      <c r="F34" s="59">
        <v>4</v>
      </c>
      <c r="G34" s="59">
        <v>1</v>
      </c>
      <c r="H34" s="57" t="s">
        <v>162</v>
      </c>
      <c r="I34" s="59">
        <v>1</v>
      </c>
      <c r="J34" s="59">
        <v>3</v>
      </c>
      <c r="K34" s="57" t="s">
        <v>162</v>
      </c>
      <c r="L34" s="57" t="s">
        <v>162</v>
      </c>
      <c r="M34" s="57" t="s">
        <v>162</v>
      </c>
      <c r="N34" s="57" t="e">
        <f t="shared" si="0"/>
        <v>#VALUE!</v>
      </c>
    </row>
    <row r="35" spans="1:14" ht="29.4" customHeight="1" x14ac:dyDescent="0.25">
      <c r="A35" s="605"/>
      <c r="B35" s="623"/>
      <c r="C35" s="58" t="s">
        <v>186</v>
      </c>
      <c r="D35" s="56" t="s">
        <v>161</v>
      </c>
      <c r="E35" s="57" t="s">
        <v>162</v>
      </c>
      <c r="F35" s="57" t="s">
        <v>162</v>
      </c>
      <c r="G35" s="57" t="s">
        <v>162</v>
      </c>
      <c r="H35" s="57" t="s">
        <v>162</v>
      </c>
      <c r="I35" s="57" t="s">
        <v>162</v>
      </c>
      <c r="J35" s="59">
        <v>1</v>
      </c>
      <c r="K35" s="57" t="s">
        <v>162</v>
      </c>
      <c r="L35" s="57" t="s">
        <v>162</v>
      </c>
      <c r="M35" s="57" t="s">
        <v>162</v>
      </c>
      <c r="N35" s="57" t="e">
        <f t="shared" si="0"/>
        <v>#VALUE!</v>
      </c>
    </row>
    <row r="36" spans="1:14" ht="25.65" customHeight="1" x14ac:dyDescent="0.25">
      <c r="A36" s="50">
        <v>13</v>
      </c>
      <c r="B36" s="55" t="s">
        <v>17</v>
      </c>
      <c r="C36" s="55" t="s">
        <v>187</v>
      </c>
      <c r="D36" s="56" t="s">
        <v>161</v>
      </c>
      <c r="E36" s="57" t="s">
        <v>162</v>
      </c>
      <c r="F36" s="63">
        <v>15</v>
      </c>
      <c r="G36" s="63">
        <v>26</v>
      </c>
      <c r="H36" s="63">
        <v>25</v>
      </c>
      <c r="I36" s="63">
        <v>90</v>
      </c>
      <c r="J36" s="59">
        <v>2</v>
      </c>
      <c r="K36" s="63">
        <v>5</v>
      </c>
      <c r="L36" s="59">
        <v>18</v>
      </c>
      <c r="M36" s="59">
        <v>18</v>
      </c>
      <c r="N36" s="57">
        <f t="shared" si="0"/>
        <v>0</v>
      </c>
    </row>
    <row r="37" spans="1:14" ht="37.65" customHeight="1" x14ac:dyDescent="0.25">
      <c r="A37" s="50">
        <v>14</v>
      </c>
      <c r="B37" s="55" t="s">
        <v>98</v>
      </c>
      <c r="C37" s="55" t="s">
        <v>188</v>
      </c>
      <c r="D37" s="56" t="s">
        <v>161</v>
      </c>
      <c r="E37" s="57" t="s">
        <v>162</v>
      </c>
      <c r="F37" s="57" t="s">
        <v>162</v>
      </c>
      <c r="G37" s="57" t="s">
        <v>162</v>
      </c>
      <c r="H37" s="57" t="s">
        <v>162</v>
      </c>
      <c r="I37" s="57" t="s">
        <v>162</v>
      </c>
      <c r="J37" s="59">
        <v>1</v>
      </c>
      <c r="K37" s="59">
        <v>1</v>
      </c>
      <c r="L37" s="57" t="s">
        <v>162</v>
      </c>
      <c r="M37" s="57" t="s">
        <v>162</v>
      </c>
      <c r="N37" s="57" t="e">
        <f t="shared" si="0"/>
        <v>#VALUE!</v>
      </c>
    </row>
    <row r="38" spans="1:14" ht="28.35" customHeight="1" x14ac:dyDescent="0.25">
      <c r="A38" s="624" t="s">
        <v>67</v>
      </c>
      <c r="B38" s="625"/>
      <c r="C38" s="625"/>
      <c r="D38" s="625"/>
      <c r="E38" s="625"/>
      <c r="F38" s="625"/>
      <c r="G38" s="625"/>
      <c r="H38" s="625"/>
      <c r="I38" s="625"/>
      <c r="J38" s="625"/>
      <c r="K38" s="625"/>
      <c r="L38" s="625"/>
      <c r="N38" s="57">
        <f t="shared" si="0"/>
        <v>0</v>
      </c>
    </row>
    <row r="39" spans="1:14" ht="39.6" customHeight="1" x14ac:dyDescent="0.25">
      <c r="A39" s="50">
        <v>15</v>
      </c>
      <c r="B39" s="55" t="s">
        <v>12</v>
      </c>
      <c r="C39" s="55" t="s">
        <v>189</v>
      </c>
      <c r="D39" s="56" t="s">
        <v>161</v>
      </c>
      <c r="E39" s="57" t="s">
        <v>162</v>
      </c>
      <c r="F39" s="64" t="s">
        <v>162</v>
      </c>
      <c r="G39" s="64" t="s">
        <v>162</v>
      </c>
      <c r="H39" s="57" t="s">
        <v>162</v>
      </c>
      <c r="I39" s="57" t="s">
        <v>162</v>
      </c>
      <c r="J39" s="57" t="s">
        <v>162</v>
      </c>
      <c r="K39" s="57" t="s">
        <v>162</v>
      </c>
      <c r="L39" s="57" t="s">
        <v>162</v>
      </c>
      <c r="M39" s="57" t="s">
        <v>162</v>
      </c>
      <c r="N39" s="57" t="e">
        <f t="shared" si="0"/>
        <v>#VALUE!</v>
      </c>
    </row>
    <row r="40" spans="1:14" ht="71.099999999999994" customHeight="1" x14ac:dyDescent="0.25">
      <c r="A40" s="50">
        <v>16</v>
      </c>
      <c r="B40" s="55" t="s">
        <v>11</v>
      </c>
      <c r="C40" s="55" t="s">
        <v>190</v>
      </c>
      <c r="D40" s="56" t="s">
        <v>161</v>
      </c>
      <c r="E40" s="57" t="s">
        <v>162</v>
      </c>
      <c r="F40" s="64" t="s">
        <v>191</v>
      </c>
      <c r="G40" s="64" t="s">
        <v>191</v>
      </c>
      <c r="H40" s="57" t="s">
        <v>162</v>
      </c>
      <c r="I40" s="57" t="s">
        <v>162</v>
      </c>
      <c r="J40" s="57" t="s">
        <v>162</v>
      </c>
      <c r="K40" s="57" t="s">
        <v>162</v>
      </c>
      <c r="L40" s="57" t="s">
        <v>162</v>
      </c>
      <c r="M40" s="57" t="s">
        <v>162</v>
      </c>
      <c r="N40" s="57" t="e">
        <f t="shared" si="0"/>
        <v>#VALUE!</v>
      </c>
    </row>
    <row r="41" spans="1:14" ht="49.35" customHeight="1" x14ac:dyDescent="0.25">
      <c r="A41" s="50">
        <v>17</v>
      </c>
      <c r="B41" s="55" t="s">
        <v>63</v>
      </c>
      <c r="C41" s="55" t="s">
        <v>192</v>
      </c>
      <c r="D41" s="56" t="s">
        <v>161</v>
      </c>
      <c r="E41" s="57" t="s">
        <v>162</v>
      </c>
      <c r="F41" s="64" t="s">
        <v>162</v>
      </c>
      <c r="G41" s="64" t="s">
        <v>162</v>
      </c>
      <c r="H41" s="57" t="s">
        <v>162</v>
      </c>
      <c r="I41" s="57" t="s">
        <v>162</v>
      </c>
      <c r="J41" s="57" t="s">
        <v>162</v>
      </c>
      <c r="K41" s="57" t="s">
        <v>162</v>
      </c>
      <c r="L41" s="57" t="s">
        <v>162</v>
      </c>
      <c r="M41" s="57" t="s">
        <v>162</v>
      </c>
      <c r="N41" s="57" t="e">
        <f t="shared" si="0"/>
        <v>#VALUE!</v>
      </c>
    </row>
    <row r="42" spans="1:14" ht="59.4" customHeight="1" x14ac:dyDescent="0.25">
      <c r="A42" s="50">
        <v>18</v>
      </c>
      <c r="B42" s="55" t="s">
        <v>193</v>
      </c>
      <c r="C42" s="55" t="s">
        <v>194</v>
      </c>
      <c r="D42" s="56" t="s">
        <v>161</v>
      </c>
      <c r="E42" s="57" t="s">
        <v>162</v>
      </c>
      <c r="F42" s="64" t="s">
        <v>162</v>
      </c>
      <c r="G42" s="64" t="s">
        <v>162</v>
      </c>
      <c r="H42" s="57" t="s">
        <v>162</v>
      </c>
      <c r="I42" s="57" t="s">
        <v>162</v>
      </c>
      <c r="J42" s="57" t="s">
        <v>162</v>
      </c>
      <c r="K42" s="57" t="s">
        <v>162</v>
      </c>
      <c r="L42" s="57" t="s">
        <v>162</v>
      </c>
      <c r="M42" s="57" t="s">
        <v>162</v>
      </c>
      <c r="N42" s="57" t="e">
        <f t="shared" si="0"/>
        <v>#VALUE!</v>
      </c>
    </row>
    <row r="43" spans="1:14" ht="38.4" customHeight="1" x14ac:dyDescent="0.25">
      <c r="A43" s="50">
        <v>19</v>
      </c>
      <c r="B43" s="55" t="s">
        <v>10</v>
      </c>
      <c r="C43" s="55" t="s">
        <v>195</v>
      </c>
      <c r="D43" s="56" t="s">
        <v>161</v>
      </c>
      <c r="E43" s="57" t="s">
        <v>162</v>
      </c>
      <c r="F43" s="64" t="s">
        <v>162</v>
      </c>
      <c r="G43" s="64" t="s">
        <v>162</v>
      </c>
      <c r="H43" s="57" t="s">
        <v>162</v>
      </c>
      <c r="I43" s="57" t="s">
        <v>162</v>
      </c>
      <c r="J43" s="57" t="s">
        <v>162</v>
      </c>
      <c r="K43" s="57" t="s">
        <v>162</v>
      </c>
      <c r="L43" s="57" t="s">
        <v>162</v>
      </c>
      <c r="M43" s="57" t="s">
        <v>162</v>
      </c>
      <c r="N43" s="57" t="e">
        <f t="shared" si="0"/>
        <v>#VALUE!</v>
      </c>
    </row>
    <row r="44" spans="1:14" ht="59.4" customHeight="1" x14ac:dyDescent="0.25">
      <c r="A44" s="50">
        <v>20</v>
      </c>
      <c r="B44" s="55" t="s">
        <v>9</v>
      </c>
      <c r="C44" s="55" t="s">
        <v>196</v>
      </c>
      <c r="D44" s="56" t="s">
        <v>161</v>
      </c>
      <c r="E44" s="57" t="s">
        <v>162</v>
      </c>
      <c r="F44" s="64" t="s">
        <v>162</v>
      </c>
      <c r="G44" s="64" t="s">
        <v>162</v>
      </c>
      <c r="H44" s="57" t="s">
        <v>162</v>
      </c>
      <c r="I44" s="57" t="s">
        <v>162</v>
      </c>
      <c r="J44" s="57" t="s">
        <v>162</v>
      </c>
      <c r="K44" s="57" t="s">
        <v>162</v>
      </c>
      <c r="L44" s="57" t="s">
        <v>162</v>
      </c>
      <c r="M44" s="57" t="s">
        <v>162</v>
      </c>
      <c r="N44" s="57" t="e">
        <f t="shared" si="0"/>
        <v>#VALUE!</v>
      </c>
    </row>
    <row r="45" spans="1:14" ht="59.4" customHeight="1" x14ac:dyDescent="0.25">
      <c r="A45" s="50">
        <v>21</v>
      </c>
      <c r="B45" s="99" t="s">
        <v>15</v>
      </c>
      <c r="C45" s="99" t="s">
        <v>1277</v>
      </c>
      <c r="D45" s="56" t="s">
        <v>161</v>
      </c>
      <c r="E45" s="57" t="s">
        <v>162</v>
      </c>
      <c r="F45" s="64" t="s">
        <v>162</v>
      </c>
      <c r="G45" s="64" t="s">
        <v>162</v>
      </c>
      <c r="H45" s="57" t="s">
        <v>162</v>
      </c>
      <c r="I45" s="57" t="s">
        <v>162</v>
      </c>
      <c r="J45" s="57" t="s">
        <v>162</v>
      </c>
      <c r="K45" s="57" t="s">
        <v>162</v>
      </c>
      <c r="L45" s="57" t="s">
        <v>162</v>
      </c>
      <c r="M45" s="57" t="s">
        <v>162</v>
      </c>
      <c r="N45" s="57" t="e">
        <f t="shared" si="0"/>
        <v>#VALUE!</v>
      </c>
    </row>
    <row r="46" spans="1:14" ht="72" customHeight="1" x14ac:dyDescent="0.25">
      <c r="A46" s="50">
        <v>22</v>
      </c>
      <c r="B46" s="99" t="s">
        <v>1278</v>
      </c>
      <c r="C46" s="99" t="s">
        <v>1279</v>
      </c>
      <c r="D46" s="56" t="s">
        <v>161</v>
      </c>
      <c r="E46" s="57" t="s">
        <v>162</v>
      </c>
      <c r="F46" s="64" t="s">
        <v>191</v>
      </c>
      <c r="G46" s="64" t="s">
        <v>191</v>
      </c>
      <c r="H46" s="57" t="s">
        <v>162</v>
      </c>
      <c r="I46" s="57" t="s">
        <v>162</v>
      </c>
      <c r="J46" s="57" t="s">
        <v>162</v>
      </c>
      <c r="K46" s="57" t="s">
        <v>162</v>
      </c>
      <c r="L46" s="57" t="s">
        <v>162</v>
      </c>
      <c r="M46" s="57" t="s">
        <v>162</v>
      </c>
      <c r="N46" s="57" t="e">
        <f t="shared" si="0"/>
        <v>#VALUE!</v>
      </c>
    </row>
    <row r="47" spans="1:14" ht="42.6" customHeight="1" x14ac:dyDescent="0.25">
      <c r="A47" s="50">
        <v>23</v>
      </c>
      <c r="B47" s="55" t="s">
        <v>13</v>
      </c>
      <c r="C47" s="55" t="s">
        <v>197</v>
      </c>
      <c r="D47" s="56" t="s">
        <v>161</v>
      </c>
      <c r="E47" s="57" t="s">
        <v>162</v>
      </c>
      <c r="F47" s="64" t="s">
        <v>191</v>
      </c>
      <c r="G47" s="64" t="s">
        <v>191</v>
      </c>
      <c r="H47" s="57" t="s">
        <v>162</v>
      </c>
      <c r="I47" s="57" t="s">
        <v>162</v>
      </c>
      <c r="J47" s="57" t="s">
        <v>162</v>
      </c>
      <c r="K47" s="57" t="s">
        <v>162</v>
      </c>
      <c r="L47" s="57" t="s">
        <v>162</v>
      </c>
      <c r="M47" s="57" t="s">
        <v>162</v>
      </c>
      <c r="N47" s="57" t="e">
        <f t="shared" si="0"/>
        <v>#VALUE!</v>
      </c>
    </row>
    <row r="48" spans="1:14" ht="53.1" customHeight="1" x14ac:dyDescent="0.25">
      <c r="A48" s="50">
        <v>24</v>
      </c>
      <c r="B48" s="99" t="s">
        <v>1280</v>
      </c>
      <c r="C48" s="55" t="s">
        <v>198</v>
      </c>
      <c r="D48" s="56" t="s">
        <v>161</v>
      </c>
      <c r="E48" s="57" t="s">
        <v>162</v>
      </c>
      <c r="F48" s="64" t="s">
        <v>191</v>
      </c>
      <c r="G48" s="64" t="s">
        <v>191</v>
      </c>
      <c r="H48" s="57" t="s">
        <v>162</v>
      </c>
      <c r="I48" s="57" t="s">
        <v>162</v>
      </c>
      <c r="J48" s="57" t="s">
        <v>162</v>
      </c>
      <c r="K48" s="57" t="s">
        <v>162</v>
      </c>
      <c r="L48" s="57" t="s">
        <v>162</v>
      </c>
      <c r="M48" s="57" t="s">
        <v>162</v>
      </c>
      <c r="N48" s="57" t="e">
        <f t="shared" si="0"/>
        <v>#VALUE!</v>
      </c>
    </row>
    <row r="49" spans="1:14" ht="41.4" customHeight="1" x14ac:dyDescent="0.25">
      <c r="A49" s="50">
        <v>25</v>
      </c>
      <c r="B49" s="55" t="s">
        <v>199</v>
      </c>
      <c r="C49" s="55" t="s">
        <v>200</v>
      </c>
      <c r="D49" s="56" t="s">
        <v>161</v>
      </c>
      <c r="E49" s="57" t="s">
        <v>162</v>
      </c>
      <c r="F49" s="64" t="s">
        <v>191</v>
      </c>
      <c r="G49" s="64" t="s">
        <v>191</v>
      </c>
      <c r="H49" s="57" t="s">
        <v>162</v>
      </c>
      <c r="I49" s="57" t="s">
        <v>162</v>
      </c>
      <c r="J49" s="57" t="s">
        <v>162</v>
      </c>
      <c r="K49" s="57" t="s">
        <v>162</v>
      </c>
      <c r="L49" s="57" t="s">
        <v>162</v>
      </c>
      <c r="M49" s="57" t="s">
        <v>162</v>
      </c>
      <c r="N49" s="57" t="e">
        <f t="shared" si="0"/>
        <v>#VALUE!</v>
      </c>
    </row>
    <row r="50" spans="1:14" ht="34.65" customHeight="1" x14ac:dyDescent="0.25">
      <c r="A50" s="50">
        <v>26</v>
      </c>
      <c r="B50" s="55" t="s">
        <v>7</v>
      </c>
      <c r="C50" s="55" t="s">
        <v>201</v>
      </c>
      <c r="D50" s="56" t="s">
        <v>161</v>
      </c>
      <c r="E50" s="57" t="s">
        <v>162</v>
      </c>
      <c r="F50" s="64" t="s">
        <v>191</v>
      </c>
      <c r="G50" s="64" t="s">
        <v>191</v>
      </c>
      <c r="H50" s="57" t="s">
        <v>162</v>
      </c>
      <c r="I50" s="57" t="s">
        <v>162</v>
      </c>
      <c r="J50" s="57" t="s">
        <v>162</v>
      </c>
      <c r="K50" s="57" t="s">
        <v>162</v>
      </c>
      <c r="L50" s="57" t="s">
        <v>162</v>
      </c>
      <c r="M50" s="57" t="s">
        <v>162</v>
      </c>
      <c r="N50" s="57" t="e">
        <f t="shared" si="0"/>
        <v>#VALUE!</v>
      </c>
    </row>
    <row r="51" spans="1:14" ht="40.65" customHeight="1" x14ac:dyDescent="0.25">
      <c r="A51" s="624" t="s">
        <v>202</v>
      </c>
      <c r="B51" s="625"/>
      <c r="C51" s="625"/>
      <c r="D51" s="625"/>
      <c r="E51" s="625"/>
      <c r="F51" s="625"/>
      <c r="G51" s="625"/>
      <c r="H51" s="625"/>
      <c r="I51" s="625"/>
      <c r="J51" s="625"/>
      <c r="K51" s="625"/>
      <c r="L51" s="625"/>
      <c r="N51" s="57">
        <f t="shared" si="0"/>
        <v>0</v>
      </c>
    </row>
    <row r="52" spans="1:14" ht="38.4" customHeight="1" x14ac:dyDescent="0.25">
      <c r="A52" s="50">
        <v>27</v>
      </c>
      <c r="B52" s="55" t="s">
        <v>203</v>
      </c>
      <c r="C52" s="55" t="s">
        <v>204</v>
      </c>
      <c r="D52" s="56" t="s">
        <v>161</v>
      </c>
      <c r="E52" s="57" t="s">
        <v>162</v>
      </c>
      <c r="F52" s="57" t="s">
        <v>162</v>
      </c>
      <c r="G52" s="57" t="s">
        <v>162</v>
      </c>
      <c r="H52" s="57" t="s">
        <v>162</v>
      </c>
      <c r="I52" s="57" t="s">
        <v>162</v>
      </c>
      <c r="J52" s="57" t="s">
        <v>162</v>
      </c>
      <c r="K52" s="57" t="s">
        <v>162</v>
      </c>
      <c r="L52" s="57" t="s">
        <v>162</v>
      </c>
      <c r="M52" s="57" t="s">
        <v>162</v>
      </c>
      <c r="N52" s="57" t="e">
        <f t="shared" si="0"/>
        <v>#VALUE!</v>
      </c>
    </row>
    <row r="53" spans="1:14" ht="50.4" customHeight="1" x14ac:dyDescent="0.25">
      <c r="A53" s="50">
        <v>28</v>
      </c>
      <c r="B53" s="163" t="s">
        <v>1290</v>
      </c>
      <c r="C53" s="144" t="s">
        <v>205</v>
      </c>
      <c r="D53" s="56" t="s">
        <v>161</v>
      </c>
      <c r="E53" s="57" t="s">
        <v>162</v>
      </c>
      <c r="F53" s="59" t="s">
        <v>162</v>
      </c>
      <c r="G53" s="59">
        <v>19</v>
      </c>
      <c r="H53" s="59">
        <v>8</v>
      </c>
      <c r="I53" s="59">
        <v>12</v>
      </c>
      <c r="J53" s="59">
        <v>32</v>
      </c>
      <c r="K53" s="65">
        <v>41</v>
      </c>
      <c r="L53" s="66">
        <f>6+11</f>
        <v>17</v>
      </c>
      <c r="M53" s="66">
        <v>6</v>
      </c>
      <c r="N53" s="57">
        <f t="shared" si="0"/>
        <v>11</v>
      </c>
    </row>
    <row r="54" spans="1:14" ht="25.35" customHeight="1" x14ac:dyDescent="0.25">
      <c r="A54" s="50">
        <v>29</v>
      </c>
      <c r="B54" s="55" t="s">
        <v>206</v>
      </c>
      <c r="C54" s="55" t="s">
        <v>207</v>
      </c>
      <c r="D54" s="56" t="s">
        <v>161</v>
      </c>
      <c r="E54" s="57" t="s">
        <v>162</v>
      </c>
      <c r="F54" s="59">
        <v>3</v>
      </c>
      <c r="G54" s="57" t="s">
        <v>162</v>
      </c>
      <c r="H54" s="59">
        <v>1</v>
      </c>
      <c r="I54" s="57" t="s">
        <v>162</v>
      </c>
      <c r="J54" s="57" t="s">
        <v>162</v>
      </c>
      <c r="K54" s="57" t="s">
        <v>162</v>
      </c>
      <c r="L54" s="57" t="s">
        <v>162</v>
      </c>
      <c r="M54" s="57" t="s">
        <v>162</v>
      </c>
      <c r="N54" s="57" t="e">
        <f t="shared" si="0"/>
        <v>#VALUE!</v>
      </c>
    </row>
    <row r="55" spans="1:14" ht="36" customHeight="1" x14ac:dyDescent="0.25">
      <c r="A55" s="50">
        <v>30</v>
      </c>
      <c r="B55" s="55" t="s">
        <v>208</v>
      </c>
      <c r="C55" s="55" t="s">
        <v>209</v>
      </c>
      <c r="D55" s="56" t="s">
        <v>161</v>
      </c>
      <c r="E55" s="57" t="s">
        <v>162</v>
      </c>
      <c r="F55" s="57" t="s">
        <v>162</v>
      </c>
      <c r="G55" s="57" t="s">
        <v>162</v>
      </c>
      <c r="H55" s="57" t="s">
        <v>162</v>
      </c>
      <c r="I55" s="57" t="s">
        <v>162</v>
      </c>
      <c r="J55" s="57" t="s">
        <v>162</v>
      </c>
      <c r="K55" s="57" t="s">
        <v>162</v>
      </c>
      <c r="L55" s="57" t="s">
        <v>162</v>
      </c>
      <c r="M55" s="57" t="s">
        <v>162</v>
      </c>
      <c r="N55" s="57" t="e">
        <f t="shared" si="0"/>
        <v>#VALUE!</v>
      </c>
    </row>
    <row r="56" spans="1:14" ht="31.35" customHeight="1" x14ac:dyDescent="0.25">
      <c r="A56" s="604">
        <v>31</v>
      </c>
      <c r="B56" s="622" t="s">
        <v>210</v>
      </c>
      <c r="C56" s="55" t="s">
        <v>211</v>
      </c>
      <c r="D56" s="56" t="s">
        <v>161</v>
      </c>
      <c r="E56" s="57" t="s">
        <v>162</v>
      </c>
      <c r="F56" s="59">
        <v>3</v>
      </c>
      <c r="G56" s="59">
        <v>20</v>
      </c>
      <c r="H56" s="57" t="s">
        <v>162</v>
      </c>
      <c r="I56" s="59">
        <v>19</v>
      </c>
      <c r="J56" s="57" t="s">
        <v>162</v>
      </c>
      <c r="K56" s="57" t="s">
        <v>162</v>
      </c>
      <c r="L56" s="59">
        <v>4</v>
      </c>
      <c r="M56" s="59">
        <v>4</v>
      </c>
      <c r="N56" s="57">
        <f t="shared" si="0"/>
        <v>0</v>
      </c>
    </row>
    <row r="57" spans="1:14" ht="34.65" customHeight="1" x14ac:dyDescent="0.25">
      <c r="A57" s="605"/>
      <c r="B57" s="623"/>
      <c r="C57" s="55" t="s">
        <v>172</v>
      </c>
      <c r="D57" s="56" t="s">
        <v>161</v>
      </c>
      <c r="E57" s="57" t="s">
        <v>162</v>
      </c>
      <c r="F57" s="57" t="s">
        <v>162</v>
      </c>
      <c r="G57" s="57" t="s">
        <v>162</v>
      </c>
      <c r="H57" s="57" t="s">
        <v>162</v>
      </c>
      <c r="I57" s="57" t="s">
        <v>162</v>
      </c>
      <c r="J57" s="59">
        <v>1</v>
      </c>
      <c r="K57" s="57" t="s">
        <v>162</v>
      </c>
      <c r="L57" s="57" t="s">
        <v>162</v>
      </c>
      <c r="M57" s="57" t="s">
        <v>162</v>
      </c>
      <c r="N57" s="57" t="e">
        <f t="shared" si="0"/>
        <v>#VALUE!</v>
      </c>
    </row>
    <row r="58" spans="1:14" ht="34.35" customHeight="1" x14ac:dyDescent="0.25">
      <c r="A58" s="50">
        <v>32</v>
      </c>
      <c r="B58" s="55" t="s">
        <v>212</v>
      </c>
      <c r="C58" s="55" t="s">
        <v>213</v>
      </c>
      <c r="D58" s="56" t="s">
        <v>161</v>
      </c>
      <c r="E58" s="57" t="s">
        <v>162</v>
      </c>
      <c r="F58" s="59">
        <v>1</v>
      </c>
      <c r="G58" s="57" t="s">
        <v>162</v>
      </c>
      <c r="H58" s="57" t="s">
        <v>162</v>
      </c>
      <c r="I58" s="59">
        <v>13</v>
      </c>
      <c r="J58" s="59">
        <v>11</v>
      </c>
      <c r="K58" s="59">
        <v>5</v>
      </c>
      <c r="L58" s="59">
        <v>8</v>
      </c>
      <c r="M58" s="59">
        <v>8</v>
      </c>
      <c r="N58" s="57">
        <f t="shared" si="0"/>
        <v>0</v>
      </c>
    </row>
    <row r="59" spans="1:14" ht="32.4" customHeight="1" x14ac:dyDescent="0.25">
      <c r="A59" s="50">
        <v>33</v>
      </c>
      <c r="B59" s="55" t="s">
        <v>214</v>
      </c>
      <c r="C59" s="55" t="s">
        <v>215</v>
      </c>
      <c r="D59" s="56" t="s">
        <v>161</v>
      </c>
      <c r="E59" s="57" t="s">
        <v>162</v>
      </c>
      <c r="F59" s="59">
        <v>2</v>
      </c>
      <c r="G59" s="57" t="s">
        <v>162</v>
      </c>
      <c r="H59" s="57" t="s">
        <v>162</v>
      </c>
      <c r="I59" s="59">
        <v>1</v>
      </c>
      <c r="J59" s="57" t="s">
        <v>162</v>
      </c>
      <c r="K59" s="59">
        <v>1</v>
      </c>
      <c r="L59" s="57" t="s">
        <v>162</v>
      </c>
      <c r="M59" s="57" t="s">
        <v>162</v>
      </c>
      <c r="N59" s="57" t="e">
        <f t="shared" si="0"/>
        <v>#VALUE!</v>
      </c>
    </row>
    <row r="60" spans="1:14" ht="34.65" customHeight="1" x14ac:dyDescent="0.25">
      <c r="A60" s="50">
        <v>34</v>
      </c>
      <c r="B60" s="55" t="s">
        <v>216</v>
      </c>
      <c r="C60" s="55" t="s">
        <v>217</v>
      </c>
      <c r="D60" s="56" t="s">
        <v>161</v>
      </c>
      <c r="E60" s="57" t="s">
        <v>162</v>
      </c>
      <c r="F60" s="59" t="s">
        <v>162</v>
      </c>
      <c r="G60" s="59">
        <v>2</v>
      </c>
      <c r="H60" s="67" t="s">
        <v>191</v>
      </c>
      <c r="I60" s="57" t="s">
        <v>162</v>
      </c>
      <c r="J60" s="57" t="s">
        <v>162</v>
      </c>
      <c r="K60" s="57" t="s">
        <v>162</v>
      </c>
      <c r="L60" s="57" t="s">
        <v>162</v>
      </c>
      <c r="M60" s="57" t="s">
        <v>162</v>
      </c>
      <c r="N60" s="57" t="e">
        <f t="shared" si="0"/>
        <v>#VALUE!</v>
      </c>
    </row>
    <row r="61" spans="1:14" ht="31.65" customHeight="1" x14ac:dyDescent="0.25">
      <c r="A61" s="50">
        <v>35</v>
      </c>
      <c r="B61" s="55" t="s">
        <v>218</v>
      </c>
      <c r="C61" s="55" t="s">
        <v>219</v>
      </c>
      <c r="D61" s="56" t="s">
        <v>161</v>
      </c>
      <c r="E61" s="57" t="s">
        <v>162</v>
      </c>
      <c r="F61" s="57" t="s">
        <v>162</v>
      </c>
      <c r="G61" s="57" t="s">
        <v>162</v>
      </c>
      <c r="H61" s="57" t="s">
        <v>162</v>
      </c>
      <c r="I61" s="57" t="s">
        <v>162</v>
      </c>
      <c r="J61" s="57" t="s">
        <v>162</v>
      </c>
      <c r="K61" s="57" t="s">
        <v>162</v>
      </c>
      <c r="L61" s="57" t="s">
        <v>162</v>
      </c>
      <c r="M61" s="57" t="s">
        <v>162</v>
      </c>
      <c r="N61" s="57" t="e">
        <f t="shared" si="0"/>
        <v>#VALUE!</v>
      </c>
    </row>
    <row r="62" spans="1:14" ht="25.65" customHeight="1" x14ac:dyDescent="0.25">
      <c r="A62" s="50">
        <v>36</v>
      </c>
      <c r="B62" s="99" t="s">
        <v>1281</v>
      </c>
      <c r="C62" s="55" t="s">
        <v>220</v>
      </c>
      <c r="D62" s="56" t="s">
        <v>161</v>
      </c>
      <c r="E62" s="57" t="s">
        <v>162</v>
      </c>
      <c r="F62" s="57" t="s">
        <v>162</v>
      </c>
      <c r="G62" s="57" t="s">
        <v>162</v>
      </c>
      <c r="H62" s="57" t="s">
        <v>162</v>
      </c>
      <c r="I62" s="57" t="s">
        <v>162</v>
      </c>
      <c r="J62" s="57" t="s">
        <v>162</v>
      </c>
      <c r="K62" s="57" t="s">
        <v>162</v>
      </c>
      <c r="L62" s="57" t="s">
        <v>162</v>
      </c>
      <c r="M62" s="57" t="s">
        <v>162</v>
      </c>
      <c r="N62" s="57" t="e">
        <f t="shared" si="0"/>
        <v>#VALUE!</v>
      </c>
    </row>
    <row r="63" spans="1:14" ht="27" customHeight="1" x14ac:dyDescent="0.25">
      <c r="A63" s="50">
        <v>37</v>
      </c>
      <c r="B63" s="55" t="s">
        <v>221</v>
      </c>
      <c r="C63" s="144" t="s">
        <v>222</v>
      </c>
      <c r="D63" s="56" t="s">
        <v>161</v>
      </c>
      <c r="E63" s="57" t="s">
        <v>162</v>
      </c>
      <c r="F63" s="59">
        <v>1400</v>
      </c>
      <c r="G63" s="59">
        <v>3738</v>
      </c>
      <c r="H63" s="57" t="s">
        <v>162</v>
      </c>
      <c r="I63" s="59">
        <v>906</v>
      </c>
      <c r="J63" s="59">
        <v>1614</v>
      </c>
      <c r="K63" s="59">
        <v>929</v>
      </c>
      <c r="L63" s="492">
        <f>651+188+11</f>
        <v>850</v>
      </c>
      <c r="M63" s="57">
        <v>694</v>
      </c>
      <c r="N63" s="57">
        <f t="shared" si="0"/>
        <v>156</v>
      </c>
    </row>
    <row r="64" spans="1:14" ht="22.65" customHeight="1" x14ac:dyDescent="0.25">
      <c r="A64" s="50">
        <v>38</v>
      </c>
      <c r="B64" s="68" t="s">
        <v>223</v>
      </c>
      <c r="C64" s="55" t="s">
        <v>224</v>
      </c>
      <c r="D64" s="56" t="s">
        <v>225</v>
      </c>
      <c r="E64" s="57" t="s">
        <v>162</v>
      </c>
      <c r="F64" s="59" t="s">
        <v>191</v>
      </c>
      <c r="G64" s="59" t="s">
        <v>191</v>
      </c>
      <c r="H64" s="57" t="s">
        <v>162</v>
      </c>
      <c r="I64" s="57" t="s">
        <v>162</v>
      </c>
      <c r="J64" s="59">
        <v>2</v>
      </c>
      <c r="K64" s="59" t="s">
        <v>191</v>
      </c>
      <c r="L64" s="57" t="s">
        <v>162</v>
      </c>
      <c r="M64" s="57" t="s">
        <v>162</v>
      </c>
      <c r="N64" s="57" t="e">
        <f t="shared" si="0"/>
        <v>#VALUE!</v>
      </c>
    </row>
    <row r="65" spans="1:14" ht="33" customHeight="1" x14ac:dyDescent="0.25">
      <c r="A65" s="50">
        <v>39</v>
      </c>
      <c r="B65" s="55" t="s">
        <v>226</v>
      </c>
      <c r="C65" s="55" t="s">
        <v>227</v>
      </c>
      <c r="D65" s="56" t="s">
        <v>225</v>
      </c>
      <c r="E65" s="57" t="s">
        <v>162</v>
      </c>
      <c r="F65" s="59">
        <v>40</v>
      </c>
      <c r="G65" s="59" t="s">
        <v>191</v>
      </c>
      <c r="H65" s="59" t="s">
        <v>191</v>
      </c>
      <c r="I65" s="57" t="s">
        <v>162</v>
      </c>
      <c r="J65" s="57" t="s">
        <v>162</v>
      </c>
      <c r="K65" s="59" t="s">
        <v>191</v>
      </c>
      <c r="L65" s="57" t="s">
        <v>162</v>
      </c>
      <c r="M65" s="57" t="s">
        <v>162</v>
      </c>
      <c r="N65" s="57" t="e">
        <f t="shared" si="0"/>
        <v>#VALUE!</v>
      </c>
    </row>
    <row r="66" spans="1:14" ht="39" customHeight="1" x14ac:dyDescent="0.25">
      <c r="A66" s="50">
        <v>40</v>
      </c>
      <c r="B66" s="55" t="s">
        <v>228</v>
      </c>
      <c r="C66" s="55" t="s">
        <v>229</v>
      </c>
      <c r="D66" s="56" t="s">
        <v>161</v>
      </c>
      <c r="E66" s="57" t="s">
        <v>162</v>
      </c>
      <c r="F66" s="59">
        <v>27</v>
      </c>
      <c r="G66" s="59">
        <v>158</v>
      </c>
      <c r="H66" s="59">
        <v>21</v>
      </c>
      <c r="I66" s="59">
        <v>13</v>
      </c>
      <c r="J66" s="59">
        <v>55</v>
      </c>
      <c r="K66" s="59">
        <v>61</v>
      </c>
      <c r="L66" s="492">
        <v>24</v>
      </c>
      <c r="M66" s="57" t="s">
        <v>162</v>
      </c>
      <c r="N66" s="57" t="e">
        <f t="shared" si="0"/>
        <v>#VALUE!</v>
      </c>
    </row>
    <row r="67" spans="1:14" ht="30.6" customHeight="1" x14ac:dyDescent="0.25">
      <c r="A67" s="50">
        <v>41</v>
      </c>
      <c r="B67" s="55" t="s">
        <v>230</v>
      </c>
      <c r="C67" s="55" t="s">
        <v>231</v>
      </c>
      <c r="D67" s="56" t="s">
        <v>161</v>
      </c>
      <c r="E67" s="57" t="s">
        <v>162</v>
      </c>
      <c r="F67" s="57" t="s">
        <v>162</v>
      </c>
      <c r="G67" s="59">
        <v>38</v>
      </c>
      <c r="H67" s="59">
        <v>85</v>
      </c>
      <c r="I67" s="59">
        <v>76</v>
      </c>
      <c r="J67" s="59">
        <v>105</v>
      </c>
      <c r="K67" s="59">
        <v>460</v>
      </c>
      <c r="L67" s="59"/>
      <c r="M67" s="59" t="s">
        <v>191</v>
      </c>
      <c r="N67" s="57" t="e">
        <f t="shared" si="0"/>
        <v>#VALUE!</v>
      </c>
    </row>
    <row r="68" spans="1:14" ht="63.6" customHeight="1" x14ac:dyDescent="0.25">
      <c r="A68" s="50">
        <v>42</v>
      </c>
      <c r="B68" s="69" t="s">
        <v>8</v>
      </c>
      <c r="C68" s="55" t="s">
        <v>232</v>
      </c>
      <c r="D68" s="56" t="s">
        <v>161</v>
      </c>
      <c r="E68" s="57" t="s">
        <v>162</v>
      </c>
      <c r="F68" s="57" t="s">
        <v>162</v>
      </c>
      <c r="G68" s="57" t="s">
        <v>162</v>
      </c>
      <c r="H68" s="57" t="s">
        <v>162</v>
      </c>
      <c r="I68" s="57" t="s">
        <v>162</v>
      </c>
      <c r="J68" s="57" t="s">
        <v>162</v>
      </c>
      <c r="K68" s="57" t="s">
        <v>162</v>
      </c>
      <c r="L68" s="59" t="s">
        <v>191</v>
      </c>
      <c r="M68" s="59" t="s">
        <v>191</v>
      </c>
      <c r="N68" s="57" t="e">
        <f t="shared" si="0"/>
        <v>#VALUE!</v>
      </c>
    </row>
    <row r="69" spans="1:14" ht="22.65" customHeight="1" x14ac:dyDescent="0.25">
      <c r="A69" s="624" t="s">
        <v>233</v>
      </c>
      <c r="B69" s="625"/>
      <c r="C69" s="625"/>
      <c r="D69" s="625"/>
      <c r="E69" s="625"/>
      <c r="F69" s="625"/>
      <c r="G69" s="625"/>
      <c r="H69" s="625"/>
      <c r="I69" s="625"/>
      <c r="J69" s="625"/>
      <c r="K69" s="625"/>
      <c r="L69" s="625"/>
      <c r="N69" s="57">
        <f t="shared" si="0"/>
        <v>0</v>
      </c>
    </row>
    <row r="70" spans="1:14" ht="51.6" customHeight="1" x14ac:dyDescent="0.25">
      <c r="A70" s="50">
        <v>43</v>
      </c>
      <c r="B70" s="55" t="s">
        <v>234</v>
      </c>
      <c r="C70" s="70" t="s">
        <v>235</v>
      </c>
      <c r="D70" s="60" t="s">
        <v>236</v>
      </c>
      <c r="E70" s="57" t="s">
        <v>162</v>
      </c>
      <c r="F70" s="57" t="s">
        <v>162</v>
      </c>
      <c r="G70" s="57" t="s">
        <v>162</v>
      </c>
      <c r="H70" s="57" t="s">
        <v>162</v>
      </c>
      <c r="I70" s="57" t="s">
        <v>162</v>
      </c>
      <c r="J70" s="57" t="s">
        <v>162</v>
      </c>
      <c r="K70" s="57" t="s">
        <v>162</v>
      </c>
      <c r="L70" s="59" t="s">
        <v>191</v>
      </c>
      <c r="N70" s="57" t="e">
        <f t="shared" si="0"/>
        <v>#VALUE!</v>
      </c>
    </row>
    <row r="71" spans="1:14" ht="22.65" customHeight="1" x14ac:dyDescent="0.25">
      <c r="A71" s="618" t="s">
        <v>237</v>
      </c>
      <c r="B71" s="626"/>
      <c r="C71" s="626"/>
      <c r="D71" s="626"/>
      <c r="E71" s="626"/>
      <c r="F71" s="626"/>
      <c r="G71" s="626"/>
      <c r="H71" s="626"/>
      <c r="I71" s="626"/>
      <c r="J71" s="626"/>
      <c r="K71" s="626"/>
      <c r="L71" s="626"/>
      <c r="N71" s="57">
        <f t="shared" si="0"/>
        <v>0</v>
      </c>
    </row>
    <row r="72" spans="1:14" ht="23.4" customHeight="1" x14ac:dyDescent="0.25">
      <c r="A72" s="50">
        <v>44</v>
      </c>
      <c r="B72" s="55" t="s">
        <v>39</v>
      </c>
      <c r="C72" s="70" t="s">
        <v>238</v>
      </c>
      <c r="D72" s="60" t="s">
        <v>239</v>
      </c>
      <c r="E72" s="57" t="s">
        <v>162</v>
      </c>
      <c r="F72" s="57" t="s">
        <v>162</v>
      </c>
      <c r="G72" s="59">
        <v>100</v>
      </c>
      <c r="H72" s="59">
        <v>100</v>
      </c>
      <c r="I72" s="59">
        <v>100</v>
      </c>
      <c r="J72" s="59">
        <v>100</v>
      </c>
      <c r="K72" s="59">
        <v>100</v>
      </c>
      <c r="L72" s="59">
        <v>100</v>
      </c>
      <c r="N72" s="57">
        <f t="shared" si="0"/>
        <v>100</v>
      </c>
    </row>
    <row r="73" spans="1:14" ht="37.35" customHeight="1" x14ac:dyDescent="0.25">
      <c r="A73" s="612" t="s">
        <v>69</v>
      </c>
      <c r="B73" s="613"/>
      <c r="C73" s="613"/>
      <c r="D73" s="613"/>
      <c r="E73" s="613"/>
      <c r="F73" s="613"/>
      <c r="G73" s="613"/>
      <c r="H73" s="613"/>
      <c r="I73" s="613"/>
      <c r="J73" s="613"/>
      <c r="K73" s="613"/>
      <c r="L73" s="614"/>
      <c r="N73" s="57">
        <f t="shared" si="0"/>
        <v>0</v>
      </c>
    </row>
    <row r="74" spans="1:14" ht="21" customHeight="1" x14ac:dyDescent="0.25">
      <c r="A74" s="621" t="s">
        <v>240</v>
      </c>
      <c r="B74" s="621"/>
      <c r="C74" s="621"/>
      <c r="D74" s="621"/>
      <c r="E74" s="621"/>
      <c r="F74" s="621"/>
      <c r="G74" s="621"/>
      <c r="H74" s="621"/>
      <c r="I74" s="621"/>
      <c r="J74" s="621"/>
      <c r="K74" s="621"/>
      <c r="L74" s="621"/>
      <c r="N74" s="57">
        <f t="shared" si="0"/>
        <v>0</v>
      </c>
    </row>
    <row r="75" spans="1:14" ht="30.6" customHeight="1" x14ac:dyDescent="0.25">
      <c r="A75" s="624" t="s">
        <v>77</v>
      </c>
      <c r="B75" s="624"/>
      <c r="C75" s="624"/>
      <c r="D75" s="624"/>
      <c r="E75" s="624"/>
      <c r="F75" s="624"/>
      <c r="G75" s="624"/>
      <c r="H75" s="624"/>
      <c r="I75" s="624"/>
      <c r="J75" s="624"/>
      <c r="K75" s="624"/>
      <c r="L75" s="624"/>
      <c r="N75" s="57">
        <f t="shared" si="0"/>
        <v>0</v>
      </c>
    </row>
    <row r="76" spans="1:14" ht="32.4" customHeight="1" x14ac:dyDescent="0.25">
      <c r="A76" s="624" t="s">
        <v>147</v>
      </c>
      <c r="B76" s="624"/>
      <c r="C76" s="624"/>
      <c r="D76" s="624"/>
      <c r="E76" s="624"/>
      <c r="F76" s="624"/>
      <c r="G76" s="624"/>
      <c r="H76" s="624"/>
      <c r="I76" s="624"/>
      <c r="J76" s="624"/>
      <c r="K76" s="624"/>
      <c r="L76" s="624"/>
      <c r="N76" s="57">
        <f t="shared" si="0"/>
        <v>0</v>
      </c>
    </row>
    <row r="77" spans="1:14" ht="28.65" customHeight="1" x14ac:dyDescent="0.25">
      <c r="A77" s="604">
        <v>45</v>
      </c>
      <c r="B77" s="622" t="s">
        <v>241</v>
      </c>
      <c r="C77" s="71" t="s">
        <v>329</v>
      </c>
      <c r="D77" s="56" t="s">
        <v>242</v>
      </c>
      <c r="E77" s="57" t="s">
        <v>162</v>
      </c>
      <c r="F77" s="72">
        <v>45.929000000000002</v>
      </c>
      <c r="G77" s="72">
        <v>16.690000000000001</v>
      </c>
      <c r="H77" s="57">
        <v>33.878999999999998</v>
      </c>
      <c r="I77" s="57">
        <v>27.53</v>
      </c>
      <c r="J77" s="57">
        <f>5.68+0.456</f>
        <v>6.1360000000000001</v>
      </c>
      <c r="K77" s="57" t="s">
        <v>162</v>
      </c>
      <c r="L77" s="57">
        <v>2.1</v>
      </c>
      <c r="M77" s="57">
        <v>2.1</v>
      </c>
      <c r="N77" s="57">
        <f t="shared" si="0"/>
        <v>0</v>
      </c>
    </row>
    <row r="78" spans="1:14" ht="29.4" customHeight="1" x14ac:dyDescent="0.25">
      <c r="A78" s="605"/>
      <c r="B78" s="623"/>
      <c r="C78" s="71" t="s">
        <v>172</v>
      </c>
      <c r="D78" s="56" t="s">
        <v>243</v>
      </c>
      <c r="E78" s="57" t="s">
        <v>162</v>
      </c>
      <c r="F78" s="57" t="s">
        <v>162</v>
      </c>
      <c r="G78" s="57" t="s">
        <v>162</v>
      </c>
      <c r="H78" s="57" t="s">
        <v>162</v>
      </c>
      <c r="I78" s="57" t="s">
        <v>162</v>
      </c>
      <c r="J78" s="59">
        <v>1</v>
      </c>
      <c r="K78" s="57" t="s">
        <v>162</v>
      </c>
      <c r="L78" s="57" t="s">
        <v>162</v>
      </c>
      <c r="M78" s="57" t="s">
        <v>162</v>
      </c>
      <c r="N78" s="57" t="e">
        <f t="shared" si="0"/>
        <v>#VALUE!</v>
      </c>
    </row>
    <row r="79" spans="1:14" ht="44.4" customHeight="1" x14ac:dyDescent="0.25">
      <c r="A79" s="608">
        <v>46</v>
      </c>
      <c r="B79" s="631" t="s">
        <v>244</v>
      </c>
      <c r="C79" s="71" t="s">
        <v>245</v>
      </c>
      <c r="D79" s="56" t="s">
        <v>161</v>
      </c>
      <c r="E79" s="57" t="s">
        <v>162</v>
      </c>
      <c r="F79" s="57" t="s">
        <v>162</v>
      </c>
      <c r="G79" s="57" t="s">
        <v>162</v>
      </c>
      <c r="H79" s="57" t="s">
        <v>162</v>
      </c>
      <c r="I79" s="57" t="s">
        <v>162</v>
      </c>
      <c r="J79" s="65" t="s">
        <v>162</v>
      </c>
      <c r="K79" s="65" t="s">
        <v>162</v>
      </c>
      <c r="L79" s="94" t="s">
        <v>162</v>
      </c>
      <c r="M79" s="638" t="s">
        <v>162</v>
      </c>
      <c r="N79" s="57" t="e">
        <f t="shared" si="0"/>
        <v>#VALUE!</v>
      </c>
    </row>
    <row r="80" spans="1:14" ht="43.35" customHeight="1" x14ac:dyDescent="0.25">
      <c r="A80" s="630"/>
      <c r="B80" s="632"/>
      <c r="C80" s="71" t="s">
        <v>246</v>
      </c>
      <c r="D80" s="56" t="s">
        <v>161</v>
      </c>
      <c r="E80" s="57" t="s">
        <v>162</v>
      </c>
      <c r="F80" s="57" t="s">
        <v>162</v>
      </c>
      <c r="G80" s="57" t="s">
        <v>162</v>
      </c>
      <c r="H80" s="57" t="s">
        <v>162</v>
      </c>
      <c r="I80" s="57" t="s">
        <v>162</v>
      </c>
      <c r="J80" s="57" t="s">
        <v>162</v>
      </c>
      <c r="K80" s="57" t="s">
        <v>162</v>
      </c>
      <c r="L80" s="57" t="s">
        <v>162</v>
      </c>
      <c r="M80" s="639"/>
      <c r="N80" s="57" t="e">
        <f t="shared" si="0"/>
        <v>#VALUE!</v>
      </c>
    </row>
    <row r="81" spans="1:35" ht="43.65" customHeight="1" x14ac:dyDescent="0.25">
      <c r="A81" s="73">
        <v>47</v>
      </c>
      <c r="B81" s="69" t="s">
        <v>247</v>
      </c>
      <c r="C81" s="71" t="s">
        <v>248</v>
      </c>
      <c r="D81" s="56" t="s">
        <v>249</v>
      </c>
      <c r="E81" s="57" t="s">
        <v>162</v>
      </c>
      <c r="F81" s="65" t="s">
        <v>162</v>
      </c>
      <c r="G81" s="65" t="s">
        <v>162</v>
      </c>
      <c r="H81" s="57" t="s">
        <v>162</v>
      </c>
      <c r="I81" s="57" t="s">
        <v>162</v>
      </c>
      <c r="J81" s="57" t="s">
        <v>162</v>
      </c>
      <c r="K81" s="57" t="s">
        <v>162</v>
      </c>
      <c r="L81" s="57" t="s">
        <v>162</v>
      </c>
      <c r="M81" s="57" t="s">
        <v>162</v>
      </c>
      <c r="N81" s="57" t="e">
        <f t="shared" si="0"/>
        <v>#VALUE!</v>
      </c>
    </row>
    <row r="82" spans="1:35" ht="50.1" customHeight="1" x14ac:dyDescent="0.25">
      <c r="A82" s="50">
        <v>48</v>
      </c>
      <c r="B82" s="69" t="s">
        <v>57</v>
      </c>
      <c r="C82" s="71" t="s">
        <v>250</v>
      </c>
      <c r="D82" s="56" t="s">
        <v>249</v>
      </c>
      <c r="E82" s="57" t="s">
        <v>162</v>
      </c>
      <c r="F82" s="57" t="s">
        <v>162</v>
      </c>
      <c r="G82" s="57" t="s">
        <v>162</v>
      </c>
      <c r="H82" s="57" t="s">
        <v>162</v>
      </c>
      <c r="I82" s="57" t="s">
        <v>162</v>
      </c>
      <c r="J82" s="57" t="s">
        <v>162</v>
      </c>
      <c r="K82" s="57" t="s">
        <v>162</v>
      </c>
      <c r="L82" s="57" t="s">
        <v>162</v>
      </c>
      <c r="M82" s="57" t="s">
        <v>162</v>
      </c>
      <c r="N82" s="57" t="e">
        <f t="shared" si="0"/>
        <v>#VALUE!</v>
      </c>
    </row>
    <row r="83" spans="1:35" ht="49.35" customHeight="1" x14ac:dyDescent="0.25">
      <c r="A83" s="50">
        <v>49</v>
      </c>
      <c r="B83" s="69" t="s">
        <v>58</v>
      </c>
      <c r="C83" s="71" t="s">
        <v>251</v>
      </c>
      <c r="D83" s="56" t="s">
        <v>242</v>
      </c>
      <c r="E83" s="57" t="s">
        <v>162</v>
      </c>
      <c r="F83" s="65" t="s">
        <v>162</v>
      </c>
      <c r="G83" s="65" t="s">
        <v>162</v>
      </c>
      <c r="H83" s="57" t="s">
        <v>162</v>
      </c>
      <c r="I83" s="57" t="s">
        <v>162</v>
      </c>
      <c r="J83" s="57" t="s">
        <v>162</v>
      </c>
      <c r="K83" s="57" t="s">
        <v>162</v>
      </c>
      <c r="L83" s="57" t="s">
        <v>162</v>
      </c>
      <c r="M83" s="57" t="s">
        <v>162</v>
      </c>
      <c r="N83" s="57" t="e">
        <f t="shared" si="0"/>
        <v>#VALUE!</v>
      </c>
      <c r="O83" s="52"/>
      <c r="P83" s="52"/>
      <c r="Q83" s="52"/>
      <c r="R83" s="52"/>
      <c r="S83" s="52"/>
      <c r="T83" s="52"/>
      <c r="U83" s="52"/>
      <c r="V83" s="52"/>
      <c r="W83" s="52"/>
      <c r="X83" s="52"/>
      <c r="Y83" s="52"/>
      <c r="Z83" s="52"/>
      <c r="AA83" s="52"/>
      <c r="AB83" s="52"/>
      <c r="AC83" s="52"/>
      <c r="AD83" s="52"/>
      <c r="AE83" s="52"/>
      <c r="AF83" s="52"/>
      <c r="AG83" s="52"/>
      <c r="AH83" s="52"/>
      <c r="AI83" s="52"/>
    </row>
    <row r="84" spans="1:35" ht="27.6" customHeight="1" x14ac:dyDescent="0.25">
      <c r="A84" s="609" t="s">
        <v>71</v>
      </c>
      <c r="B84" s="610"/>
      <c r="C84" s="610"/>
      <c r="D84" s="610"/>
      <c r="E84" s="610"/>
      <c r="F84" s="610"/>
      <c r="G84" s="610"/>
      <c r="H84" s="610"/>
      <c r="I84" s="610"/>
      <c r="J84" s="610"/>
      <c r="K84" s="610"/>
      <c r="L84" s="611"/>
      <c r="M84" s="57" t="s">
        <v>162</v>
      </c>
      <c r="N84" s="57" t="e">
        <f t="shared" si="0"/>
        <v>#VALUE!</v>
      </c>
      <c r="O84" s="52"/>
      <c r="P84" s="52"/>
      <c r="Q84" s="52"/>
      <c r="R84" s="52"/>
      <c r="S84" s="52"/>
      <c r="T84" s="52"/>
      <c r="U84" s="52"/>
      <c r="V84" s="52"/>
      <c r="W84" s="52"/>
      <c r="X84" s="52"/>
      <c r="Y84" s="52"/>
      <c r="Z84" s="52"/>
      <c r="AA84" s="52"/>
      <c r="AB84" s="52"/>
      <c r="AC84" s="52"/>
      <c r="AD84" s="52"/>
      <c r="AE84" s="52"/>
      <c r="AF84" s="52"/>
      <c r="AG84" s="52"/>
      <c r="AH84" s="52"/>
      <c r="AI84" s="52"/>
    </row>
    <row r="85" spans="1:35" ht="24" customHeight="1" x14ac:dyDescent="0.25">
      <c r="A85" s="633" t="s">
        <v>252</v>
      </c>
      <c r="B85" s="633"/>
      <c r="C85" s="633"/>
      <c r="D85" s="633"/>
      <c r="E85" s="633"/>
      <c r="F85" s="633"/>
      <c r="G85" s="633"/>
      <c r="H85" s="633"/>
      <c r="I85" s="633"/>
      <c r="J85" s="633"/>
      <c r="K85" s="633"/>
      <c r="L85" s="633"/>
      <c r="N85" s="57">
        <f t="shared" si="0"/>
        <v>0</v>
      </c>
    </row>
    <row r="86" spans="1:35" ht="21" customHeight="1" x14ac:dyDescent="0.25">
      <c r="A86" s="624" t="s">
        <v>78</v>
      </c>
      <c r="B86" s="624"/>
      <c r="C86" s="624"/>
      <c r="D86" s="624"/>
      <c r="E86" s="624"/>
      <c r="F86" s="624"/>
      <c r="G86" s="624"/>
      <c r="H86" s="624"/>
      <c r="I86" s="624"/>
      <c r="J86" s="624"/>
      <c r="K86" s="624"/>
      <c r="L86" s="624"/>
      <c r="N86" s="57">
        <f t="shared" ref="N86:N151" si="1">L86-M86</f>
        <v>0</v>
      </c>
    </row>
    <row r="87" spans="1:35" ht="23.4" customHeight="1" x14ac:dyDescent="0.25">
      <c r="A87" s="624" t="s">
        <v>253</v>
      </c>
      <c r="B87" s="624"/>
      <c r="C87" s="624"/>
      <c r="D87" s="624"/>
      <c r="E87" s="624"/>
      <c r="F87" s="624"/>
      <c r="G87" s="624"/>
      <c r="H87" s="624"/>
      <c r="I87" s="624"/>
      <c r="J87" s="624"/>
      <c r="K87" s="624"/>
      <c r="L87" s="624"/>
      <c r="N87" s="57">
        <f t="shared" si="1"/>
        <v>0</v>
      </c>
    </row>
    <row r="88" spans="1:35" ht="32.4" customHeight="1" x14ac:dyDescent="0.25">
      <c r="A88" s="50">
        <v>50</v>
      </c>
      <c r="B88" s="69" t="s">
        <v>51</v>
      </c>
      <c r="C88" s="68" t="s">
        <v>254</v>
      </c>
      <c r="D88" s="51" t="s">
        <v>161</v>
      </c>
      <c r="E88" s="57" t="s">
        <v>162</v>
      </c>
      <c r="F88" s="50">
        <v>100</v>
      </c>
      <c r="G88" s="50">
        <v>100</v>
      </c>
      <c r="H88" s="50">
        <v>100</v>
      </c>
      <c r="I88" s="50">
        <v>100</v>
      </c>
      <c r="J88" s="50">
        <v>100</v>
      </c>
      <c r="K88" s="50">
        <v>100</v>
      </c>
      <c r="L88" s="50">
        <v>100</v>
      </c>
      <c r="M88" s="146">
        <v>100</v>
      </c>
      <c r="N88" s="57">
        <f t="shared" si="1"/>
        <v>0</v>
      </c>
    </row>
    <row r="89" spans="1:35" ht="36" customHeight="1" x14ac:dyDescent="0.25">
      <c r="A89" s="50">
        <v>51</v>
      </c>
      <c r="B89" s="69" t="s">
        <v>33</v>
      </c>
      <c r="C89" s="55" t="s">
        <v>255</v>
      </c>
      <c r="D89" s="51" t="s">
        <v>239</v>
      </c>
      <c r="E89" s="57" t="s">
        <v>162</v>
      </c>
      <c r="F89" s="57" t="s">
        <v>162</v>
      </c>
      <c r="G89" s="57" t="s">
        <v>162</v>
      </c>
      <c r="H89" s="57" t="s">
        <v>162</v>
      </c>
      <c r="I89" s="57" t="s">
        <v>162</v>
      </c>
      <c r="J89" s="57" t="s">
        <v>162</v>
      </c>
      <c r="K89" s="57" t="s">
        <v>162</v>
      </c>
      <c r="L89" s="57" t="s">
        <v>162</v>
      </c>
      <c r="M89" s="57" t="s">
        <v>162</v>
      </c>
      <c r="N89" s="57" t="e">
        <f t="shared" si="1"/>
        <v>#VALUE!</v>
      </c>
    </row>
    <row r="90" spans="1:35" ht="35.4" customHeight="1" x14ac:dyDescent="0.25">
      <c r="A90" s="50">
        <v>52</v>
      </c>
      <c r="B90" s="69" t="s">
        <v>34</v>
      </c>
      <c r="C90" s="55" t="s">
        <v>256</v>
      </c>
      <c r="D90" s="51" t="s">
        <v>225</v>
      </c>
      <c r="E90" s="57" t="s">
        <v>162</v>
      </c>
      <c r="F90" s="57" t="s">
        <v>162</v>
      </c>
      <c r="G90" s="57" t="s">
        <v>162</v>
      </c>
      <c r="H90" s="57" t="s">
        <v>162</v>
      </c>
      <c r="I90" s="57" t="s">
        <v>162</v>
      </c>
      <c r="J90" s="57" t="s">
        <v>162</v>
      </c>
      <c r="K90" s="57" t="s">
        <v>162</v>
      </c>
      <c r="L90" s="57" t="s">
        <v>162</v>
      </c>
      <c r="M90" s="57" t="s">
        <v>162</v>
      </c>
      <c r="N90" s="57" t="e">
        <f t="shared" si="1"/>
        <v>#VALUE!</v>
      </c>
    </row>
    <row r="91" spans="1:35" ht="49.35" customHeight="1" x14ac:dyDescent="0.25">
      <c r="A91" s="50">
        <v>53</v>
      </c>
      <c r="B91" s="69" t="s">
        <v>257</v>
      </c>
      <c r="C91" s="68" t="s">
        <v>258</v>
      </c>
      <c r="D91" s="51" t="s">
        <v>225</v>
      </c>
      <c r="E91" s="57" t="s">
        <v>162</v>
      </c>
      <c r="F91" s="57" t="s">
        <v>162</v>
      </c>
      <c r="G91" s="57" t="s">
        <v>162</v>
      </c>
      <c r="H91" s="57" t="s">
        <v>162</v>
      </c>
      <c r="I91" s="57" t="s">
        <v>162</v>
      </c>
      <c r="J91" s="57" t="s">
        <v>162</v>
      </c>
      <c r="K91" s="57" t="s">
        <v>162</v>
      </c>
      <c r="L91" s="57" t="s">
        <v>162</v>
      </c>
      <c r="M91" s="57" t="s">
        <v>162</v>
      </c>
      <c r="N91" s="57" t="e">
        <f t="shared" si="1"/>
        <v>#VALUE!</v>
      </c>
    </row>
    <row r="92" spans="1:35" ht="59.4" customHeight="1" x14ac:dyDescent="0.25">
      <c r="A92" s="50">
        <v>54</v>
      </c>
      <c r="B92" s="69" t="s">
        <v>38</v>
      </c>
      <c r="C92" s="68" t="s">
        <v>259</v>
      </c>
      <c r="D92" s="51" t="s">
        <v>225</v>
      </c>
      <c r="E92" s="59">
        <v>151</v>
      </c>
      <c r="F92" s="50">
        <v>19</v>
      </c>
      <c r="G92" s="57" t="s">
        <v>162</v>
      </c>
      <c r="H92" s="57" t="s">
        <v>162</v>
      </c>
      <c r="I92" s="57" t="s">
        <v>162</v>
      </c>
      <c r="J92" s="57" t="s">
        <v>162</v>
      </c>
      <c r="K92" s="57" t="s">
        <v>162</v>
      </c>
      <c r="L92" s="57" t="s">
        <v>162</v>
      </c>
      <c r="M92" s="57" t="s">
        <v>162</v>
      </c>
      <c r="N92" s="57" t="e">
        <f t="shared" si="1"/>
        <v>#VALUE!</v>
      </c>
    </row>
    <row r="93" spans="1:35" ht="33" customHeight="1" x14ac:dyDescent="0.25">
      <c r="A93" s="634" t="s">
        <v>260</v>
      </c>
      <c r="B93" s="635"/>
      <c r="C93" s="635"/>
      <c r="D93" s="635"/>
      <c r="E93" s="635"/>
      <c r="F93" s="635"/>
      <c r="G93" s="635"/>
      <c r="H93" s="635"/>
      <c r="I93" s="635"/>
      <c r="J93" s="635"/>
      <c r="K93" s="635"/>
      <c r="L93" s="635"/>
      <c r="N93" s="57">
        <f t="shared" si="1"/>
        <v>0</v>
      </c>
    </row>
    <row r="94" spans="1:35" ht="60" customHeight="1" x14ac:dyDescent="0.25">
      <c r="A94" s="627">
        <v>55</v>
      </c>
      <c r="B94" s="74" t="s">
        <v>1310</v>
      </c>
      <c r="C94" s="622" t="s">
        <v>261</v>
      </c>
      <c r="D94" s="636" t="s">
        <v>262</v>
      </c>
      <c r="E94" s="604">
        <v>2</v>
      </c>
      <c r="F94" s="638" t="s">
        <v>162</v>
      </c>
      <c r="G94" s="604">
        <v>2</v>
      </c>
      <c r="H94" s="604">
        <v>2</v>
      </c>
      <c r="I94" s="604">
        <v>2</v>
      </c>
      <c r="J94" s="604">
        <v>2</v>
      </c>
      <c r="K94" s="604">
        <v>2</v>
      </c>
      <c r="L94" s="638" t="s">
        <v>162</v>
      </c>
      <c r="M94" s="57" t="s">
        <v>162</v>
      </c>
      <c r="N94" s="57" t="e">
        <f t="shared" si="1"/>
        <v>#VALUE!</v>
      </c>
    </row>
    <row r="95" spans="1:35" ht="100.95" customHeight="1" x14ac:dyDescent="0.25">
      <c r="A95" s="628"/>
      <c r="B95" s="173" t="s">
        <v>1478</v>
      </c>
      <c r="C95" s="623"/>
      <c r="D95" s="637"/>
      <c r="E95" s="605"/>
      <c r="F95" s="639"/>
      <c r="G95" s="605"/>
      <c r="H95" s="605"/>
      <c r="I95" s="605"/>
      <c r="J95" s="605"/>
      <c r="K95" s="605"/>
      <c r="L95" s="639"/>
      <c r="M95" s="57"/>
      <c r="N95" s="57"/>
    </row>
    <row r="96" spans="1:35" ht="60.6" customHeight="1" x14ac:dyDescent="0.25">
      <c r="A96" s="629"/>
      <c r="B96" s="95" t="s">
        <v>263</v>
      </c>
      <c r="C96" s="75" t="s">
        <v>264</v>
      </c>
      <c r="D96" s="169" t="s">
        <v>262</v>
      </c>
      <c r="E96" s="168">
        <v>2</v>
      </c>
      <c r="F96" s="57" t="s">
        <v>162</v>
      </c>
      <c r="G96" s="57" t="s">
        <v>162</v>
      </c>
      <c r="H96" s="57" t="s">
        <v>162</v>
      </c>
      <c r="I96" s="57" t="s">
        <v>162</v>
      </c>
      <c r="J96" s="57" t="s">
        <v>162</v>
      </c>
      <c r="K96" s="57" t="s">
        <v>162</v>
      </c>
      <c r="L96" s="50">
        <v>2</v>
      </c>
      <c r="M96" s="146">
        <v>2</v>
      </c>
      <c r="N96" s="57">
        <f t="shared" si="1"/>
        <v>0</v>
      </c>
    </row>
    <row r="97" spans="1:14" ht="21.6" customHeight="1" x14ac:dyDescent="0.25">
      <c r="A97" s="624" t="s">
        <v>265</v>
      </c>
      <c r="B97" s="649"/>
      <c r="C97" s="624"/>
      <c r="D97" s="624"/>
      <c r="E97" s="624"/>
      <c r="F97" s="624"/>
      <c r="G97" s="624"/>
      <c r="H97" s="624"/>
      <c r="I97" s="624"/>
      <c r="J97" s="624"/>
      <c r="K97" s="624"/>
      <c r="L97" s="624"/>
      <c r="N97" s="57">
        <f t="shared" si="1"/>
        <v>0</v>
      </c>
    </row>
    <row r="98" spans="1:14" ht="23.4" customHeight="1" x14ac:dyDescent="0.25">
      <c r="A98" s="604">
        <v>56</v>
      </c>
      <c r="B98" s="606" t="s">
        <v>122</v>
      </c>
      <c r="C98" s="69" t="s">
        <v>266</v>
      </c>
      <c r="D98" s="76"/>
      <c r="E98" s="59" t="s">
        <v>191</v>
      </c>
      <c r="F98" s="59" t="s">
        <v>191</v>
      </c>
      <c r="G98" s="59" t="s">
        <v>191</v>
      </c>
      <c r="H98" s="59" t="s">
        <v>191</v>
      </c>
      <c r="I98" s="65">
        <v>40</v>
      </c>
      <c r="J98" s="59" t="s">
        <v>191</v>
      </c>
      <c r="K98" s="59" t="s">
        <v>191</v>
      </c>
      <c r="L98" s="59" t="s">
        <v>191</v>
      </c>
      <c r="M98" s="59" t="s">
        <v>191</v>
      </c>
      <c r="N98" s="57" t="e">
        <f t="shared" si="1"/>
        <v>#VALUE!</v>
      </c>
    </row>
    <row r="99" spans="1:14" s="78" customFormat="1" ht="24" customHeight="1" x14ac:dyDescent="0.25">
      <c r="A99" s="605"/>
      <c r="B99" s="607"/>
      <c r="C99" s="69" t="s">
        <v>267</v>
      </c>
      <c r="D99" s="56" t="s">
        <v>225</v>
      </c>
      <c r="E99" s="65" t="s">
        <v>162</v>
      </c>
      <c r="F99" s="65" t="s">
        <v>162</v>
      </c>
      <c r="G99" s="65" t="s">
        <v>162</v>
      </c>
      <c r="H99" s="65" t="s">
        <v>162</v>
      </c>
      <c r="I99" s="65">
        <v>60.44</v>
      </c>
      <c r="J99" s="65">
        <v>80.209999999999994</v>
      </c>
      <c r="K99" s="77">
        <v>100</v>
      </c>
      <c r="L99" s="59" t="s">
        <v>191</v>
      </c>
      <c r="M99" s="59" t="s">
        <v>191</v>
      </c>
      <c r="N99" s="57" t="e">
        <f t="shared" si="1"/>
        <v>#VALUE!</v>
      </c>
    </row>
    <row r="100" spans="1:14" s="78" customFormat="1" ht="33.6" customHeight="1" x14ac:dyDescent="0.25">
      <c r="A100" s="50">
        <v>57</v>
      </c>
      <c r="B100" s="69" t="s">
        <v>40</v>
      </c>
      <c r="C100" s="69" t="s">
        <v>268</v>
      </c>
      <c r="D100" s="79" t="s">
        <v>225</v>
      </c>
      <c r="E100" s="65">
        <v>3</v>
      </c>
      <c r="F100" s="65">
        <v>22</v>
      </c>
      <c r="G100" s="65" t="s">
        <v>162</v>
      </c>
      <c r="H100" s="77" t="s">
        <v>162</v>
      </c>
      <c r="I100" s="77" t="s">
        <v>162</v>
      </c>
      <c r="J100" s="77" t="s">
        <v>162</v>
      </c>
      <c r="K100" s="77" t="s">
        <v>162</v>
      </c>
      <c r="L100" s="77" t="s">
        <v>162</v>
      </c>
      <c r="M100" s="77" t="s">
        <v>162</v>
      </c>
      <c r="N100" s="57" t="e">
        <f t="shared" si="1"/>
        <v>#VALUE!</v>
      </c>
    </row>
    <row r="101" spans="1:14" s="78" customFormat="1" ht="30.6" customHeight="1" x14ac:dyDescent="0.25">
      <c r="A101" s="50">
        <v>58</v>
      </c>
      <c r="B101" s="58" t="s">
        <v>269</v>
      </c>
      <c r="C101" s="68" t="s">
        <v>270</v>
      </c>
      <c r="D101" s="51" t="s">
        <v>225</v>
      </c>
      <c r="E101" s="57" t="s">
        <v>162</v>
      </c>
      <c r="F101" s="57" t="s">
        <v>162</v>
      </c>
      <c r="G101" s="57" t="s">
        <v>162</v>
      </c>
      <c r="H101" s="57" t="s">
        <v>162</v>
      </c>
      <c r="I101" s="59" t="s">
        <v>191</v>
      </c>
      <c r="J101" s="59" t="s">
        <v>191</v>
      </c>
      <c r="K101" s="77" t="s">
        <v>162</v>
      </c>
      <c r="L101" s="77" t="s">
        <v>162</v>
      </c>
      <c r="M101" s="77" t="s">
        <v>162</v>
      </c>
      <c r="N101" s="57" t="e">
        <f t="shared" si="1"/>
        <v>#VALUE!</v>
      </c>
    </row>
    <row r="102" spans="1:14" s="78" customFormat="1" ht="34.35" customHeight="1" x14ac:dyDescent="0.25">
      <c r="A102" s="50">
        <v>59</v>
      </c>
      <c r="B102" s="69" t="s">
        <v>271</v>
      </c>
      <c r="C102" s="55" t="s">
        <v>267</v>
      </c>
      <c r="D102" s="51" t="s">
        <v>239</v>
      </c>
      <c r="E102" s="64">
        <v>48</v>
      </c>
      <c r="F102" s="64">
        <v>62</v>
      </c>
      <c r="G102" s="64">
        <v>75</v>
      </c>
      <c r="H102" s="64">
        <v>87</v>
      </c>
      <c r="I102" s="59">
        <v>100</v>
      </c>
      <c r="J102" s="77" t="s">
        <v>162</v>
      </c>
      <c r="K102" s="77" t="s">
        <v>162</v>
      </c>
      <c r="L102" s="77" t="s">
        <v>162</v>
      </c>
      <c r="M102" s="77" t="s">
        <v>162</v>
      </c>
      <c r="N102" s="57" t="e">
        <f t="shared" si="1"/>
        <v>#VALUE!</v>
      </c>
    </row>
    <row r="103" spans="1:14" s="78" customFormat="1" ht="33" customHeight="1" x14ac:dyDescent="0.25">
      <c r="A103" s="50">
        <v>60</v>
      </c>
      <c r="B103" s="69" t="s">
        <v>272</v>
      </c>
      <c r="C103" s="69" t="s">
        <v>270</v>
      </c>
      <c r="D103" s="79" t="s">
        <v>225</v>
      </c>
      <c r="E103" s="77" t="s">
        <v>162</v>
      </c>
      <c r="F103" s="65">
        <v>61</v>
      </c>
      <c r="G103" s="77" t="s">
        <v>162</v>
      </c>
      <c r="H103" s="77" t="s">
        <v>162</v>
      </c>
      <c r="I103" s="77" t="s">
        <v>162</v>
      </c>
      <c r="J103" s="77" t="s">
        <v>162</v>
      </c>
      <c r="K103" s="77" t="s">
        <v>162</v>
      </c>
      <c r="L103" s="77" t="s">
        <v>162</v>
      </c>
      <c r="M103" s="77" t="s">
        <v>162</v>
      </c>
      <c r="N103" s="57" t="e">
        <f t="shared" si="1"/>
        <v>#VALUE!</v>
      </c>
    </row>
    <row r="104" spans="1:14" s="78" customFormat="1" ht="24" customHeight="1" x14ac:dyDescent="0.25">
      <c r="A104" s="627">
        <v>61</v>
      </c>
      <c r="B104" s="619" t="s">
        <v>1479</v>
      </c>
      <c r="C104" s="167" t="s">
        <v>270</v>
      </c>
      <c r="D104" s="79" t="s">
        <v>225</v>
      </c>
      <c r="E104" s="77" t="s">
        <v>162</v>
      </c>
      <c r="F104" s="77" t="s">
        <v>162</v>
      </c>
      <c r="G104" s="77" t="s">
        <v>162</v>
      </c>
      <c r="H104" s="65">
        <v>60</v>
      </c>
      <c r="I104" s="77" t="s">
        <v>162</v>
      </c>
      <c r="J104" s="77" t="s">
        <v>162</v>
      </c>
      <c r="K104" s="77" t="s">
        <v>162</v>
      </c>
      <c r="L104" s="77" t="s">
        <v>162</v>
      </c>
      <c r="M104" s="77" t="s">
        <v>162</v>
      </c>
      <c r="N104" s="57" t="e">
        <f t="shared" si="1"/>
        <v>#VALUE!</v>
      </c>
    </row>
    <row r="105" spans="1:14" s="78" customFormat="1" ht="34.200000000000003" customHeight="1" x14ac:dyDescent="0.25">
      <c r="A105" s="628"/>
      <c r="B105" s="620"/>
      <c r="C105" s="167" t="s">
        <v>267</v>
      </c>
      <c r="D105" s="51" t="s">
        <v>239</v>
      </c>
      <c r="E105" s="77" t="s">
        <v>162</v>
      </c>
      <c r="F105" s="77" t="s">
        <v>162</v>
      </c>
      <c r="G105" s="65">
        <v>37.71</v>
      </c>
      <c r="H105" s="72">
        <v>47.9</v>
      </c>
      <c r="I105" s="65">
        <v>61.49</v>
      </c>
      <c r="J105" s="65">
        <v>75.08</v>
      </c>
      <c r="K105" s="65">
        <v>88.67</v>
      </c>
      <c r="L105" s="72">
        <v>100</v>
      </c>
      <c r="M105" s="72">
        <v>100</v>
      </c>
      <c r="N105" s="57">
        <f t="shared" si="1"/>
        <v>0</v>
      </c>
    </row>
    <row r="106" spans="1:14" s="78" customFormat="1" ht="87.6" customHeight="1" x14ac:dyDescent="0.25">
      <c r="A106" s="629"/>
      <c r="B106" s="477" t="s">
        <v>1477</v>
      </c>
      <c r="C106" s="167" t="s">
        <v>1472</v>
      </c>
      <c r="D106" s="79" t="s">
        <v>225</v>
      </c>
      <c r="E106" s="77"/>
      <c r="F106" s="77"/>
      <c r="G106" s="166"/>
      <c r="H106" s="72"/>
      <c r="I106" s="166"/>
      <c r="J106" s="166"/>
      <c r="K106" s="166"/>
      <c r="L106" s="63">
        <v>50</v>
      </c>
      <c r="M106" s="174"/>
      <c r="N106" s="57"/>
    </row>
    <row r="107" spans="1:14" ht="22.2" customHeight="1" x14ac:dyDescent="0.25">
      <c r="A107" s="649" t="s">
        <v>1274</v>
      </c>
      <c r="B107" s="649"/>
      <c r="C107" s="649"/>
      <c r="D107" s="624"/>
      <c r="E107" s="624"/>
      <c r="F107" s="624"/>
      <c r="G107" s="624"/>
      <c r="H107" s="624"/>
      <c r="I107" s="624"/>
      <c r="J107" s="624"/>
      <c r="K107" s="624"/>
      <c r="L107" s="624"/>
      <c r="N107" s="57">
        <f t="shared" si="1"/>
        <v>0</v>
      </c>
    </row>
    <row r="108" spans="1:14" ht="21" customHeight="1" x14ac:dyDescent="0.25">
      <c r="A108" s="621" t="s">
        <v>96</v>
      </c>
      <c r="B108" s="621"/>
      <c r="C108" s="621"/>
      <c r="D108" s="621"/>
      <c r="E108" s="621"/>
      <c r="F108" s="621"/>
      <c r="G108" s="621"/>
      <c r="H108" s="621"/>
      <c r="I108" s="621"/>
      <c r="J108" s="621"/>
      <c r="K108" s="621"/>
      <c r="L108" s="621"/>
      <c r="N108" s="57">
        <f t="shared" si="1"/>
        <v>0</v>
      </c>
    </row>
    <row r="109" spans="1:14" ht="19.95" customHeight="1" x14ac:dyDescent="0.25">
      <c r="A109" s="624" t="s">
        <v>273</v>
      </c>
      <c r="B109" s="624"/>
      <c r="C109" s="624"/>
      <c r="D109" s="624"/>
      <c r="E109" s="624"/>
      <c r="F109" s="624"/>
      <c r="G109" s="624"/>
      <c r="H109" s="624"/>
      <c r="I109" s="624"/>
      <c r="J109" s="624"/>
      <c r="K109" s="624"/>
      <c r="L109" s="624"/>
      <c r="N109" s="57">
        <f t="shared" si="1"/>
        <v>0</v>
      </c>
    </row>
    <row r="110" spans="1:14" ht="27" customHeight="1" x14ac:dyDescent="0.25">
      <c r="A110" s="612" t="s">
        <v>274</v>
      </c>
      <c r="B110" s="613"/>
      <c r="C110" s="613"/>
      <c r="D110" s="613"/>
      <c r="E110" s="613"/>
      <c r="F110" s="613"/>
      <c r="G110" s="613"/>
      <c r="H110" s="613"/>
      <c r="I110" s="613"/>
      <c r="J110" s="613"/>
      <c r="K110" s="613"/>
      <c r="L110" s="614"/>
      <c r="N110" s="57">
        <f t="shared" si="1"/>
        <v>0</v>
      </c>
    </row>
    <row r="111" spans="1:14" s="78" customFormat="1" ht="35.4" customHeight="1" x14ac:dyDescent="0.25">
      <c r="A111" s="642">
        <v>62</v>
      </c>
      <c r="B111" s="606" t="s">
        <v>141</v>
      </c>
      <c r="C111" s="145" t="s">
        <v>275</v>
      </c>
      <c r="D111" s="51" t="s">
        <v>161</v>
      </c>
      <c r="E111" s="50">
        <v>5</v>
      </c>
      <c r="F111" s="73">
        <v>4</v>
      </c>
      <c r="G111" s="59" t="s">
        <v>191</v>
      </c>
      <c r="H111" s="59" t="s">
        <v>191</v>
      </c>
      <c r="I111" s="59" t="s">
        <v>191</v>
      </c>
      <c r="J111" s="59" t="s">
        <v>191</v>
      </c>
      <c r="K111" s="59" t="s">
        <v>191</v>
      </c>
      <c r="L111" s="66">
        <v>7</v>
      </c>
      <c r="M111" s="59">
        <v>3</v>
      </c>
      <c r="N111" s="57">
        <f t="shared" si="1"/>
        <v>4</v>
      </c>
    </row>
    <row r="112" spans="1:14" s="78" customFormat="1" ht="49.35" customHeight="1" x14ac:dyDescent="0.25">
      <c r="A112" s="643"/>
      <c r="B112" s="645"/>
      <c r="C112" s="69" t="s">
        <v>276</v>
      </c>
      <c r="D112" s="51" t="s">
        <v>161</v>
      </c>
      <c r="E112" s="59" t="s">
        <v>191</v>
      </c>
      <c r="F112" s="59" t="s">
        <v>191</v>
      </c>
      <c r="G112" s="59" t="s">
        <v>191</v>
      </c>
      <c r="H112" s="59" t="s">
        <v>191</v>
      </c>
      <c r="I112" s="59" t="s">
        <v>191</v>
      </c>
      <c r="J112" s="59" t="s">
        <v>191</v>
      </c>
      <c r="K112" s="59">
        <v>2</v>
      </c>
      <c r="L112" s="59" t="s">
        <v>191</v>
      </c>
      <c r="M112" s="59" t="s">
        <v>191</v>
      </c>
      <c r="N112" s="57" t="e">
        <f t="shared" si="1"/>
        <v>#VALUE!</v>
      </c>
    </row>
    <row r="113" spans="1:14" s="78" customFormat="1" ht="71.400000000000006" customHeight="1" x14ac:dyDescent="0.25">
      <c r="A113" s="643"/>
      <c r="B113" s="645"/>
      <c r="C113" s="98" t="s">
        <v>1282</v>
      </c>
      <c r="D113" s="51" t="s">
        <v>161</v>
      </c>
      <c r="E113" s="59" t="s">
        <v>191</v>
      </c>
      <c r="F113" s="59" t="s">
        <v>191</v>
      </c>
      <c r="G113" s="59" t="s">
        <v>191</v>
      </c>
      <c r="H113" s="59" t="s">
        <v>191</v>
      </c>
      <c r="I113" s="59" t="s">
        <v>191</v>
      </c>
      <c r="J113" s="59" t="s">
        <v>191</v>
      </c>
      <c r="K113" s="59">
        <v>1</v>
      </c>
      <c r="L113" s="59" t="s">
        <v>191</v>
      </c>
      <c r="M113" s="59" t="s">
        <v>191</v>
      </c>
      <c r="N113" s="57" t="e">
        <f t="shared" si="1"/>
        <v>#VALUE!</v>
      </c>
    </row>
    <row r="114" spans="1:14" s="78" customFormat="1" ht="59.4" customHeight="1" x14ac:dyDescent="0.25">
      <c r="A114" s="644"/>
      <c r="B114" s="607"/>
      <c r="C114" s="69" t="s">
        <v>277</v>
      </c>
      <c r="D114" s="51" t="s">
        <v>243</v>
      </c>
      <c r="E114" s="59" t="s">
        <v>191</v>
      </c>
      <c r="F114" s="59" t="s">
        <v>191</v>
      </c>
      <c r="G114" s="59" t="s">
        <v>191</v>
      </c>
      <c r="H114" s="59" t="s">
        <v>191</v>
      </c>
      <c r="I114" s="59" t="s">
        <v>191</v>
      </c>
      <c r="J114" s="59" t="s">
        <v>191</v>
      </c>
      <c r="K114" s="59">
        <v>2</v>
      </c>
      <c r="L114" s="59" t="s">
        <v>191</v>
      </c>
      <c r="M114" s="59" t="s">
        <v>191</v>
      </c>
      <c r="N114" s="57" t="e">
        <f t="shared" si="1"/>
        <v>#VALUE!</v>
      </c>
    </row>
    <row r="115" spans="1:14" s="78" customFormat="1" ht="46.65" customHeight="1" x14ac:dyDescent="0.25">
      <c r="A115" s="608">
        <v>63</v>
      </c>
      <c r="B115" s="647" t="s">
        <v>81</v>
      </c>
      <c r="C115" s="69" t="s">
        <v>278</v>
      </c>
      <c r="D115" s="56" t="s">
        <v>161</v>
      </c>
      <c r="E115" s="65">
        <v>3</v>
      </c>
      <c r="F115" s="65" t="s">
        <v>162</v>
      </c>
      <c r="G115" s="65" t="s">
        <v>162</v>
      </c>
      <c r="H115" s="65" t="s">
        <v>162</v>
      </c>
      <c r="I115" s="59" t="s">
        <v>191</v>
      </c>
      <c r="J115" s="59" t="s">
        <v>191</v>
      </c>
      <c r="K115" s="59" t="s">
        <v>191</v>
      </c>
      <c r="L115" s="59" t="s">
        <v>191</v>
      </c>
      <c r="M115" s="59" t="s">
        <v>191</v>
      </c>
      <c r="N115" s="57" t="e">
        <f t="shared" si="1"/>
        <v>#VALUE!</v>
      </c>
    </row>
    <row r="116" spans="1:14" s="78" customFormat="1" ht="39" customHeight="1" x14ac:dyDescent="0.25">
      <c r="A116" s="608"/>
      <c r="B116" s="647"/>
      <c r="C116" s="55" t="s">
        <v>279</v>
      </c>
      <c r="D116" s="51" t="s">
        <v>161</v>
      </c>
      <c r="E116" s="50">
        <v>2</v>
      </c>
      <c r="F116" s="59" t="s">
        <v>191</v>
      </c>
      <c r="G116" s="59" t="s">
        <v>191</v>
      </c>
      <c r="H116" s="50">
        <v>5</v>
      </c>
      <c r="I116" s="59" t="s">
        <v>191</v>
      </c>
      <c r="J116" s="59">
        <v>1</v>
      </c>
      <c r="K116" s="59">
        <v>1</v>
      </c>
      <c r="L116" s="59" t="s">
        <v>191</v>
      </c>
      <c r="M116" s="59" t="s">
        <v>191</v>
      </c>
      <c r="N116" s="57" t="e">
        <f t="shared" si="1"/>
        <v>#VALUE!</v>
      </c>
    </row>
    <row r="117" spans="1:14" s="78" customFormat="1" ht="31.2" customHeight="1" x14ac:dyDescent="0.25">
      <c r="A117" s="630"/>
      <c r="B117" s="632"/>
      <c r="C117" s="55" t="s">
        <v>280</v>
      </c>
      <c r="D117" s="56" t="s">
        <v>281</v>
      </c>
      <c r="E117" s="80" t="s">
        <v>191</v>
      </c>
      <c r="F117" s="72" t="s">
        <v>1473</v>
      </c>
      <c r="G117" s="80" t="s">
        <v>191</v>
      </c>
      <c r="H117" s="59" t="s">
        <v>191</v>
      </c>
      <c r="I117" s="59" t="s">
        <v>191</v>
      </c>
      <c r="J117" s="59" t="s">
        <v>191</v>
      </c>
      <c r="K117" s="57" t="s">
        <v>282</v>
      </c>
      <c r="L117" s="61" t="s">
        <v>283</v>
      </c>
      <c r="M117" s="61" t="s">
        <v>283</v>
      </c>
      <c r="N117" s="57" t="e">
        <f t="shared" si="1"/>
        <v>#VALUE!</v>
      </c>
    </row>
    <row r="118" spans="1:14" s="78" customFormat="1" ht="33" customHeight="1" x14ac:dyDescent="0.25">
      <c r="A118" s="630"/>
      <c r="B118" s="632"/>
      <c r="C118" s="55" t="s">
        <v>284</v>
      </c>
      <c r="D118" s="56" t="s">
        <v>285</v>
      </c>
      <c r="E118" s="80" t="s">
        <v>191</v>
      </c>
      <c r="F118" s="80" t="s">
        <v>191</v>
      </c>
      <c r="G118" s="72" t="s">
        <v>286</v>
      </c>
      <c r="H118" s="80" t="s">
        <v>191</v>
      </c>
      <c r="I118" s="59" t="s">
        <v>191</v>
      </c>
      <c r="J118" s="59" t="s">
        <v>191</v>
      </c>
      <c r="K118" s="59" t="s">
        <v>191</v>
      </c>
      <c r="L118" s="59" t="s">
        <v>191</v>
      </c>
      <c r="M118" s="59" t="s">
        <v>191</v>
      </c>
      <c r="N118" s="57" t="e">
        <f t="shared" si="1"/>
        <v>#VALUE!</v>
      </c>
    </row>
    <row r="119" spans="1:14" s="78" customFormat="1" ht="47.1" customHeight="1" x14ac:dyDescent="0.25">
      <c r="A119" s="630"/>
      <c r="B119" s="632"/>
      <c r="C119" s="55" t="s">
        <v>287</v>
      </c>
      <c r="D119" s="51" t="s">
        <v>161</v>
      </c>
      <c r="E119" s="80" t="s">
        <v>191</v>
      </c>
      <c r="F119" s="80"/>
      <c r="G119" s="72"/>
      <c r="H119" s="80"/>
      <c r="I119" s="59"/>
      <c r="J119" s="59"/>
      <c r="K119" s="59">
        <v>4</v>
      </c>
      <c r="L119" s="59">
        <v>6</v>
      </c>
      <c r="M119" s="59">
        <v>6</v>
      </c>
      <c r="N119" s="57">
        <f t="shared" si="1"/>
        <v>0</v>
      </c>
    </row>
    <row r="120" spans="1:14" s="78" customFormat="1" ht="35.4" customHeight="1" x14ac:dyDescent="0.25">
      <c r="A120" s="630"/>
      <c r="B120" s="632"/>
      <c r="C120" s="55" t="s">
        <v>288</v>
      </c>
      <c r="D120" s="56" t="s">
        <v>289</v>
      </c>
      <c r="E120" s="80" t="s">
        <v>191</v>
      </c>
      <c r="F120" s="80" t="s">
        <v>191</v>
      </c>
      <c r="G120" s="80" t="s">
        <v>191</v>
      </c>
      <c r="H120" s="80" t="s">
        <v>191</v>
      </c>
      <c r="I120" s="59" t="s">
        <v>191</v>
      </c>
      <c r="J120" s="59" t="s">
        <v>191</v>
      </c>
      <c r="K120" s="59" t="s">
        <v>191</v>
      </c>
      <c r="L120" s="59" t="s">
        <v>191</v>
      </c>
      <c r="M120" s="59" t="s">
        <v>191</v>
      </c>
      <c r="N120" s="57" t="e">
        <f t="shared" si="1"/>
        <v>#VALUE!</v>
      </c>
    </row>
    <row r="121" spans="1:14" s="78" customFormat="1" ht="48" customHeight="1" x14ac:dyDescent="0.25">
      <c r="A121" s="599">
        <v>64</v>
      </c>
      <c r="B121" s="631" t="s">
        <v>82</v>
      </c>
      <c r="C121" s="69" t="s">
        <v>290</v>
      </c>
      <c r="D121" s="79" t="s">
        <v>161</v>
      </c>
      <c r="E121" s="65" t="s">
        <v>162</v>
      </c>
      <c r="F121" s="65" t="s">
        <v>162</v>
      </c>
      <c r="G121" s="65">
        <v>1</v>
      </c>
      <c r="H121" s="80" t="s">
        <v>191</v>
      </c>
      <c r="I121" s="59" t="s">
        <v>191</v>
      </c>
      <c r="J121" s="59" t="s">
        <v>191</v>
      </c>
      <c r="K121" s="59" t="s">
        <v>191</v>
      </c>
      <c r="L121" s="59" t="s">
        <v>191</v>
      </c>
      <c r="M121" s="59" t="s">
        <v>191</v>
      </c>
      <c r="N121" s="57" t="e">
        <f t="shared" si="1"/>
        <v>#VALUE!</v>
      </c>
    </row>
    <row r="122" spans="1:14" s="78" customFormat="1" ht="47.4" customHeight="1" x14ac:dyDescent="0.25">
      <c r="A122" s="599"/>
      <c r="B122" s="631"/>
      <c r="C122" s="55" t="s">
        <v>291</v>
      </c>
      <c r="D122" s="51" t="s">
        <v>161</v>
      </c>
      <c r="E122" s="65">
        <v>1</v>
      </c>
      <c r="F122" s="65" t="s">
        <v>191</v>
      </c>
      <c r="G122" s="65" t="s">
        <v>191</v>
      </c>
      <c r="H122" s="65" t="s">
        <v>191</v>
      </c>
      <c r="I122" s="59" t="s">
        <v>191</v>
      </c>
      <c r="J122" s="59" t="s">
        <v>191</v>
      </c>
      <c r="K122" s="59" t="s">
        <v>191</v>
      </c>
      <c r="L122" s="59" t="s">
        <v>191</v>
      </c>
      <c r="M122" s="59" t="s">
        <v>191</v>
      </c>
      <c r="N122" s="57" t="e">
        <f t="shared" si="1"/>
        <v>#VALUE!</v>
      </c>
    </row>
    <row r="123" spans="1:14" s="78" customFormat="1" ht="36.6" customHeight="1" x14ac:dyDescent="0.25">
      <c r="A123" s="630"/>
      <c r="B123" s="632"/>
      <c r="C123" s="69" t="s">
        <v>292</v>
      </c>
      <c r="D123" s="56" t="s">
        <v>293</v>
      </c>
      <c r="E123" s="72">
        <v>19.100000000000001</v>
      </c>
      <c r="F123" s="72" t="s">
        <v>1474</v>
      </c>
      <c r="G123" s="65" t="s">
        <v>191</v>
      </c>
      <c r="H123" s="59" t="s">
        <v>191</v>
      </c>
      <c r="I123" s="59" t="s">
        <v>191</v>
      </c>
      <c r="J123" s="59" t="s">
        <v>191</v>
      </c>
      <c r="K123" s="59" t="s">
        <v>191</v>
      </c>
      <c r="L123" s="59" t="s">
        <v>191</v>
      </c>
      <c r="M123" s="59" t="s">
        <v>191</v>
      </c>
      <c r="N123" s="57" t="e">
        <f t="shared" si="1"/>
        <v>#VALUE!</v>
      </c>
    </row>
    <row r="124" spans="1:14" s="78" customFormat="1" ht="35.4" customHeight="1" x14ac:dyDescent="0.25">
      <c r="A124" s="630"/>
      <c r="B124" s="632"/>
      <c r="C124" s="69" t="s">
        <v>294</v>
      </c>
      <c r="D124" s="56" t="s">
        <v>289</v>
      </c>
      <c r="E124" s="59" t="s">
        <v>191</v>
      </c>
      <c r="F124" s="59" t="s">
        <v>191</v>
      </c>
      <c r="G124" s="59" t="s">
        <v>191</v>
      </c>
      <c r="H124" s="59" t="s">
        <v>191</v>
      </c>
      <c r="I124" s="59" t="s">
        <v>191</v>
      </c>
      <c r="J124" s="59" t="s">
        <v>191</v>
      </c>
      <c r="K124" s="59" t="s">
        <v>191</v>
      </c>
      <c r="L124" s="59" t="s">
        <v>191</v>
      </c>
      <c r="M124" s="59" t="s">
        <v>191</v>
      </c>
      <c r="N124" s="57" t="e">
        <f t="shared" si="1"/>
        <v>#VALUE!</v>
      </c>
    </row>
    <row r="125" spans="1:14" s="78" customFormat="1" ht="40.200000000000003" customHeight="1" x14ac:dyDescent="0.25">
      <c r="A125" s="604">
        <v>65</v>
      </c>
      <c r="B125" s="647" t="s">
        <v>150</v>
      </c>
      <c r="C125" s="69" t="s">
        <v>295</v>
      </c>
      <c r="D125" s="51" t="s">
        <v>161</v>
      </c>
      <c r="E125" s="65">
        <v>2</v>
      </c>
      <c r="F125" s="80" t="s">
        <v>191</v>
      </c>
      <c r="G125" s="59">
        <v>4</v>
      </c>
      <c r="H125" s="80" t="s">
        <v>191</v>
      </c>
      <c r="I125" s="59">
        <v>3</v>
      </c>
      <c r="J125" s="59" t="s">
        <v>191</v>
      </c>
      <c r="K125" s="59" t="s">
        <v>191</v>
      </c>
      <c r="L125" s="66">
        <v>3</v>
      </c>
      <c r="M125" s="59">
        <v>2</v>
      </c>
      <c r="N125" s="57">
        <f t="shared" si="1"/>
        <v>1</v>
      </c>
    </row>
    <row r="126" spans="1:14" s="78" customFormat="1" ht="36" customHeight="1" x14ac:dyDescent="0.25">
      <c r="A126" s="641"/>
      <c r="B126" s="647"/>
      <c r="C126" s="69" t="s">
        <v>296</v>
      </c>
      <c r="D126" s="51" t="s">
        <v>161</v>
      </c>
      <c r="E126" s="65">
        <v>31</v>
      </c>
      <c r="F126" s="80" t="s">
        <v>191</v>
      </c>
      <c r="G126" s="80" t="s">
        <v>191</v>
      </c>
      <c r="H126" s="59">
        <v>32</v>
      </c>
      <c r="I126" s="59" t="s">
        <v>191</v>
      </c>
      <c r="J126" s="59">
        <v>40</v>
      </c>
      <c r="K126" s="59" t="s">
        <v>191</v>
      </c>
      <c r="L126" s="59">
        <v>6</v>
      </c>
      <c r="M126" s="59">
        <v>5</v>
      </c>
      <c r="N126" s="57">
        <f t="shared" si="1"/>
        <v>1</v>
      </c>
    </row>
    <row r="127" spans="1:14" s="78" customFormat="1" ht="51.6" customHeight="1" x14ac:dyDescent="0.25">
      <c r="A127" s="641"/>
      <c r="B127" s="647"/>
      <c r="C127" s="69" t="s">
        <v>297</v>
      </c>
      <c r="D127" s="51" t="s">
        <v>161</v>
      </c>
      <c r="E127" s="80" t="s">
        <v>191</v>
      </c>
      <c r="F127" s="80" t="s">
        <v>191</v>
      </c>
      <c r="G127" s="80" t="s">
        <v>191</v>
      </c>
      <c r="H127" s="80" t="s">
        <v>191</v>
      </c>
      <c r="I127" s="80" t="s">
        <v>191</v>
      </c>
      <c r="J127" s="80" t="s">
        <v>191</v>
      </c>
      <c r="K127" s="59">
        <v>1</v>
      </c>
      <c r="L127" s="80" t="s">
        <v>191</v>
      </c>
      <c r="M127" s="147" t="s">
        <v>191</v>
      </c>
      <c r="N127" s="57" t="e">
        <f t="shared" si="1"/>
        <v>#VALUE!</v>
      </c>
    </row>
    <row r="128" spans="1:14" s="78" customFormat="1" ht="33.6" customHeight="1" x14ac:dyDescent="0.25">
      <c r="A128" s="641"/>
      <c r="B128" s="647"/>
      <c r="C128" s="69" t="s">
        <v>298</v>
      </c>
      <c r="D128" s="51" t="s">
        <v>299</v>
      </c>
      <c r="E128" s="80" t="s">
        <v>191</v>
      </c>
      <c r="F128" s="80" t="s">
        <v>191</v>
      </c>
      <c r="G128" s="80" t="s">
        <v>191</v>
      </c>
      <c r="H128" s="80" t="s">
        <v>191</v>
      </c>
      <c r="I128" s="59" t="s">
        <v>191</v>
      </c>
      <c r="J128" s="59" t="s">
        <v>191</v>
      </c>
      <c r="K128" s="57">
        <v>33.46</v>
      </c>
      <c r="L128" s="162">
        <v>14.93</v>
      </c>
      <c r="M128" s="57">
        <v>14.93</v>
      </c>
      <c r="N128" s="57">
        <v>7.99</v>
      </c>
    </row>
    <row r="129" spans="1:36" s="78" customFormat="1" ht="21.6" customHeight="1" x14ac:dyDescent="0.25">
      <c r="A129" s="641"/>
      <c r="B129" s="647"/>
      <c r="C129" s="69" t="s">
        <v>300</v>
      </c>
      <c r="D129" s="51" t="s">
        <v>161</v>
      </c>
      <c r="E129" s="80" t="s">
        <v>191</v>
      </c>
      <c r="F129" s="80" t="s">
        <v>191</v>
      </c>
      <c r="G129" s="80" t="s">
        <v>191</v>
      </c>
      <c r="H129" s="80" t="s">
        <v>191</v>
      </c>
      <c r="I129" s="59" t="s">
        <v>191</v>
      </c>
      <c r="J129" s="59" t="s">
        <v>191</v>
      </c>
      <c r="K129" s="59" t="s">
        <v>191</v>
      </c>
      <c r="L129" s="66">
        <v>65</v>
      </c>
      <c r="M129" s="59">
        <v>5</v>
      </c>
      <c r="N129" s="57">
        <v>65</v>
      </c>
    </row>
    <row r="130" spans="1:36" s="78" customFormat="1" ht="50.4" customHeight="1" x14ac:dyDescent="0.25">
      <c r="A130" s="605"/>
      <c r="B130" s="69" t="s">
        <v>128</v>
      </c>
      <c r="C130" s="81" t="s">
        <v>301</v>
      </c>
      <c r="D130" s="56" t="s">
        <v>239</v>
      </c>
      <c r="E130" s="59" t="s">
        <v>191</v>
      </c>
      <c r="F130" s="59" t="s">
        <v>191</v>
      </c>
      <c r="G130" s="59" t="s">
        <v>191</v>
      </c>
      <c r="H130" s="59" t="s">
        <v>191</v>
      </c>
      <c r="I130" s="59" t="s">
        <v>191</v>
      </c>
      <c r="J130" s="59" t="s">
        <v>191</v>
      </c>
      <c r="K130" s="67">
        <v>100</v>
      </c>
      <c r="L130" s="59" t="s">
        <v>191</v>
      </c>
      <c r="M130" s="59" t="s">
        <v>191</v>
      </c>
      <c r="N130" s="57" t="e">
        <f t="shared" si="1"/>
        <v>#VALUE!</v>
      </c>
    </row>
    <row r="131" spans="1:36" s="78" customFormat="1" ht="42.6" customHeight="1" x14ac:dyDescent="0.25">
      <c r="A131" s="50">
        <v>66</v>
      </c>
      <c r="B131" s="69" t="s">
        <v>88</v>
      </c>
      <c r="C131" s="69" t="s">
        <v>302</v>
      </c>
      <c r="D131" s="56" t="s">
        <v>242</v>
      </c>
      <c r="E131" s="72">
        <v>46.9</v>
      </c>
      <c r="F131" s="72">
        <v>8</v>
      </c>
      <c r="G131" s="57">
        <v>50.2</v>
      </c>
      <c r="H131" s="59" t="s">
        <v>191</v>
      </c>
      <c r="I131" s="59" t="s">
        <v>191</v>
      </c>
      <c r="J131" s="59" t="s">
        <v>191</v>
      </c>
      <c r="K131" s="59" t="s">
        <v>191</v>
      </c>
      <c r="L131" s="162">
        <v>14.38</v>
      </c>
      <c r="M131" s="57">
        <v>14.38</v>
      </c>
      <c r="N131" s="57">
        <v>10.45</v>
      </c>
    </row>
    <row r="132" spans="1:36" s="78" customFormat="1" ht="33" customHeight="1" x14ac:dyDescent="0.25">
      <c r="A132" s="604">
        <v>67</v>
      </c>
      <c r="B132" s="622" t="s">
        <v>303</v>
      </c>
      <c r="C132" s="69" t="s">
        <v>304</v>
      </c>
      <c r="D132" s="56" t="s">
        <v>242</v>
      </c>
      <c r="E132" s="72">
        <v>908.8</v>
      </c>
      <c r="F132" s="72">
        <v>510.2</v>
      </c>
      <c r="G132" s="72">
        <v>188.02</v>
      </c>
      <c r="H132" s="72">
        <v>692.11300000000006</v>
      </c>
      <c r="I132" s="57">
        <v>829.16</v>
      </c>
      <c r="J132" s="57">
        <v>322.77999999999997</v>
      </c>
      <c r="K132" s="57">
        <v>257.52999999999997</v>
      </c>
      <c r="L132" s="162">
        <v>262.62</v>
      </c>
      <c r="M132" s="57">
        <v>210.83</v>
      </c>
      <c r="N132" s="57">
        <v>261.02999999999997</v>
      </c>
    </row>
    <row r="133" spans="1:36" s="78" customFormat="1" ht="22.35" customHeight="1" x14ac:dyDescent="0.25">
      <c r="A133" s="641"/>
      <c r="B133" s="648"/>
      <c r="C133" s="82" t="s">
        <v>305</v>
      </c>
      <c r="D133" s="51" t="s">
        <v>161</v>
      </c>
      <c r="E133" s="59" t="s">
        <v>191</v>
      </c>
      <c r="F133" s="72"/>
      <c r="G133" s="72"/>
      <c r="H133" s="72"/>
      <c r="I133" s="57"/>
      <c r="J133" s="57"/>
      <c r="K133" s="59">
        <v>4</v>
      </c>
      <c r="L133" s="59" t="s">
        <v>191</v>
      </c>
      <c r="M133" s="59" t="s">
        <v>191</v>
      </c>
      <c r="N133" s="57" t="e">
        <f t="shared" si="1"/>
        <v>#VALUE!</v>
      </c>
    </row>
    <row r="134" spans="1:36" s="78" customFormat="1" ht="59.4" customHeight="1" x14ac:dyDescent="0.25">
      <c r="A134" s="641"/>
      <c r="B134" s="648"/>
      <c r="C134" s="55" t="s">
        <v>306</v>
      </c>
      <c r="D134" s="51" t="s">
        <v>161</v>
      </c>
      <c r="E134" s="59" t="s">
        <v>191</v>
      </c>
      <c r="F134" s="72"/>
      <c r="G134" s="72"/>
      <c r="H134" s="72"/>
      <c r="I134" s="57"/>
      <c r="J134" s="57"/>
      <c r="K134" s="59">
        <v>19</v>
      </c>
      <c r="L134" s="59" t="s">
        <v>191</v>
      </c>
      <c r="M134" s="59" t="s">
        <v>191</v>
      </c>
      <c r="N134" s="57" t="e">
        <f t="shared" si="1"/>
        <v>#VALUE!</v>
      </c>
    </row>
    <row r="135" spans="1:36" s="78" customFormat="1" ht="34.65" customHeight="1" x14ac:dyDescent="0.25">
      <c r="A135" s="641"/>
      <c r="B135" s="648"/>
      <c r="C135" s="83" t="s">
        <v>307</v>
      </c>
      <c r="D135" s="51" t="s">
        <v>161</v>
      </c>
      <c r="E135" s="59" t="s">
        <v>191</v>
      </c>
      <c r="F135" s="72"/>
      <c r="G135" s="72"/>
      <c r="H135" s="72"/>
      <c r="I135" s="57"/>
      <c r="J135" s="57"/>
      <c r="K135" s="59">
        <v>54</v>
      </c>
      <c r="L135" s="59" t="s">
        <v>191</v>
      </c>
      <c r="M135" s="59" t="s">
        <v>191</v>
      </c>
      <c r="N135" s="57" t="e">
        <f t="shared" si="1"/>
        <v>#VALUE!</v>
      </c>
    </row>
    <row r="136" spans="1:36" s="78" customFormat="1" ht="22.65" customHeight="1" x14ac:dyDescent="0.25">
      <c r="A136" s="641"/>
      <c r="B136" s="648"/>
      <c r="C136" s="83" t="s">
        <v>308</v>
      </c>
      <c r="D136" s="51" t="s">
        <v>161</v>
      </c>
      <c r="E136" s="59" t="s">
        <v>191</v>
      </c>
      <c r="F136" s="72"/>
      <c r="G136" s="72"/>
      <c r="H136" s="72"/>
      <c r="I136" s="57"/>
      <c r="J136" s="57"/>
      <c r="K136" s="59">
        <v>4</v>
      </c>
      <c r="L136" s="59" t="s">
        <v>191</v>
      </c>
      <c r="M136" s="59" t="s">
        <v>191</v>
      </c>
      <c r="N136" s="57" t="e">
        <f t="shared" si="1"/>
        <v>#VALUE!</v>
      </c>
    </row>
    <row r="137" spans="1:36" s="78" customFormat="1" ht="48.6" customHeight="1" x14ac:dyDescent="0.25">
      <c r="A137" s="641"/>
      <c r="B137" s="648"/>
      <c r="C137" s="84" t="s">
        <v>309</v>
      </c>
      <c r="D137" s="56" t="s">
        <v>161</v>
      </c>
      <c r="E137" s="59" t="s">
        <v>191</v>
      </c>
      <c r="F137" s="59" t="s">
        <v>191</v>
      </c>
      <c r="G137" s="59" t="s">
        <v>191</v>
      </c>
      <c r="H137" s="59" t="s">
        <v>191</v>
      </c>
      <c r="I137" s="59" t="s">
        <v>191</v>
      </c>
      <c r="J137" s="59">
        <v>1</v>
      </c>
      <c r="K137" s="59">
        <v>2</v>
      </c>
      <c r="L137" s="59" t="s">
        <v>191</v>
      </c>
      <c r="M137" s="59" t="s">
        <v>191</v>
      </c>
      <c r="N137" s="57" t="e">
        <f t="shared" si="1"/>
        <v>#VALUE!</v>
      </c>
    </row>
    <row r="138" spans="1:36" s="78" customFormat="1" ht="33" customHeight="1" x14ac:dyDescent="0.25">
      <c r="A138" s="641"/>
      <c r="B138" s="648"/>
      <c r="C138" s="84" t="s">
        <v>310</v>
      </c>
      <c r="D138" s="56" t="s">
        <v>161</v>
      </c>
      <c r="E138" s="59" t="s">
        <v>191</v>
      </c>
      <c r="F138" s="59" t="s">
        <v>191</v>
      </c>
      <c r="G138" s="59" t="s">
        <v>191</v>
      </c>
      <c r="H138" s="59" t="s">
        <v>191</v>
      </c>
      <c r="I138" s="59" t="s">
        <v>191</v>
      </c>
      <c r="J138" s="59" t="s">
        <v>191</v>
      </c>
      <c r="K138" s="59">
        <v>15</v>
      </c>
      <c r="L138" s="59" t="s">
        <v>191</v>
      </c>
      <c r="M138" s="59" t="s">
        <v>191</v>
      </c>
      <c r="N138" s="57" t="e">
        <f t="shared" si="1"/>
        <v>#VALUE!</v>
      </c>
    </row>
    <row r="139" spans="1:36" s="78" customFormat="1" ht="29.4" customHeight="1" x14ac:dyDescent="0.25">
      <c r="A139" s="605"/>
      <c r="B139" s="623"/>
      <c r="C139" s="71" t="s">
        <v>172</v>
      </c>
      <c r="D139" s="56" t="s">
        <v>161</v>
      </c>
      <c r="E139" s="59" t="s">
        <v>191</v>
      </c>
      <c r="F139" s="59" t="s">
        <v>191</v>
      </c>
      <c r="G139" s="59" t="s">
        <v>191</v>
      </c>
      <c r="H139" s="59" t="s">
        <v>191</v>
      </c>
      <c r="I139" s="59" t="s">
        <v>191</v>
      </c>
      <c r="J139" s="59">
        <v>1</v>
      </c>
      <c r="K139" s="59" t="s">
        <v>191</v>
      </c>
      <c r="L139" s="59" t="s">
        <v>191</v>
      </c>
      <c r="M139" s="59" t="s">
        <v>191</v>
      </c>
      <c r="N139" s="57" t="e">
        <f t="shared" si="1"/>
        <v>#VALUE!</v>
      </c>
    </row>
    <row r="140" spans="1:36" s="78" customFormat="1" ht="39.6" customHeight="1" x14ac:dyDescent="0.25">
      <c r="A140" s="604">
        <v>68</v>
      </c>
      <c r="B140" s="606" t="s">
        <v>149</v>
      </c>
      <c r="C140" s="85" t="s">
        <v>311</v>
      </c>
      <c r="D140" s="56" t="s">
        <v>242</v>
      </c>
      <c r="E140" s="65">
        <v>404.46</v>
      </c>
      <c r="F140" s="72">
        <v>307.01</v>
      </c>
      <c r="G140" s="57">
        <v>285.39999999999998</v>
      </c>
      <c r="H140" s="86">
        <v>263.8</v>
      </c>
      <c r="I140" s="86">
        <v>71.11</v>
      </c>
      <c r="J140" s="57">
        <v>116.97</v>
      </c>
      <c r="K140" s="57">
        <v>277.38</v>
      </c>
      <c r="L140" s="57">
        <v>170.28</v>
      </c>
      <c r="M140" s="57">
        <v>49</v>
      </c>
      <c r="N140" s="57">
        <f t="shared" si="1"/>
        <v>121.28</v>
      </c>
    </row>
    <row r="141" spans="1:36" s="78" customFormat="1" ht="62.4" customHeight="1" x14ac:dyDescent="0.25">
      <c r="A141" s="641"/>
      <c r="B141" s="607"/>
      <c r="C141" s="84" t="s">
        <v>312</v>
      </c>
      <c r="D141" s="56" t="s">
        <v>161</v>
      </c>
      <c r="E141" s="59" t="s">
        <v>191</v>
      </c>
      <c r="F141" s="59" t="s">
        <v>191</v>
      </c>
      <c r="G141" s="59" t="s">
        <v>191</v>
      </c>
      <c r="H141" s="59" t="s">
        <v>191</v>
      </c>
      <c r="I141" s="59" t="s">
        <v>191</v>
      </c>
      <c r="J141" s="59" t="s">
        <v>191</v>
      </c>
      <c r="K141" s="59">
        <v>2</v>
      </c>
      <c r="L141" s="59" t="s">
        <v>191</v>
      </c>
      <c r="M141" s="59" t="s">
        <v>191</v>
      </c>
      <c r="N141" s="57" t="e">
        <f t="shared" si="1"/>
        <v>#VALUE!</v>
      </c>
    </row>
    <row r="142" spans="1:36" s="78" customFormat="1" ht="48.6" customHeight="1" x14ac:dyDescent="0.25">
      <c r="A142" s="605"/>
      <c r="B142" s="69" t="s">
        <v>128</v>
      </c>
      <c r="C142" s="81" t="s">
        <v>301</v>
      </c>
      <c r="D142" s="56" t="s">
        <v>239</v>
      </c>
      <c r="E142" s="59" t="s">
        <v>191</v>
      </c>
      <c r="F142" s="59" t="s">
        <v>191</v>
      </c>
      <c r="G142" s="59" t="s">
        <v>191</v>
      </c>
      <c r="H142" s="59" t="s">
        <v>191</v>
      </c>
      <c r="I142" s="59" t="s">
        <v>191</v>
      </c>
      <c r="J142" s="67">
        <v>100</v>
      </c>
      <c r="K142" s="59" t="s">
        <v>191</v>
      </c>
      <c r="L142" s="59" t="s">
        <v>191</v>
      </c>
      <c r="M142" s="59" t="s">
        <v>191</v>
      </c>
      <c r="N142" s="57" t="e">
        <f t="shared" si="1"/>
        <v>#VALUE!</v>
      </c>
    </row>
    <row r="143" spans="1:36" s="78" customFormat="1" ht="41.1" customHeight="1" x14ac:dyDescent="0.25">
      <c r="A143" s="612" t="s">
        <v>89</v>
      </c>
      <c r="B143" s="613"/>
      <c r="C143" s="613"/>
      <c r="D143" s="613"/>
      <c r="E143" s="613"/>
      <c r="F143" s="613"/>
      <c r="G143" s="613"/>
      <c r="H143" s="613"/>
      <c r="I143" s="613"/>
      <c r="J143" s="613"/>
      <c r="K143" s="613"/>
      <c r="L143" s="614"/>
      <c r="N143" s="57">
        <f t="shared" si="1"/>
        <v>0</v>
      </c>
    </row>
    <row r="144" spans="1:36" s="88" customFormat="1" ht="26.4" customHeight="1" x14ac:dyDescent="0.25">
      <c r="A144" s="633" t="s">
        <v>97</v>
      </c>
      <c r="B144" s="633"/>
      <c r="C144" s="633"/>
      <c r="D144" s="633"/>
      <c r="E144" s="633"/>
      <c r="F144" s="633"/>
      <c r="G144" s="633"/>
      <c r="H144" s="633"/>
      <c r="I144" s="633"/>
      <c r="J144" s="633"/>
      <c r="K144" s="633"/>
      <c r="L144" s="633"/>
      <c r="M144" s="52"/>
      <c r="N144" s="57">
        <f t="shared" si="1"/>
        <v>0</v>
      </c>
      <c r="O144" s="52"/>
      <c r="P144" s="52"/>
      <c r="Q144" s="52"/>
      <c r="R144" s="52"/>
      <c r="S144" s="52"/>
      <c r="T144" s="52"/>
      <c r="U144" s="52"/>
      <c r="V144" s="52"/>
      <c r="W144" s="52"/>
      <c r="X144" s="52"/>
      <c r="Y144" s="52"/>
      <c r="Z144" s="52"/>
      <c r="AA144" s="52"/>
      <c r="AB144" s="52"/>
      <c r="AC144" s="52"/>
      <c r="AD144" s="52"/>
      <c r="AE144" s="52"/>
      <c r="AF144" s="52"/>
      <c r="AG144" s="52"/>
      <c r="AH144" s="52"/>
      <c r="AI144" s="52"/>
      <c r="AJ144" s="87"/>
    </row>
    <row r="145" spans="1:36" s="88" customFormat="1" ht="36.6" customHeight="1" x14ac:dyDescent="0.25">
      <c r="A145" s="624" t="s">
        <v>313</v>
      </c>
      <c r="B145" s="624"/>
      <c r="C145" s="624"/>
      <c r="D145" s="624"/>
      <c r="E145" s="624"/>
      <c r="F145" s="624"/>
      <c r="G145" s="624"/>
      <c r="H145" s="624"/>
      <c r="I145" s="624"/>
      <c r="J145" s="624"/>
      <c r="K145" s="624"/>
      <c r="L145" s="624"/>
      <c r="M145" s="52"/>
      <c r="N145" s="57">
        <f t="shared" si="1"/>
        <v>0</v>
      </c>
      <c r="O145" s="52"/>
      <c r="P145" s="52"/>
      <c r="Q145" s="52"/>
      <c r="R145" s="52"/>
      <c r="S145" s="52"/>
      <c r="T145" s="52"/>
      <c r="U145" s="52"/>
      <c r="V145" s="52"/>
      <c r="W145" s="52"/>
      <c r="X145" s="52"/>
      <c r="Y145" s="52"/>
      <c r="Z145" s="52"/>
      <c r="AA145" s="52"/>
      <c r="AB145" s="52"/>
      <c r="AC145" s="52"/>
      <c r="AD145" s="52"/>
      <c r="AE145" s="52"/>
      <c r="AF145" s="52"/>
      <c r="AG145" s="52"/>
      <c r="AH145" s="52"/>
      <c r="AI145" s="52"/>
      <c r="AJ145" s="87"/>
    </row>
    <row r="146" spans="1:36" s="88" customFormat="1" ht="24" customHeight="1" x14ac:dyDescent="0.25">
      <c r="A146" s="624" t="s">
        <v>72</v>
      </c>
      <c r="B146" s="624"/>
      <c r="C146" s="624"/>
      <c r="D146" s="624"/>
      <c r="E146" s="624"/>
      <c r="F146" s="624"/>
      <c r="G146" s="624"/>
      <c r="H146" s="624"/>
      <c r="I146" s="624"/>
      <c r="J146" s="624"/>
      <c r="K146" s="624"/>
      <c r="L146" s="624"/>
      <c r="M146" s="52"/>
      <c r="N146" s="57">
        <f t="shared" si="1"/>
        <v>0</v>
      </c>
      <c r="O146" s="52"/>
      <c r="P146" s="52"/>
      <c r="Q146" s="52"/>
      <c r="R146" s="52"/>
      <c r="S146" s="52"/>
      <c r="T146" s="52"/>
      <c r="U146" s="52"/>
      <c r="V146" s="52"/>
      <c r="W146" s="52"/>
      <c r="X146" s="52"/>
      <c r="Y146" s="52"/>
      <c r="Z146" s="52"/>
      <c r="AA146" s="52"/>
      <c r="AB146" s="52"/>
      <c r="AC146" s="52"/>
      <c r="AD146" s="52"/>
      <c r="AE146" s="52"/>
      <c r="AF146" s="52"/>
      <c r="AG146" s="52"/>
      <c r="AH146" s="52"/>
      <c r="AI146" s="52"/>
      <c r="AJ146" s="87"/>
    </row>
    <row r="147" spans="1:36" s="88" customFormat="1" ht="64.349999999999994" customHeight="1" x14ac:dyDescent="0.25">
      <c r="A147" s="50">
        <v>69</v>
      </c>
      <c r="B147" s="55" t="s">
        <v>314</v>
      </c>
      <c r="C147" s="68" t="s">
        <v>315</v>
      </c>
      <c r="D147" s="56" t="s">
        <v>316</v>
      </c>
      <c r="E147" s="57" t="s">
        <v>162</v>
      </c>
      <c r="F147" s="72">
        <v>5875.4219999999996</v>
      </c>
      <c r="G147" s="72">
        <v>5932.1890000000003</v>
      </c>
      <c r="H147" s="89">
        <v>6024.7</v>
      </c>
      <c r="I147" s="89">
        <v>6024.7</v>
      </c>
      <c r="J147" s="72">
        <v>6177.04</v>
      </c>
      <c r="K147" s="72">
        <v>6198.3789999999999</v>
      </c>
      <c r="L147" s="72">
        <v>6198.3789999999999</v>
      </c>
      <c r="M147" s="72">
        <v>6198.3789999999999</v>
      </c>
      <c r="N147" s="57">
        <f t="shared" si="1"/>
        <v>0</v>
      </c>
      <c r="O147" s="52"/>
      <c r="P147" s="52"/>
      <c r="Q147" s="52"/>
      <c r="R147" s="52"/>
      <c r="S147" s="52"/>
      <c r="T147" s="52"/>
      <c r="U147" s="52"/>
      <c r="V147" s="52"/>
      <c r="W147" s="52"/>
      <c r="X147" s="52"/>
      <c r="Y147" s="52"/>
      <c r="Z147" s="52"/>
      <c r="AA147" s="52"/>
      <c r="AB147" s="52"/>
      <c r="AC147" s="52"/>
      <c r="AD147" s="52"/>
      <c r="AE147" s="52"/>
      <c r="AF147" s="52"/>
      <c r="AG147" s="52"/>
      <c r="AH147" s="52"/>
      <c r="AI147" s="52"/>
      <c r="AJ147" s="87"/>
    </row>
    <row r="148" spans="1:36" s="52" customFormat="1" ht="36" customHeight="1" x14ac:dyDescent="0.25">
      <c r="A148" s="50">
        <v>70</v>
      </c>
      <c r="B148" s="83" t="s">
        <v>317</v>
      </c>
      <c r="C148" s="55" t="s">
        <v>318</v>
      </c>
      <c r="D148" s="56" t="s">
        <v>316</v>
      </c>
      <c r="E148" s="57" t="s">
        <v>162</v>
      </c>
      <c r="F148" s="72">
        <v>0.74399999999999999</v>
      </c>
      <c r="G148" s="72">
        <v>0.42399999999999999</v>
      </c>
      <c r="H148" s="72">
        <v>0.42399999999999999</v>
      </c>
      <c r="I148" s="72">
        <v>0.42399999999999999</v>
      </c>
      <c r="J148" s="72">
        <v>1.95</v>
      </c>
      <c r="K148" s="72">
        <v>1.95</v>
      </c>
      <c r="L148" s="72">
        <v>1.95</v>
      </c>
      <c r="M148" s="72">
        <v>1.95</v>
      </c>
      <c r="N148" s="57">
        <f t="shared" si="1"/>
        <v>0</v>
      </c>
    </row>
    <row r="149" spans="1:36" s="54" customFormat="1" ht="25.35" customHeight="1" x14ac:dyDescent="0.25">
      <c r="A149" s="618" t="s">
        <v>319</v>
      </c>
      <c r="B149" s="618"/>
      <c r="C149" s="618"/>
      <c r="D149" s="618"/>
      <c r="E149" s="618"/>
      <c r="F149" s="618"/>
      <c r="G149" s="618"/>
      <c r="H149" s="618"/>
      <c r="I149" s="618"/>
      <c r="J149" s="618"/>
      <c r="K149" s="618"/>
      <c r="L149" s="618"/>
      <c r="N149" s="57">
        <f t="shared" si="1"/>
        <v>0</v>
      </c>
    </row>
    <row r="150" spans="1:36" s="52" customFormat="1" ht="36.6" customHeight="1" x14ac:dyDescent="0.25">
      <c r="A150" s="50">
        <v>71</v>
      </c>
      <c r="B150" s="83" t="s">
        <v>320</v>
      </c>
      <c r="C150" s="55" t="s">
        <v>321</v>
      </c>
      <c r="D150" s="56" t="s">
        <v>161</v>
      </c>
      <c r="E150" s="57" t="s">
        <v>162</v>
      </c>
      <c r="F150" s="64">
        <v>26</v>
      </c>
      <c r="G150" s="64">
        <v>27</v>
      </c>
      <c r="H150" s="64">
        <v>27</v>
      </c>
      <c r="I150" s="64">
        <v>29</v>
      </c>
      <c r="J150" s="64">
        <v>29</v>
      </c>
      <c r="K150" s="64">
        <v>29</v>
      </c>
      <c r="L150" s="64">
        <v>29</v>
      </c>
      <c r="M150" s="64">
        <v>29</v>
      </c>
      <c r="N150" s="57">
        <f t="shared" si="1"/>
        <v>0</v>
      </c>
    </row>
    <row r="151" spans="1:36" s="90" customFormat="1" ht="38.1" customHeight="1" x14ac:dyDescent="0.25">
      <c r="A151" s="50">
        <v>72</v>
      </c>
      <c r="B151" s="55" t="s">
        <v>322</v>
      </c>
      <c r="C151" s="55" t="s">
        <v>323</v>
      </c>
      <c r="D151" s="51" t="s">
        <v>161</v>
      </c>
      <c r="E151" s="50" t="s">
        <v>162</v>
      </c>
      <c r="F151" s="50">
        <v>3</v>
      </c>
      <c r="G151" s="50" t="s">
        <v>162</v>
      </c>
      <c r="H151" s="50" t="s">
        <v>162</v>
      </c>
      <c r="I151" s="50" t="s">
        <v>162</v>
      </c>
      <c r="J151" s="50" t="s">
        <v>162</v>
      </c>
      <c r="K151" s="50">
        <v>2</v>
      </c>
      <c r="L151" s="50" t="s">
        <v>162</v>
      </c>
      <c r="M151" s="146" t="s">
        <v>162</v>
      </c>
      <c r="N151" s="57" t="e">
        <f t="shared" si="1"/>
        <v>#VALUE!</v>
      </c>
    </row>
    <row r="152" spans="1:36" ht="52.35" customHeight="1" x14ac:dyDescent="0.25">
      <c r="A152" s="50">
        <v>73</v>
      </c>
      <c r="B152" s="83" t="s">
        <v>324</v>
      </c>
      <c r="C152" s="55" t="s">
        <v>325</v>
      </c>
      <c r="D152" s="56" t="s">
        <v>161</v>
      </c>
      <c r="E152" s="57" t="s">
        <v>162</v>
      </c>
      <c r="F152" s="64" t="s">
        <v>162</v>
      </c>
      <c r="G152" s="64" t="s">
        <v>162</v>
      </c>
      <c r="H152" s="64" t="s">
        <v>162</v>
      </c>
      <c r="I152" s="64">
        <v>1</v>
      </c>
      <c r="J152" s="64">
        <v>1</v>
      </c>
      <c r="K152" s="64">
        <v>1</v>
      </c>
      <c r="L152" s="64" t="s">
        <v>162</v>
      </c>
      <c r="M152" s="64" t="s">
        <v>162</v>
      </c>
      <c r="N152" s="57" t="e">
        <f t="shared" ref="N152:N153" si="2">L152-M152</f>
        <v>#VALUE!</v>
      </c>
    </row>
    <row r="153" spans="1:36" ht="40.35" customHeight="1" x14ac:dyDescent="0.25">
      <c r="A153" s="50">
        <v>74</v>
      </c>
      <c r="B153" s="82" t="s">
        <v>326</v>
      </c>
      <c r="C153" s="55" t="s">
        <v>327</v>
      </c>
      <c r="D153" s="56" t="s">
        <v>161</v>
      </c>
      <c r="E153" s="57" t="s">
        <v>162</v>
      </c>
      <c r="F153" s="64" t="s">
        <v>162</v>
      </c>
      <c r="G153" s="64" t="s">
        <v>162</v>
      </c>
      <c r="H153" s="64" t="s">
        <v>162</v>
      </c>
      <c r="I153" s="64" t="s">
        <v>162</v>
      </c>
      <c r="J153" s="64">
        <v>2</v>
      </c>
      <c r="K153" s="64" t="s">
        <v>162</v>
      </c>
      <c r="L153" s="64" t="s">
        <v>162</v>
      </c>
      <c r="M153" s="64" t="s">
        <v>162</v>
      </c>
      <c r="N153" s="57" t="e">
        <f t="shared" si="2"/>
        <v>#VALUE!</v>
      </c>
    </row>
    <row r="154" spans="1:36" ht="39" customHeight="1" x14ac:dyDescent="0.25">
      <c r="B154" s="96"/>
      <c r="C154" s="97"/>
      <c r="D154" s="96"/>
      <c r="E154" s="96"/>
      <c r="F154" s="96"/>
      <c r="G154" s="96"/>
      <c r="H154" s="96"/>
      <c r="I154" s="96"/>
      <c r="J154" s="96"/>
      <c r="K154" s="91"/>
    </row>
    <row r="178" spans="1:48" s="1" customFormat="1" ht="35.4" customHeight="1" x14ac:dyDescent="0.25">
      <c r="A178" s="640" t="s">
        <v>328</v>
      </c>
      <c r="B178" s="640"/>
      <c r="C178" s="640"/>
      <c r="D178" s="640"/>
      <c r="E178" s="640"/>
      <c r="F178" s="640"/>
      <c r="G178" s="640"/>
      <c r="H178" s="640"/>
      <c r="I178" s="640"/>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sheetData>
  <autoFilter ref="A15:WVT153" xr:uid="{00000000-0009-0000-0000-000002000000}"/>
  <mergeCells count="86">
    <mergeCell ref="A104:A106"/>
    <mergeCell ref="M79:M80"/>
    <mergeCell ref="J1:L1"/>
    <mergeCell ref="A149:L149"/>
    <mergeCell ref="A121:A124"/>
    <mergeCell ref="B121:B124"/>
    <mergeCell ref="A125:A130"/>
    <mergeCell ref="B125:B129"/>
    <mergeCell ref="A132:A139"/>
    <mergeCell ref="B132:B139"/>
    <mergeCell ref="A115:A120"/>
    <mergeCell ref="B115:B120"/>
    <mergeCell ref="A97:L97"/>
    <mergeCell ref="A98:A99"/>
    <mergeCell ref="B98:B99"/>
    <mergeCell ref="A107:L107"/>
    <mergeCell ref="A108:L108"/>
    <mergeCell ref="A109:L109"/>
    <mergeCell ref="A110:L110"/>
    <mergeCell ref="A178:I178"/>
    <mergeCell ref="A140:A142"/>
    <mergeCell ref="B140:B141"/>
    <mergeCell ref="A143:L143"/>
    <mergeCell ref="A144:L144"/>
    <mergeCell ref="A145:L145"/>
    <mergeCell ref="A146:L146"/>
    <mergeCell ref="A111:A114"/>
    <mergeCell ref="B111:B114"/>
    <mergeCell ref="A85:L85"/>
    <mergeCell ref="A86:L86"/>
    <mergeCell ref="A87:L87"/>
    <mergeCell ref="A93:L93"/>
    <mergeCell ref="C94:C95"/>
    <mergeCell ref="D94:D95"/>
    <mergeCell ref="E94:E95"/>
    <mergeCell ref="F94:F95"/>
    <mergeCell ref="G94:G95"/>
    <mergeCell ref="H94:H95"/>
    <mergeCell ref="I94:I95"/>
    <mergeCell ref="J94:J95"/>
    <mergeCell ref="K94:K95"/>
    <mergeCell ref="L94:L95"/>
    <mergeCell ref="A77:A78"/>
    <mergeCell ref="B77:B78"/>
    <mergeCell ref="A79:A80"/>
    <mergeCell ref="B79:B80"/>
    <mergeCell ref="A84:L84"/>
    <mergeCell ref="B104:B105"/>
    <mergeCell ref="A74:L74"/>
    <mergeCell ref="A31:A32"/>
    <mergeCell ref="B31:B32"/>
    <mergeCell ref="A34:A35"/>
    <mergeCell ref="B34:B35"/>
    <mergeCell ref="A38:L38"/>
    <mergeCell ref="A51:L51"/>
    <mergeCell ref="A56:A57"/>
    <mergeCell ref="B56:B57"/>
    <mergeCell ref="A69:L69"/>
    <mergeCell ref="A71:L71"/>
    <mergeCell ref="A73:L73"/>
    <mergeCell ref="A94:A96"/>
    <mergeCell ref="A75:L75"/>
    <mergeCell ref="A76:L76"/>
    <mergeCell ref="A26:A27"/>
    <mergeCell ref="B26:B27"/>
    <mergeCell ref="G13:G14"/>
    <mergeCell ref="H13:H14"/>
    <mergeCell ref="I13:I14"/>
    <mergeCell ref="A11:A14"/>
    <mergeCell ref="A16:L16"/>
    <mergeCell ref="A17:L17"/>
    <mergeCell ref="A18:L18"/>
    <mergeCell ref="A19:L19"/>
    <mergeCell ref="A20:L20"/>
    <mergeCell ref="J13:J14"/>
    <mergeCell ref="K13:K14"/>
    <mergeCell ref="L13:L14"/>
    <mergeCell ref="E2:L2"/>
    <mergeCell ref="E5:L5"/>
    <mergeCell ref="B7:J9"/>
    <mergeCell ref="B11:B14"/>
    <mergeCell ref="C11:C14"/>
    <mergeCell ref="D11:D14"/>
    <mergeCell ref="E11:E14"/>
    <mergeCell ref="F11:L12"/>
    <mergeCell ref="F13:F14"/>
  </mergeCells>
  <pageMargins left="0" right="0" top="0.43307086614173229" bottom="0.35433070866141736" header="0.39370078740157483" footer="0.15748031496062992"/>
  <pageSetup paperSize="9" scale="80" orientation="landscape" r:id="rId1"/>
  <headerFooter alignWithMargins="0"/>
  <rowBreaks count="7" manualBreakCount="7">
    <brk id="29" max="11" man="1"/>
    <brk id="61" max="11" man="1"/>
    <brk id="80" max="11" man="1"/>
    <brk id="93" max="11" man="1"/>
    <brk id="109" max="11" man="1"/>
    <brk id="124" max="11" man="1"/>
    <brk id="13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17"/>
  <sheetViews>
    <sheetView view="pageBreakPreview" zoomScale="70" zoomScaleNormal="85" zoomScaleSheetLayoutView="70" workbookViewId="0">
      <pane xSplit="13" ySplit="9" topLeftCell="Y79" activePane="bottomRight" state="frozen"/>
      <selection pane="topRight" activeCell="N1" sqref="N1"/>
      <selection pane="bottomLeft" activeCell="A10" sqref="A10"/>
      <selection pane="bottomRight" activeCell="C1" sqref="C1:AL1048576"/>
    </sheetView>
  </sheetViews>
  <sheetFormatPr defaultColWidth="9.109375" defaultRowHeight="43.5" customHeight="1" x14ac:dyDescent="0.25"/>
  <cols>
    <col min="1" max="1" width="3.44140625" style="100" customWidth="1"/>
    <col min="2" max="2" width="79.88671875" style="101" customWidth="1"/>
    <col min="3" max="3" width="8.88671875" style="133" customWidth="1"/>
    <col min="4" max="4" width="8.5546875" style="134" customWidth="1"/>
    <col min="5" max="5" width="5.88671875" style="134" customWidth="1"/>
    <col min="6" max="6" width="6.109375" style="134" customWidth="1"/>
    <col min="7" max="7" width="5.5546875" style="134" customWidth="1"/>
    <col min="8" max="8" width="8.5546875" style="133" customWidth="1"/>
    <col min="9" max="9" width="8.5546875" style="134" customWidth="1"/>
    <col min="10" max="10" width="6.44140625" style="134" customWidth="1"/>
    <col min="11" max="11" width="6.109375" style="134" customWidth="1"/>
    <col min="12" max="12" width="6" style="134" customWidth="1"/>
    <col min="13" max="13" width="8.5546875" style="133" customWidth="1"/>
    <col min="14" max="14" width="8.88671875" style="134" customWidth="1"/>
    <col min="15" max="15" width="5.88671875" style="134" customWidth="1"/>
    <col min="16" max="16" width="6.44140625" style="134" customWidth="1"/>
    <col min="17" max="17" width="6" style="134" customWidth="1"/>
    <col min="18" max="18" width="11.109375" style="133" customWidth="1"/>
    <col min="19" max="19" width="10.109375" style="134" customWidth="1"/>
    <col min="20" max="20" width="6.5546875" style="134" customWidth="1"/>
    <col min="21" max="22" width="5.88671875" style="134" customWidth="1"/>
    <col min="23" max="23" width="9.5546875" style="133" customWidth="1"/>
    <col min="24" max="24" width="10" style="134" customWidth="1"/>
    <col min="25" max="25" width="6.109375" style="134" customWidth="1"/>
    <col min="26" max="26" width="5.88671875" style="134" customWidth="1"/>
    <col min="27" max="27" width="6.44140625" style="134" customWidth="1"/>
    <col min="28" max="28" width="9.5546875" style="133" customWidth="1"/>
    <col min="29" max="29" width="9.88671875" style="134" customWidth="1"/>
    <col min="30" max="30" width="6.109375" style="134" customWidth="1"/>
    <col min="31" max="31" width="6" style="134" customWidth="1"/>
    <col min="32" max="32" width="5.88671875" style="134" customWidth="1"/>
    <col min="33" max="33" width="11.88671875" style="133" customWidth="1"/>
    <col min="34" max="34" width="12.5546875" style="134" customWidth="1"/>
    <col min="35" max="35" width="5.88671875" style="134" customWidth="1"/>
    <col min="36" max="36" width="6.109375" style="134" customWidth="1"/>
    <col min="37" max="37" width="5.88671875" style="134" customWidth="1"/>
    <col min="38" max="38" width="10.5546875" style="761" customWidth="1"/>
    <col min="39" max="39" width="10.5546875" style="100" bestFit="1" customWidth="1"/>
    <col min="40" max="16384" width="9.109375" style="100"/>
  </cols>
  <sheetData>
    <row r="1" spans="1:39" ht="74.099999999999994" customHeight="1" x14ac:dyDescent="0.3">
      <c r="AG1" s="719" t="s">
        <v>1484</v>
      </c>
      <c r="AH1" s="719"/>
      <c r="AI1" s="719"/>
      <c r="AJ1" s="719"/>
      <c r="AK1" s="719"/>
      <c r="AL1" s="719"/>
    </row>
    <row r="3" spans="1:39" s="101" customFormat="1" ht="78" customHeight="1" x14ac:dyDescent="0.3">
      <c r="A3" s="102"/>
      <c r="B3" s="103"/>
      <c r="C3" s="720"/>
      <c r="D3" s="721"/>
      <c r="E3" s="721"/>
      <c r="F3" s="721"/>
      <c r="G3" s="721"/>
      <c r="H3" s="722"/>
      <c r="I3" s="723"/>
      <c r="J3" s="723"/>
      <c r="K3" s="723"/>
      <c r="L3" s="723"/>
      <c r="M3" s="724"/>
      <c r="N3" s="724"/>
      <c r="O3" s="724"/>
      <c r="P3" s="724"/>
      <c r="Q3" s="724"/>
      <c r="R3" s="724"/>
      <c r="S3" s="724"/>
      <c r="T3" s="724"/>
      <c r="U3" s="724"/>
      <c r="V3" s="724"/>
      <c r="W3" s="724"/>
      <c r="X3" s="724"/>
      <c r="Y3" s="724"/>
      <c r="Z3" s="724"/>
      <c r="AA3" s="724"/>
      <c r="AB3" s="724"/>
      <c r="AC3" s="724"/>
      <c r="AD3" s="724"/>
      <c r="AE3" s="724"/>
      <c r="AF3" s="724"/>
      <c r="AG3" s="725" t="s">
        <v>330</v>
      </c>
      <c r="AH3" s="719"/>
      <c r="AI3" s="719"/>
      <c r="AJ3" s="719"/>
      <c r="AK3" s="719"/>
      <c r="AL3" s="719"/>
    </row>
    <row r="4" spans="1:39" ht="30.75" customHeight="1" x14ac:dyDescent="0.3">
      <c r="A4" s="104"/>
      <c r="B4" s="678" t="s">
        <v>331</v>
      </c>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c r="AL4" s="679"/>
    </row>
    <row r="5" spans="1:39" ht="1.35" customHeight="1" x14ac:dyDescent="0.4">
      <c r="A5" s="105"/>
      <c r="B5" s="106"/>
      <c r="C5" s="726"/>
      <c r="D5" s="726"/>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8"/>
      <c r="AK5" s="728"/>
      <c r="AL5" s="728"/>
      <c r="AM5" s="107"/>
    </row>
    <row r="6" spans="1:39" ht="21" customHeight="1" x14ac:dyDescent="0.25">
      <c r="A6" s="658" t="s">
        <v>4</v>
      </c>
      <c r="B6" s="675" t="s">
        <v>332</v>
      </c>
      <c r="C6" s="729" t="s">
        <v>333</v>
      </c>
      <c r="D6" s="730"/>
      <c r="E6" s="730"/>
      <c r="F6" s="730"/>
      <c r="G6" s="730"/>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2"/>
      <c r="AL6" s="733" t="s">
        <v>5</v>
      </c>
    </row>
    <row r="7" spans="1:39" ht="19.5" customHeight="1" x14ac:dyDescent="0.25">
      <c r="A7" s="674"/>
      <c r="B7" s="676"/>
      <c r="C7" s="734" t="s">
        <v>25</v>
      </c>
      <c r="D7" s="734"/>
      <c r="E7" s="734"/>
      <c r="F7" s="734"/>
      <c r="G7" s="734"/>
      <c r="H7" s="734" t="s">
        <v>26</v>
      </c>
      <c r="I7" s="734"/>
      <c r="J7" s="734"/>
      <c r="K7" s="734"/>
      <c r="L7" s="734"/>
      <c r="M7" s="734" t="s">
        <v>27</v>
      </c>
      <c r="N7" s="734"/>
      <c r="O7" s="734"/>
      <c r="P7" s="734"/>
      <c r="Q7" s="734"/>
      <c r="R7" s="734" t="s">
        <v>28</v>
      </c>
      <c r="S7" s="734"/>
      <c r="T7" s="734"/>
      <c r="U7" s="734"/>
      <c r="V7" s="734"/>
      <c r="W7" s="734" t="s">
        <v>29</v>
      </c>
      <c r="X7" s="734"/>
      <c r="Y7" s="734"/>
      <c r="Z7" s="734"/>
      <c r="AA7" s="734"/>
      <c r="AB7" s="734" t="s">
        <v>30</v>
      </c>
      <c r="AC7" s="734"/>
      <c r="AD7" s="734"/>
      <c r="AE7" s="734"/>
      <c r="AF7" s="734"/>
      <c r="AG7" s="734" t="s">
        <v>31</v>
      </c>
      <c r="AH7" s="734"/>
      <c r="AI7" s="734"/>
      <c r="AJ7" s="734"/>
      <c r="AK7" s="734"/>
      <c r="AL7" s="733"/>
    </row>
    <row r="8" spans="1:39" ht="78.599999999999994" customHeight="1" x14ac:dyDescent="0.25">
      <c r="A8" s="673"/>
      <c r="B8" s="677"/>
      <c r="C8" s="735" t="s">
        <v>6</v>
      </c>
      <c r="D8" s="736" t="s">
        <v>21</v>
      </c>
      <c r="E8" s="736" t="s">
        <v>22</v>
      </c>
      <c r="F8" s="736" t="s">
        <v>23</v>
      </c>
      <c r="G8" s="736" t="s">
        <v>24</v>
      </c>
      <c r="H8" s="737" t="s">
        <v>6</v>
      </c>
      <c r="I8" s="736" t="s">
        <v>21</v>
      </c>
      <c r="J8" s="736" t="s">
        <v>22</v>
      </c>
      <c r="K8" s="736" t="s">
        <v>23</v>
      </c>
      <c r="L8" s="736" t="s">
        <v>24</v>
      </c>
      <c r="M8" s="737" t="s">
        <v>6</v>
      </c>
      <c r="N8" s="736" t="s">
        <v>21</v>
      </c>
      <c r="O8" s="736" t="s">
        <v>22</v>
      </c>
      <c r="P8" s="736" t="s">
        <v>23</v>
      </c>
      <c r="Q8" s="736" t="s">
        <v>24</v>
      </c>
      <c r="R8" s="737" t="s">
        <v>6</v>
      </c>
      <c r="S8" s="736" t="s">
        <v>21</v>
      </c>
      <c r="T8" s="736" t="s">
        <v>22</v>
      </c>
      <c r="U8" s="736" t="s">
        <v>23</v>
      </c>
      <c r="V8" s="736" t="s">
        <v>24</v>
      </c>
      <c r="W8" s="737" t="s">
        <v>6</v>
      </c>
      <c r="X8" s="736" t="s">
        <v>21</v>
      </c>
      <c r="Y8" s="736" t="s">
        <v>22</v>
      </c>
      <c r="Z8" s="736" t="s">
        <v>23</v>
      </c>
      <c r="AA8" s="736" t="s">
        <v>24</v>
      </c>
      <c r="AB8" s="737" t="s">
        <v>6</v>
      </c>
      <c r="AC8" s="736" t="s">
        <v>21</v>
      </c>
      <c r="AD8" s="736" t="s">
        <v>22</v>
      </c>
      <c r="AE8" s="736" t="s">
        <v>23</v>
      </c>
      <c r="AF8" s="736" t="s">
        <v>24</v>
      </c>
      <c r="AG8" s="737" t="s">
        <v>6</v>
      </c>
      <c r="AH8" s="736" t="s">
        <v>21</v>
      </c>
      <c r="AI8" s="736" t="s">
        <v>22</v>
      </c>
      <c r="AJ8" s="736" t="s">
        <v>23</v>
      </c>
      <c r="AK8" s="736" t="s">
        <v>24</v>
      </c>
      <c r="AL8" s="733"/>
    </row>
    <row r="9" spans="1:39" s="110" customFormat="1" ht="16.5" customHeight="1" x14ac:dyDescent="0.25">
      <c r="A9" s="108">
        <v>1</v>
      </c>
      <c r="B9" s="109">
        <v>2</v>
      </c>
      <c r="C9" s="738">
        <v>3</v>
      </c>
      <c r="D9" s="738">
        <v>4</v>
      </c>
      <c r="E9" s="738">
        <v>5</v>
      </c>
      <c r="F9" s="738">
        <v>6</v>
      </c>
      <c r="G9" s="738">
        <v>7</v>
      </c>
      <c r="H9" s="738">
        <v>8</v>
      </c>
      <c r="I9" s="738">
        <v>9</v>
      </c>
      <c r="J9" s="738">
        <v>10</v>
      </c>
      <c r="K9" s="738">
        <v>11</v>
      </c>
      <c r="L9" s="738">
        <v>12</v>
      </c>
      <c r="M9" s="738">
        <v>13</v>
      </c>
      <c r="N9" s="738">
        <v>14</v>
      </c>
      <c r="O9" s="738">
        <v>15</v>
      </c>
      <c r="P9" s="738">
        <v>16</v>
      </c>
      <c r="Q9" s="738">
        <v>17</v>
      </c>
      <c r="R9" s="738">
        <v>18</v>
      </c>
      <c r="S9" s="738">
        <v>19</v>
      </c>
      <c r="T9" s="738">
        <v>20</v>
      </c>
      <c r="U9" s="738">
        <v>21</v>
      </c>
      <c r="V9" s="738">
        <v>22</v>
      </c>
      <c r="W9" s="738">
        <v>23</v>
      </c>
      <c r="X9" s="738">
        <v>24</v>
      </c>
      <c r="Y9" s="738">
        <v>25</v>
      </c>
      <c r="Z9" s="738">
        <v>26</v>
      </c>
      <c r="AA9" s="738">
        <v>27</v>
      </c>
      <c r="AB9" s="738">
        <v>28</v>
      </c>
      <c r="AC9" s="738">
        <v>29</v>
      </c>
      <c r="AD9" s="738">
        <v>30</v>
      </c>
      <c r="AE9" s="738">
        <v>31</v>
      </c>
      <c r="AF9" s="738">
        <v>32</v>
      </c>
      <c r="AG9" s="738">
        <v>33</v>
      </c>
      <c r="AH9" s="738">
        <v>34</v>
      </c>
      <c r="AI9" s="738">
        <v>35</v>
      </c>
      <c r="AJ9" s="738">
        <v>36</v>
      </c>
      <c r="AK9" s="738">
        <v>37</v>
      </c>
      <c r="AL9" s="739">
        <v>38</v>
      </c>
    </row>
    <row r="10" spans="1:39" ht="41.4" customHeight="1" x14ac:dyDescent="0.25">
      <c r="A10" s="185">
        <v>1</v>
      </c>
      <c r="B10" s="111" t="s">
        <v>334</v>
      </c>
      <c r="C10" s="538">
        <f t="shared" ref="C10:C15" si="0">SUM(D10:E10)</f>
        <v>0</v>
      </c>
      <c r="D10" s="740">
        <v>0</v>
      </c>
      <c r="E10" s="740">
        <v>0</v>
      </c>
      <c r="F10" s="740">
        <v>0</v>
      </c>
      <c r="G10" s="740">
        <v>0</v>
      </c>
      <c r="H10" s="538">
        <v>0</v>
      </c>
      <c r="I10" s="539">
        <v>0</v>
      </c>
      <c r="J10" s="539">
        <v>0</v>
      </c>
      <c r="K10" s="539">
        <v>0</v>
      </c>
      <c r="L10" s="539">
        <v>0</v>
      </c>
      <c r="M10" s="538">
        <f>SUM(N10:O10)</f>
        <v>0</v>
      </c>
      <c r="N10" s="539">
        <v>0</v>
      </c>
      <c r="O10" s="539">
        <v>0</v>
      </c>
      <c r="P10" s="539">
        <v>0</v>
      </c>
      <c r="Q10" s="539">
        <v>0</v>
      </c>
      <c r="R10" s="114">
        <v>0</v>
      </c>
      <c r="S10" s="112">
        <v>0</v>
      </c>
      <c r="T10" s="112">
        <v>0</v>
      </c>
      <c r="U10" s="112">
        <v>0</v>
      </c>
      <c r="V10" s="112">
        <v>0</v>
      </c>
      <c r="W10" s="114">
        <v>0</v>
      </c>
      <c r="X10" s="112">
        <v>0</v>
      </c>
      <c r="Y10" s="112">
        <v>0</v>
      </c>
      <c r="Z10" s="112">
        <v>0</v>
      </c>
      <c r="AA10" s="112">
        <v>0</v>
      </c>
      <c r="AB10" s="114">
        <v>0</v>
      </c>
      <c r="AC10" s="112">
        <v>0</v>
      </c>
      <c r="AD10" s="112">
        <v>0</v>
      </c>
      <c r="AE10" s="112">
        <v>0</v>
      </c>
      <c r="AF10" s="112">
        <v>0</v>
      </c>
      <c r="AG10" s="112">
        <v>0</v>
      </c>
      <c r="AH10" s="112">
        <v>0</v>
      </c>
      <c r="AI10" s="112">
        <v>0</v>
      </c>
      <c r="AJ10" s="112">
        <v>0</v>
      </c>
      <c r="AK10" s="112">
        <v>0</v>
      </c>
      <c r="AL10" s="114">
        <f>SUM(C10,H10,M10,R10,W10,AB10,AG10)</f>
        <v>0</v>
      </c>
    </row>
    <row r="11" spans="1:39" ht="24" customHeight="1" x14ac:dyDescent="0.25">
      <c r="A11" s="185">
        <v>2</v>
      </c>
      <c r="B11" s="111" t="s">
        <v>163</v>
      </c>
      <c r="C11" s="538">
        <f t="shared" si="0"/>
        <v>0</v>
      </c>
      <c r="D11" s="740">
        <v>0</v>
      </c>
      <c r="E11" s="740">
        <v>0</v>
      </c>
      <c r="F11" s="740">
        <v>0</v>
      </c>
      <c r="G11" s="740">
        <v>0</v>
      </c>
      <c r="H11" s="538">
        <v>0</v>
      </c>
      <c r="I11" s="539">
        <v>0</v>
      </c>
      <c r="J11" s="539">
        <v>0</v>
      </c>
      <c r="K11" s="539">
        <v>0</v>
      </c>
      <c r="L11" s="539">
        <v>0</v>
      </c>
      <c r="M11" s="538">
        <f>SUM(N11:O11)</f>
        <v>0</v>
      </c>
      <c r="N11" s="539">
        <v>0</v>
      </c>
      <c r="O11" s="539">
        <v>0</v>
      </c>
      <c r="P11" s="539">
        <v>0</v>
      </c>
      <c r="Q11" s="539">
        <v>0</v>
      </c>
      <c r="R11" s="114">
        <v>0</v>
      </c>
      <c r="S11" s="112">
        <v>0</v>
      </c>
      <c r="T11" s="112">
        <v>0</v>
      </c>
      <c r="U11" s="112">
        <v>0</v>
      </c>
      <c r="V11" s="112">
        <v>0</v>
      </c>
      <c r="W11" s="114">
        <f>SUM(X11:AA11)</f>
        <v>0</v>
      </c>
      <c r="X11" s="112">
        <v>0</v>
      </c>
      <c r="Y11" s="112">
        <v>0</v>
      </c>
      <c r="Z11" s="112">
        <v>0</v>
      </c>
      <c r="AA11" s="112">
        <v>0</v>
      </c>
      <c r="AB11" s="114">
        <v>0</v>
      </c>
      <c r="AC11" s="112">
        <v>0</v>
      </c>
      <c r="AD11" s="112">
        <v>0</v>
      </c>
      <c r="AE11" s="112">
        <v>0</v>
      </c>
      <c r="AF11" s="112">
        <v>0</v>
      </c>
      <c r="AG11" s="112">
        <v>0</v>
      </c>
      <c r="AH11" s="112">
        <v>0</v>
      </c>
      <c r="AI11" s="112">
        <v>0</v>
      </c>
      <c r="AJ11" s="112">
        <v>0</v>
      </c>
      <c r="AK11" s="112">
        <v>0</v>
      </c>
      <c r="AL11" s="114">
        <f t="shared" ref="AL11:AL26" si="1">SUM(C11,H11,M11,R11,W11,AB11,AG11)</f>
        <v>0</v>
      </c>
    </row>
    <row r="12" spans="1:39" ht="37.65" customHeight="1" x14ac:dyDescent="0.25">
      <c r="A12" s="185">
        <v>3</v>
      </c>
      <c r="B12" s="247" t="s">
        <v>1305</v>
      </c>
      <c r="C12" s="538">
        <f t="shared" si="0"/>
        <v>0</v>
      </c>
      <c r="D12" s="740">
        <v>0</v>
      </c>
      <c r="E12" s="740">
        <v>0</v>
      </c>
      <c r="F12" s="740">
        <v>0</v>
      </c>
      <c r="G12" s="740">
        <v>0</v>
      </c>
      <c r="H12" s="538">
        <v>0</v>
      </c>
      <c r="I12" s="539">
        <v>0</v>
      </c>
      <c r="J12" s="539">
        <v>0</v>
      </c>
      <c r="K12" s="539">
        <v>0</v>
      </c>
      <c r="L12" s="539">
        <v>0</v>
      </c>
      <c r="M12" s="538">
        <f>SUM(N12:O12)</f>
        <v>0</v>
      </c>
      <c r="N12" s="539">
        <v>0</v>
      </c>
      <c r="O12" s="539">
        <v>0</v>
      </c>
      <c r="P12" s="539">
        <v>0</v>
      </c>
      <c r="Q12" s="539">
        <v>0</v>
      </c>
      <c r="R12" s="114">
        <v>0</v>
      </c>
      <c r="S12" s="112">
        <v>0</v>
      </c>
      <c r="T12" s="112">
        <v>0</v>
      </c>
      <c r="U12" s="112">
        <v>0</v>
      </c>
      <c r="V12" s="112">
        <v>0</v>
      </c>
      <c r="W12" s="114">
        <v>0</v>
      </c>
      <c r="X12" s="112">
        <v>0</v>
      </c>
      <c r="Y12" s="112">
        <v>0</v>
      </c>
      <c r="Z12" s="112">
        <v>0</v>
      </c>
      <c r="AA12" s="112">
        <v>0</v>
      </c>
      <c r="AB12" s="114">
        <v>0</v>
      </c>
      <c r="AC12" s="112">
        <v>0</v>
      </c>
      <c r="AD12" s="112">
        <v>0</v>
      </c>
      <c r="AE12" s="112">
        <v>0</v>
      </c>
      <c r="AF12" s="112">
        <v>0</v>
      </c>
      <c r="AG12" s="112">
        <v>0</v>
      </c>
      <c r="AH12" s="112">
        <v>0</v>
      </c>
      <c r="AI12" s="112">
        <v>0</v>
      </c>
      <c r="AJ12" s="112">
        <v>0</v>
      </c>
      <c r="AK12" s="112">
        <v>0</v>
      </c>
      <c r="AL12" s="114">
        <f t="shared" si="1"/>
        <v>0</v>
      </c>
    </row>
    <row r="13" spans="1:39" ht="25.35" customHeight="1" x14ac:dyDescent="0.25">
      <c r="A13" s="185">
        <v>4</v>
      </c>
      <c r="B13" s="247" t="s">
        <v>167</v>
      </c>
      <c r="C13" s="538">
        <f t="shared" si="0"/>
        <v>0</v>
      </c>
      <c r="D13" s="740">
        <v>0</v>
      </c>
      <c r="E13" s="740">
        <v>0</v>
      </c>
      <c r="F13" s="740">
        <v>0</v>
      </c>
      <c r="G13" s="740">
        <v>0</v>
      </c>
      <c r="H13" s="538">
        <v>0</v>
      </c>
      <c r="I13" s="539">
        <v>0</v>
      </c>
      <c r="J13" s="539">
        <v>0</v>
      </c>
      <c r="K13" s="539">
        <v>0</v>
      </c>
      <c r="L13" s="539">
        <v>0</v>
      </c>
      <c r="M13" s="538">
        <f>SUM(N13:O13)</f>
        <v>0</v>
      </c>
      <c r="N13" s="539">
        <v>0</v>
      </c>
      <c r="O13" s="539">
        <v>0</v>
      </c>
      <c r="P13" s="539">
        <v>0</v>
      </c>
      <c r="Q13" s="539">
        <v>0</v>
      </c>
      <c r="R13" s="114">
        <v>0</v>
      </c>
      <c r="S13" s="112">
        <v>0</v>
      </c>
      <c r="T13" s="112">
        <v>0</v>
      </c>
      <c r="U13" s="112">
        <v>0</v>
      </c>
      <c r="V13" s="112">
        <v>0</v>
      </c>
      <c r="W13" s="114">
        <v>0</v>
      </c>
      <c r="X13" s="112">
        <v>0</v>
      </c>
      <c r="Y13" s="112">
        <v>0</v>
      </c>
      <c r="Z13" s="112">
        <v>0</v>
      </c>
      <c r="AA13" s="112">
        <v>0</v>
      </c>
      <c r="AB13" s="114">
        <v>0</v>
      </c>
      <c r="AC13" s="112">
        <v>0</v>
      </c>
      <c r="AD13" s="112">
        <v>0</v>
      </c>
      <c r="AE13" s="112">
        <v>0</v>
      </c>
      <c r="AF13" s="112">
        <v>0</v>
      </c>
      <c r="AG13" s="112">
        <v>0</v>
      </c>
      <c r="AH13" s="112">
        <v>0</v>
      </c>
      <c r="AI13" s="112">
        <v>0</v>
      </c>
      <c r="AJ13" s="112">
        <v>0</v>
      </c>
      <c r="AK13" s="112">
        <v>0</v>
      </c>
      <c r="AL13" s="114">
        <f t="shared" si="1"/>
        <v>0</v>
      </c>
    </row>
    <row r="14" spans="1:39" ht="73.349999999999994" customHeight="1" x14ac:dyDescent="0.25">
      <c r="A14" s="186">
        <v>5</v>
      </c>
      <c r="B14" s="116" t="s">
        <v>335</v>
      </c>
      <c r="C14" s="538">
        <f t="shared" si="0"/>
        <v>0</v>
      </c>
      <c r="D14" s="740">
        <v>0</v>
      </c>
      <c r="E14" s="740">
        <v>0</v>
      </c>
      <c r="F14" s="740">
        <v>0</v>
      </c>
      <c r="G14" s="740">
        <v>0</v>
      </c>
      <c r="H14" s="538">
        <v>0</v>
      </c>
      <c r="I14" s="539">
        <v>0</v>
      </c>
      <c r="J14" s="539">
        <v>0</v>
      </c>
      <c r="K14" s="539">
        <v>0</v>
      </c>
      <c r="L14" s="539">
        <v>0</v>
      </c>
      <c r="M14" s="538">
        <v>68</v>
      </c>
      <c r="N14" s="539">
        <v>68</v>
      </c>
      <c r="O14" s="539">
        <v>0</v>
      </c>
      <c r="P14" s="539">
        <v>0</v>
      </c>
      <c r="Q14" s="539">
        <v>0</v>
      </c>
      <c r="R14" s="114">
        <v>0.55000000000000004</v>
      </c>
      <c r="S14" s="112">
        <v>0.55000000000000004</v>
      </c>
      <c r="T14" s="112">
        <v>0</v>
      </c>
      <c r="U14" s="112">
        <v>0</v>
      </c>
      <c r="V14" s="112">
        <v>0</v>
      </c>
      <c r="W14" s="112">
        <f>3</f>
        <v>3</v>
      </c>
      <c r="X14" s="112">
        <f>3</f>
        <v>3</v>
      </c>
      <c r="Y14" s="112">
        <v>0</v>
      </c>
      <c r="Z14" s="112">
        <v>0</v>
      </c>
      <c r="AA14" s="112">
        <v>0</v>
      </c>
      <c r="AB14" s="114">
        <v>0</v>
      </c>
      <c r="AC14" s="112">
        <v>0</v>
      </c>
      <c r="AD14" s="112">
        <v>0</v>
      </c>
      <c r="AE14" s="112">
        <v>0</v>
      </c>
      <c r="AF14" s="112">
        <v>0</v>
      </c>
      <c r="AG14" s="112">
        <v>0</v>
      </c>
      <c r="AH14" s="112">
        <v>0</v>
      </c>
      <c r="AI14" s="112">
        <v>0</v>
      </c>
      <c r="AJ14" s="112">
        <v>0</v>
      </c>
      <c r="AK14" s="112">
        <v>0</v>
      </c>
      <c r="AL14" s="114">
        <f t="shared" si="1"/>
        <v>71.55</v>
      </c>
    </row>
    <row r="15" spans="1:39" ht="52.35" customHeight="1" x14ac:dyDescent="0.25">
      <c r="A15" s="658">
        <v>6</v>
      </c>
      <c r="B15" s="116" t="s">
        <v>336</v>
      </c>
      <c r="C15" s="663">
        <f t="shared" si="0"/>
        <v>0</v>
      </c>
      <c r="D15" s="741">
        <v>0</v>
      </c>
      <c r="E15" s="741">
        <v>0</v>
      </c>
      <c r="F15" s="741">
        <v>0</v>
      </c>
      <c r="G15" s="741">
        <v>0</v>
      </c>
      <c r="H15" s="742">
        <v>0</v>
      </c>
      <c r="I15" s="741">
        <v>0</v>
      </c>
      <c r="J15" s="741">
        <v>0</v>
      </c>
      <c r="K15" s="741">
        <v>0</v>
      </c>
      <c r="L15" s="741">
        <v>0</v>
      </c>
      <c r="M15" s="742">
        <v>0</v>
      </c>
      <c r="N15" s="741">
        <v>0</v>
      </c>
      <c r="O15" s="741">
        <v>0</v>
      </c>
      <c r="P15" s="741">
        <v>0</v>
      </c>
      <c r="Q15" s="741">
        <v>0</v>
      </c>
      <c r="R15" s="742">
        <v>0</v>
      </c>
      <c r="S15" s="741">
        <v>0</v>
      </c>
      <c r="T15" s="741">
        <v>0</v>
      </c>
      <c r="U15" s="741">
        <v>0</v>
      </c>
      <c r="V15" s="741">
        <v>0</v>
      </c>
      <c r="W15" s="742">
        <f>X15+Y15+Z15+AA15</f>
        <v>6464</v>
      </c>
      <c r="X15" s="741">
        <f>6441+23</f>
        <v>6464</v>
      </c>
      <c r="Y15" s="741">
        <v>0</v>
      </c>
      <c r="Z15" s="741">
        <v>0</v>
      </c>
      <c r="AA15" s="741">
        <v>0</v>
      </c>
      <c r="AB15" s="742">
        <v>5633</v>
      </c>
      <c r="AC15" s="741">
        <v>5633</v>
      </c>
      <c r="AD15" s="741">
        <v>0</v>
      </c>
      <c r="AE15" s="741">
        <v>0</v>
      </c>
      <c r="AF15" s="741">
        <v>0</v>
      </c>
      <c r="AG15" s="742">
        <v>0</v>
      </c>
      <c r="AH15" s="741">
        <v>0</v>
      </c>
      <c r="AI15" s="741">
        <v>0</v>
      </c>
      <c r="AJ15" s="741">
        <v>0</v>
      </c>
      <c r="AK15" s="741">
        <v>0</v>
      </c>
      <c r="AL15" s="742">
        <f t="shared" si="1"/>
        <v>12097</v>
      </c>
    </row>
    <row r="16" spans="1:39" ht="96.6" customHeight="1" x14ac:dyDescent="0.25">
      <c r="A16" s="674"/>
      <c r="B16" s="120" t="s">
        <v>337</v>
      </c>
      <c r="C16" s="664"/>
      <c r="D16" s="743"/>
      <c r="E16" s="743"/>
      <c r="F16" s="743"/>
      <c r="G16" s="743"/>
      <c r="H16" s="744"/>
      <c r="I16" s="743"/>
      <c r="J16" s="743"/>
      <c r="K16" s="743"/>
      <c r="L16" s="743"/>
      <c r="M16" s="744"/>
      <c r="N16" s="743"/>
      <c r="O16" s="743"/>
      <c r="P16" s="743"/>
      <c r="Q16" s="743"/>
      <c r="R16" s="744"/>
      <c r="S16" s="743"/>
      <c r="T16" s="743"/>
      <c r="U16" s="743"/>
      <c r="V16" s="743"/>
      <c r="W16" s="744"/>
      <c r="X16" s="743"/>
      <c r="Y16" s="743"/>
      <c r="Z16" s="743"/>
      <c r="AA16" s="743"/>
      <c r="AB16" s="744"/>
      <c r="AC16" s="743"/>
      <c r="AD16" s="743"/>
      <c r="AE16" s="743"/>
      <c r="AF16" s="743"/>
      <c r="AG16" s="744"/>
      <c r="AH16" s="743"/>
      <c r="AI16" s="743"/>
      <c r="AJ16" s="743"/>
      <c r="AK16" s="743"/>
      <c r="AL16" s="744"/>
    </row>
    <row r="17" spans="1:38" ht="127.35" customHeight="1" x14ac:dyDescent="0.25">
      <c r="A17" s="674"/>
      <c r="B17" s="120" t="s">
        <v>338</v>
      </c>
      <c r="C17" s="664"/>
      <c r="D17" s="743"/>
      <c r="E17" s="743"/>
      <c r="F17" s="743"/>
      <c r="G17" s="743"/>
      <c r="H17" s="744"/>
      <c r="I17" s="743"/>
      <c r="J17" s="743"/>
      <c r="K17" s="743"/>
      <c r="L17" s="743"/>
      <c r="M17" s="744"/>
      <c r="N17" s="743"/>
      <c r="O17" s="743"/>
      <c r="P17" s="743"/>
      <c r="Q17" s="743"/>
      <c r="R17" s="744"/>
      <c r="S17" s="743"/>
      <c r="T17" s="743"/>
      <c r="U17" s="743"/>
      <c r="V17" s="743"/>
      <c r="W17" s="744"/>
      <c r="X17" s="743"/>
      <c r="Y17" s="743"/>
      <c r="Z17" s="743"/>
      <c r="AA17" s="743"/>
      <c r="AB17" s="744"/>
      <c r="AC17" s="743"/>
      <c r="AD17" s="743"/>
      <c r="AE17" s="743"/>
      <c r="AF17" s="743"/>
      <c r="AG17" s="744"/>
      <c r="AH17" s="743"/>
      <c r="AI17" s="743"/>
      <c r="AJ17" s="743"/>
      <c r="AK17" s="743"/>
      <c r="AL17" s="744"/>
    </row>
    <row r="18" spans="1:38" ht="23.4" customHeight="1" x14ac:dyDescent="0.25">
      <c r="A18" s="673"/>
      <c r="B18" s="117" t="s">
        <v>339</v>
      </c>
      <c r="C18" s="665"/>
      <c r="D18" s="745"/>
      <c r="E18" s="745"/>
      <c r="F18" s="745"/>
      <c r="G18" s="745"/>
      <c r="H18" s="746"/>
      <c r="I18" s="745"/>
      <c r="J18" s="745"/>
      <c r="K18" s="745"/>
      <c r="L18" s="745"/>
      <c r="M18" s="746"/>
      <c r="N18" s="745"/>
      <c r="O18" s="745"/>
      <c r="P18" s="745"/>
      <c r="Q18" s="745"/>
      <c r="R18" s="746"/>
      <c r="S18" s="745"/>
      <c r="T18" s="745"/>
      <c r="U18" s="745"/>
      <c r="V18" s="745"/>
      <c r="W18" s="746"/>
      <c r="X18" s="745"/>
      <c r="Y18" s="745"/>
      <c r="Z18" s="745"/>
      <c r="AA18" s="745"/>
      <c r="AB18" s="746"/>
      <c r="AC18" s="745"/>
      <c r="AD18" s="745"/>
      <c r="AE18" s="745"/>
      <c r="AF18" s="745"/>
      <c r="AG18" s="746"/>
      <c r="AH18" s="745"/>
      <c r="AI18" s="745"/>
      <c r="AJ18" s="745"/>
      <c r="AK18" s="745"/>
      <c r="AL18" s="746"/>
    </row>
    <row r="19" spans="1:38" s="115" customFormat="1" ht="150.6" customHeight="1" x14ac:dyDescent="0.25">
      <c r="A19" s="113">
        <v>7</v>
      </c>
      <c r="B19" s="119" t="s">
        <v>340</v>
      </c>
      <c r="C19" s="538">
        <f t="shared" ref="C19:C31" si="2">SUM(D19:E19)</f>
        <v>0</v>
      </c>
      <c r="D19" s="740">
        <v>0</v>
      </c>
      <c r="E19" s="740">
        <v>0</v>
      </c>
      <c r="F19" s="740">
        <v>0</v>
      </c>
      <c r="G19" s="740">
        <v>0</v>
      </c>
      <c r="H19" s="538">
        <f>I19+J19+K19+L19</f>
        <v>0</v>
      </c>
      <c r="I19" s="539">
        <v>0</v>
      </c>
      <c r="J19" s="539">
        <v>0</v>
      </c>
      <c r="K19" s="539">
        <v>0</v>
      </c>
      <c r="L19" s="539">
        <v>0</v>
      </c>
      <c r="M19" s="538">
        <f>16519+35-82</f>
        <v>16472</v>
      </c>
      <c r="N19" s="539">
        <f>16519+35-82</f>
        <v>16472</v>
      </c>
      <c r="O19" s="539">
        <v>0</v>
      </c>
      <c r="P19" s="539">
        <v>0</v>
      </c>
      <c r="Q19" s="539">
        <v>0</v>
      </c>
      <c r="R19" s="114">
        <v>22318.400000000001</v>
      </c>
      <c r="S19" s="112">
        <v>22318.400000000001</v>
      </c>
      <c r="T19" s="112">
        <v>0</v>
      </c>
      <c r="U19" s="112">
        <v>0</v>
      </c>
      <c r="V19" s="112">
        <v>0</v>
      </c>
      <c r="W19" s="114">
        <f>7299-276</f>
        <v>7023</v>
      </c>
      <c r="X19" s="112">
        <f>7299-276</f>
        <v>7023</v>
      </c>
      <c r="Y19" s="112">
        <v>0</v>
      </c>
      <c r="Z19" s="112">
        <v>0</v>
      </c>
      <c r="AA19" s="112">
        <v>0</v>
      </c>
      <c r="AB19" s="114">
        <f>AC19+AD19+AE19+AF19</f>
        <v>0</v>
      </c>
      <c r="AC19" s="112">
        <v>0</v>
      </c>
      <c r="AD19" s="112">
        <v>0</v>
      </c>
      <c r="AE19" s="112">
        <v>0</v>
      </c>
      <c r="AF19" s="112">
        <v>0</v>
      </c>
      <c r="AG19" s="114">
        <f>AH19+AI19+AJ19+AK19</f>
        <v>20266</v>
      </c>
      <c r="AH19" s="112">
        <f>29458-9192</f>
        <v>20266</v>
      </c>
      <c r="AI19" s="112">
        <v>0</v>
      </c>
      <c r="AJ19" s="112">
        <v>0</v>
      </c>
      <c r="AK19" s="112">
        <v>0</v>
      </c>
      <c r="AL19" s="114">
        <f t="shared" si="1"/>
        <v>66079.399999999994</v>
      </c>
    </row>
    <row r="20" spans="1:38" ht="26.4" customHeight="1" x14ac:dyDescent="0.25">
      <c r="A20" s="185">
        <v>8</v>
      </c>
      <c r="B20" s="116" t="s">
        <v>143</v>
      </c>
      <c r="C20" s="538">
        <f t="shared" si="2"/>
        <v>0</v>
      </c>
      <c r="D20" s="740">
        <v>0</v>
      </c>
      <c r="E20" s="740">
        <v>0</v>
      </c>
      <c r="F20" s="740">
        <v>0</v>
      </c>
      <c r="G20" s="740">
        <v>0</v>
      </c>
      <c r="H20" s="538">
        <v>0</v>
      </c>
      <c r="I20" s="539">
        <v>0</v>
      </c>
      <c r="J20" s="539">
        <v>0</v>
      </c>
      <c r="K20" s="539">
        <v>0</v>
      </c>
      <c r="L20" s="539">
        <v>0</v>
      </c>
      <c r="M20" s="538">
        <v>0</v>
      </c>
      <c r="N20" s="539">
        <v>0</v>
      </c>
      <c r="O20" s="539">
        <v>0</v>
      </c>
      <c r="P20" s="539">
        <v>0</v>
      </c>
      <c r="Q20" s="539">
        <v>0</v>
      </c>
      <c r="R20" s="112">
        <f>550-33</f>
        <v>517</v>
      </c>
      <c r="S20" s="112">
        <f>550-33</f>
        <v>517</v>
      </c>
      <c r="T20" s="112">
        <v>0</v>
      </c>
      <c r="U20" s="112">
        <v>0</v>
      </c>
      <c r="V20" s="112">
        <v>0</v>
      </c>
      <c r="W20" s="114">
        <v>484</v>
      </c>
      <c r="X20" s="112">
        <v>484</v>
      </c>
      <c r="Y20" s="112">
        <v>0</v>
      </c>
      <c r="Z20" s="112">
        <v>0</v>
      </c>
      <c r="AA20" s="112">
        <v>0</v>
      </c>
      <c r="AB20" s="114">
        <v>0</v>
      </c>
      <c r="AC20" s="112">
        <v>0</v>
      </c>
      <c r="AD20" s="112">
        <v>0</v>
      </c>
      <c r="AE20" s="112">
        <v>0</v>
      </c>
      <c r="AF20" s="112">
        <v>0</v>
      </c>
      <c r="AG20" s="112">
        <v>0</v>
      </c>
      <c r="AH20" s="112">
        <v>0</v>
      </c>
      <c r="AI20" s="112">
        <v>0</v>
      </c>
      <c r="AJ20" s="112">
        <v>0</v>
      </c>
      <c r="AK20" s="112">
        <v>0</v>
      </c>
      <c r="AL20" s="114">
        <f t="shared" si="1"/>
        <v>1001</v>
      </c>
    </row>
    <row r="21" spans="1:38" ht="36.6" customHeight="1" x14ac:dyDescent="0.25">
      <c r="A21" s="660">
        <v>9</v>
      </c>
      <c r="B21" s="116" t="s">
        <v>341</v>
      </c>
      <c r="C21" s="663">
        <f t="shared" si="2"/>
        <v>6385</v>
      </c>
      <c r="D21" s="741">
        <f>6099+2414-1064-1064</f>
        <v>6385</v>
      </c>
      <c r="E21" s="741">
        <v>0</v>
      </c>
      <c r="F21" s="741">
        <v>0</v>
      </c>
      <c r="G21" s="741">
        <v>0</v>
      </c>
      <c r="H21" s="663">
        <f>I21+J21+K21+L21</f>
        <v>10144</v>
      </c>
      <c r="I21" s="666">
        <f>1800-200+8544</f>
        <v>10144</v>
      </c>
      <c r="J21" s="666">
        <v>0</v>
      </c>
      <c r="K21" s="666">
        <v>0</v>
      </c>
      <c r="L21" s="666">
        <v>0</v>
      </c>
      <c r="M21" s="663">
        <f>339-1+2213-2</f>
        <v>2549</v>
      </c>
      <c r="N21" s="666">
        <f>339-1+2213-2</f>
        <v>2549</v>
      </c>
      <c r="O21" s="666">
        <v>0</v>
      </c>
      <c r="P21" s="666">
        <v>0</v>
      </c>
      <c r="Q21" s="666">
        <v>0</v>
      </c>
      <c r="R21" s="669">
        <f>S21+T21+U21+V21</f>
        <v>8758</v>
      </c>
      <c r="S21" s="671">
        <f>8462+99+197</f>
        <v>8758</v>
      </c>
      <c r="T21" s="671">
        <v>0</v>
      </c>
      <c r="U21" s="671">
        <v>0</v>
      </c>
      <c r="V21" s="671">
        <v>0</v>
      </c>
      <c r="W21" s="669">
        <v>377</v>
      </c>
      <c r="X21" s="671">
        <v>377</v>
      </c>
      <c r="Y21" s="671">
        <v>0</v>
      </c>
      <c r="Z21" s="671">
        <v>0</v>
      </c>
      <c r="AA21" s="671">
        <v>0</v>
      </c>
      <c r="AB21" s="669">
        <v>7994</v>
      </c>
      <c r="AC21" s="671">
        <v>7994</v>
      </c>
      <c r="AD21" s="671">
        <v>0</v>
      </c>
      <c r="AE21" s="671">
        <v>0</v>
      </c>
      <c r="AF21" s="671">
        <v>0</v>
      </c>
      <c r="AG21" s="669">
        <f>AH21</f>
        <v>2847.4</v>
      </c>
      <c r="AH21" s="671">
        <v>2847.4</v>
      </c>
      <c r="AI21" s="671">
        <v>0</v>
      </c>
      <c r="AJ21" s="671">
        <v>0</v>
      </c>
      <c r="AK21" s="671">
        <v>0</v>
      </c>
      <c r="AL21" s="669">
        <f t="shared" si="1"/>
        <v>39054.400000000001</v>
      </c>
    </row>
    <row r="22" spans="1:38" ht="225.6" customHeight="1" x14ac:dyDescent="0.25">
      <c r="A22" s="662"/>
      <c r="B22" s="117" t="s">
        <v>342</v>
      </c>
      <c r="C22" s="665"/>
      <c r="D22" s="745"/>
      <c r="E22" s="745"/>
      <c r="F22" s="745"/>
      <c r="G22" s="745"/>
      <c r="H22" s="665"/>
      <c r="I22" s="668"/>
      <c r="J22" s="668"/>
      <c r="K22" s="668"/>
      <c r="L22" s="668"/>
      <c r="M22" s="665"/>
      <c r="N22" s="668"/>
      <c r="O22" s="668"/>
      <c r="P22" s="668"/>
      <c r="Q22" s="668"/>
      <c r="R22" s="670"/>
      <c r="S22" s="672"/>
      <c r="T22" s="672"/>
      <c r="U22" s="672"/>
      <c r="V22" s="672"/>
      <c r="W22" s="670"/>
      <c r="X22" s="672"/>
      <c r="Y22" s="672"/>
      <c r="Z22" s="672"/>
      <c r="AA22" s="672"/>
      <c r="AB22" s="670"/>
      <c r="AC22" s="672"/>
      <c r="AD22" s="672"/>
      <c r="AE22" s="672"/>
      <c r="AF22" s="672"/>
      <c r="AG22" s="670"/>
      <c r="AH22" s="672"/>
      <c r="AI22" s="672"/>
      <c r="AJ22" s="672"/>
      <c r="AK22" s="672"/>
      <c r="AL22" s="670"/>
    </row>
    <row r="23" spans="1:38" ht="288" customHeight="1" x14ac:dyDescent="0.25">
      <c r="A23" s="660">
        <v>9</v>
      </c>
      <c r="B23" s="118" t="s">
        <v>343</v>
      </c>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3"/>
    </row>
    <row r="24" spans="1:38" ht="261" customHeight="1" x14ac:dyDescent="0.25">
      <c r="A24" s="661"/>
      <c r="B24" s="248" t="s">
        <v>344</v>
      </c>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4"/>
    </row>
    <row r="25" spans="1:38" ht="125.4" customHeight="1" x14ac:dyDescent="0.25">
      <c r="A25" s="662"/>
      <c r="B25" s="249" t="s">
        <v>345</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row>
    <row r="26" spans="1:38" ht="48.6" customHeight="1" x14ac:dyDescent="0.25">
      <c r="A26" s="658">
        <v>10</v>
      </c>
      <c r="B26" s="117" t="s">
        <v>346</v>
      </c>
      <c r="C26" s="663">
        <f t="shared" si="2"/>
        <v>275</v>
      </c>
      <c r="D26" s="741">
        <v>275</v>
      </c>
      <c r="E26" s="741">
        <v>0</v>
      </c>
      <c r="F26" s="741">
        <v>0</v>
      </c>
      <c r="G26" s="741">
        <v>0</v>
      </c>
      <c r="H26" s="663">
        <f>I26+J26+K26+L26</f>
        <v>649</v>
      </c>
      <c r="I26" s="666">
        <f>556+206-113</f>
        <v>649</v>
      </c>
      <c r="J26" s="666">
        <v>0</v>
      </c>
      <c r="K26" s="666">
        <v>0</v>
      </c>
      <c r="L26" s="666">
        <v>0</v>
      </c>
      <c r="M26" s="663">
        <f>N26+O26+P26+Q26</f>
        <v>260</v>
      </c>
      <c r="N26" s="666">
        <v>260</v>
      </c>
      <c r="O26" s="666">
        <v>0</v>
      </c>
      <c r="P26" s="666">
        <v>0</v>
      </c>
      <c r="Q26" s="666">
        <v>0</v>
      </c>
      <c r="R26" s="669">
        <f>S26+T26+U26+V26</f>
        <v>3384</v>
      </c>
      <c r="S26" s="671">
        <v>3384</v>
      </c>
      <c r="T26" s="671">
        <v>0</v>
      </c>
      <c r="U26" s="671">
        <v>0</v>
      </c>
      <c r="V26" s="671">
        <v>0</v>
      </c>
      <c r="W26" s="669">
        <v>5336</v>
      </c>
      <c r="X26" s="671">
        <v>5336</v>
      </c>
      <c r="Y26" s="671">
        <v>0</v>
      </c>
      <c r="Z26" s="671">
        <v>0</v>
      </c>
      <c r="AA26" s="671">
        <v>0</v>
      </c>
      <c r="AB26" s="669">
        <v>1367</v>
      </c>
      <c r="AC26" s="671">
        <v>1367</v>
      </c>
      <c r="AD26" s="671">
        <v>0</v>
      </c>
      <c r="AE26" s="671">
        <v>0</v>
      </c>
      <c r="AF26" s="671">
        <v>0</v>
      </c>
      <c r="AG26" s="669">
        <f>AH26+AI26+AJ26+AK26</f>
        <v>2254</v>
      </c>
      <c r="AH26" s="671">
        <f>3197-943</f>
        <v>2254</v>
      </c>
      <c r="AI26" s="671">
        <v>0</v>
      </c>
      <c r="AJ26" s="671">
        <v>0</v>
      </c>
      <c r="AK26" s="671">
        <v>0</v>
      </c>
      <c r="AL26" s="669">
        <f t="shared" si="1"/>
        <v>13525</v>
      </c>
    </row>
    <row r="27" spans="1:38" ht="355.35" customHeight="1" x14ac:dyDescent="0.25">
      <c r="A27" s="673"/>
      <c r="B27" s="117" t="s">
        <v>347</v>
      </c>
      <c r="C27" s="665"/>
      <c r="D27" s="745"/>
      <c r="E27" s="745"/>
      <c r="F27" s="745"/>
      <c r="G27" s="745"/>
      <c r="H27" s="665"/>
      <c r="I27" s="668"/>
      <c r="J27" s="668"/>
      <c r="K27" s="668"/>
      <c r="L27" s="668"/>
      <c r="M27" s="665"/>
      <c r="N27" s="668"/>
      <c r="O27" s="668"/>
      <c r="P27" s="668"/>
      <c r="Q27" s="668"/>
      <c r="R27" s="670"/>
      <c r="S27" s="672"/>
      <c r="T27" s="672"/>
      <c r="U27" s="672"/>
      <c r="V27" s="672"/>
      <c r="W27" s="670"/>
      <c r="X27" s="672"/>
      <c r="Y27" s="672"/>
      <c r="Z27" s="672"/>
      <c r="AA27" s="672"/>
      <c r="AB27" s="670"/>
      <c r="AC27" s="672"/>
      <c r="AD27" s="672"/>
      <c r="AE27" s="672"/>
      <c r="AF27" s="672"/>
      <c r="AG27" s="670"/>
      <c r="AH27" s="672"/>
      <c r="AI27" s="672"/>
      <c r="AJ27" s="672"/>
      <c r="AK27" s="672"/>
      <c r="AL27" s="670"/>
    </row>
    <row r="28" spans="1:38" ht="385.35" customHeight="1" x14ac:dyDescent="0.25">
      <c r="A28" s="660">
        <v>10</v>
      </c>
      <c r="B28" s="116" t="s">
        <v>348</v>
      </c>
      <c r="C28" s="747"/>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row>
    <row r="29" spans="1:38" ht="315" customHeight="1" x14ac:dyDescent="0.25">
      <c r="A29" s="662"/>
      <c r="B29" s="119" t="s">
        <v>1372</v>
      </c>
      <c r="C29" s="748"/>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5"/>
      <c r="AG29" s="665"/>
      <c r="AH29" s="665"/>
      <c r="AI29" s="665"/>
      <c r="AJ29" s="665"/>
      <c r="AK29" s="665"/>
      <c r="AL29" s="665"/>
    </row>
    <row r="30" spans="1:38" ht="35.4" customHeight="1" x14ac:dyDescent="0.25">
      <c r="A30" s="185">
        <v>11</v>
      </c>
      <c r="B30" s="120" t="s">
        <v>182</v>
      </c>
      <c r="C30" s="538">
        <f t="shared" si="2"/>
        <v>0</v>
      </c>
      <c r="D30" s="740">
        <v>0</v>
      </c>
      <c r="E30" s="740">
        <v>0</v>
      </c>
      <c r="F30" s="740">
        <v>0</v>
      </c>
      <c r="G30" s="740">
        <v>0</v>
      </c>
      <c r="H30" s="538">
        <v>0</v>
      </c>
      <c r="I30" s="539">
        <v>0</v>
      </c>
      <c r="J30" s="539">
        <v>0</v>
      </c>
      <c r="K30" s="539">
        <v>0</v>
      </c>
      <c r="L30" s="539">
        <v>0</v>
      </c>
      <c r="M30" s="538">
        <v>0</v>
      </c>
      <c r="N30" s="539">
        <v>0</v>
      </c>
      <c r="O30" s="539">
        <v>0</v>
      </c>
      <c r="P30" s="539">
        <v>0</v>
      </c>
      <c r="Q30" s="539">
        <v>0</v>
      </c>
      <c r="R30" s="538">
        <v>0</v>
      </c>
      <c r="S30" s="539">
        <v>0</v>
      </c>
      <c r="T30" s="539">
        <v>0</v>
      </c>
      <c r="U30" s="539">
        <v>0</v>
      </c>
      <c r="V30" s="539">
        <v>0</v>
      </c>
      <c r="W30" s="538">
        <v>0</v>
      </c>
      <c r="X30" s="539">
        <v>0</v>
      </c>
      <c r="Y30" s="539">
        <v>0</v>
      </c>
      <c r="Z30" s="539">
        <v>0</v>
      </c>
      <c r="AA30" s="539">
        <v>0</v>
      </c>
      <c r="AB30" s="538">
        <v>0</v>
      </c>
      <c r="AC30" s="539">
        <v>0</v>
      </c>
      <c r="AD30" s="539">
        <v>0</v>
      </c>
      <c r="AE30" s="539">
        <v>0</v>
      </c>
      <c r="AF30" s="539">
        <v>0</v>
      </c>
      <c r="AG30" s="112">
        <v>0</v>
      </c>
      <c r="AH30" s="112">
        <v>0</v>
      </c>
      <c r="AI30" s="539">
        <v>0</v>
      </c>
      <c r="AJ30" s="539">
        <v>0</v>
      </c>
      <c r="AK30" s="539">
        <v>0</v>
      </c>
      <c r="AL30" s="538">
        <f>SUM(C30,H30,M30,R30,W30,AB30,AG30)</f>
        <v>0</v>
      </c>
    </row>
    <row r="31" spans="1:38" ht="124.35" customHeight="1" x14ac:dyDescent="0.25">
      <c r="A31" s="657">
        <v>12</v>
      </c>
      <c r="B31" s="116" t="s">
        <v>349</v>
      </c>
      <c r="C31" s="749">
        <f t="shared" si="2"/>
        <v>1456</v>
      </c>
      <c r="D31" s="750">
        <f>1456</f>
        <v>1456</v>
      </c>
      <c r="E31" s="750">
        <v>0</v>
      </c>
      <c r="F31" s="750">
        <v>0</v>
      </c>
      <c r="G31" s="750">
        <v>0</v>
      </c>
      <c r="H31" s="654">
        <v>48</v>
      </c>
      <c r="I31" s="655">
        <v>48</v>
      </c>
      <c r="J31" s="655">
        <v>0</v>
      </c>
      <c r="K31" s="655">
        <v>0</v>
      </c>
      <c r="L31" s="655">
        <v>0</v>
      </c>
      <c r="M31" s="654">
        <v>0</v>
      </c>
      <c r="N31" s="655">
        <v>0</v>
      </c>
      <c r="O31" s="655">
        <v>0</v>
      </c>
      <c r="P31" s="655">
        <v>0</v>
      </c>
      <c r="Q31" s="655">
        <v>0</v>
      </c>
      <c r="R31" s="654">
        <v>627</v>
      </c>
      <c r="S31" s="655">
        <v>627</v>
      </c>
      <c r="T31" s="655">
        <v>0</v>
      </c>
      <c r="U31" s="655">
        <v>0</v>
      </c>
      <c r="V31" s="655">
        <v>0</v>
      </c>
      <c r="W31" s="654">
        <v>665</v>
      </c>
      <c r="X31" s="655">
        <v>665</v>
      </c>
      <c r="Y31" s="655">
        <v>0</v>
      </c>
      <c r="Z31" s="655">
        <v>0</v>
      </c>
      <c r="AA31" s="655">
        <v>0</v>
      </c>
      <c r="AB31" s="654">
        <v>0</v>
      </c>
      <c r="AC31" s="655">
        <v>0</v>
      </c>
      <c r="AD31" s="655">
        <v>0</v>
      </c>
      <c r="AE31" s="655">
        <v>0</v>
      </c>
      <c r="AF31" s="655">
        <v>0</v>
      </c>
      <c r="AG31" s="654">
        <v>0</v>
      </c>
      <c r="AH31" s="655">
        <v>0</v>
      </c>
      <c r="AI31" s="655">
        <v>0</v>
      </c>
      <c r="AJ31" s="655">
        <v>0</v>
      </c>
      <c r="AK31" s="655">
        <v>0</v>
      </c>
      <c r="AL31" s="654">
        <f>SUM(C31,H31,M31,R31,W31,AB31,AG31)</f>
        <v>2796</v>
      </c>
    </row>
    <row r="32" spans="1:38" ht="84.6" customHeight="1" x14ac:dyDescent="0.25">
      <c r="A32" s="657"/>
      <c r="B32" s="117" t="s">
        <v>350</v>
      </c>
      <c r="C32" s="749"/>
      <c r="D32" s="750"/>
      <c r="E32" s="750"/>
      <c r="F32" s="750"/>
      <c r="G32" s="750"/>
      <c r="H32" s="654"/>
      <c r="I32" s="655"/>
      <c r="J32" s="655"/>
      <c r="K32" s="655"/>
      <c r="L32" s="655"/>
      <c r="M32" s="654"/>
      <c r="N32" s="655"/>
      <c r="O32" s="655"/>
      <c r="P32" s="655"/>
      <c r="Q32" s="655"/>
      <c r="R32" s="654"/>
      <c r="S32" s="655"/>
      <c r="T32" s="655"/>
      <c r="U32" s="655"/>
      <c r="V32" s="655"/>
      <c r="W32" s="654"/>
      <c r="X32" s="655"/>
      <c r="Y32" s="655"/>
      <c r="Z32" s="655"/>
      <c r="AA32" s="655"/>
      <c r="AB32" s="654"/>
      <c r="AC32" s="655"/>
      <c r="AD32" s="655"/>
      <c r="AE32" s="655"/>
      <c r="AF32" s="655"/>
      <c r="AG32" s="654"/>
      <c r="AH32" s="655"/>
      <c r="AI32" s="655"/>
      <c r="AJ32" s="655"/>
      <c r="AK32" s="655"/>
      <c r="AL32" s="654"/>
    </row>
    <row r="33" spans="1:38" ht="24.6" customHeight="1" x14ac:dyDescent="0.25">
      <c r="A33" s="650"/>
      <c r="B33" s="117" t="s">
        <v>1295</v>
      </c>
      <c r="C33" s="539">
        <v>0</v>
      </c>
      <c r="D33" s="539">
        <v>0</v>
      </c>
      <c r="E33" s="539">
        <v>0</v>
      </c>
      <c r="F33" s="539">
        <v>0</v>
      </c>
      <c r="G33" s="539">
        <v>0</v>
      </c>
      <c r="H33" s="539">
        <v>0</v>
      </c>
      <c r="I33" s="539">
        <v>0</v>
      </c>
      <c r="J33" s="539">
        <v>0</v>
      </c>
      <c r="K33" s="539">
        <v>0</v>
      </c>
      <c r="L33" s="539">
        <v>0</v>
      </c>
      <c r="M33" s="538">
        <v>48</v>
      </c>
      <c r="N33" s="539">
        <v>48</v>
      </c>
      <c r="O33" s="539">
        <v>0</v>
      </c>
      <c r="P33" s="539">
        <v>0</v>
      </c>
      <c r="Q33" s="539">
        <v>0</v>
      </c>
      <c r="R33" s="539">
        <v>0</v>
      </c>
      <c r="S33" s="539">
        <v>0</v>
      </c>
      <c r="T33" s="539">
        <v>0</v>
      </c>
      <c r="U33" s="539">
        <v>0</v>
      </c>
      <c r="V33" s="539">
        <v>0</v>
      </c>
      <c r="W33" s="539">
        <v>0</v>
      </c>
      <c r="X33" s="539">
        <v>0</v>
      </c>
      <c r="Y33" s="539">
        <v>0</v>
      </c>
      <c r="Z33" s="539">
        <v>0</v>
      </c>
      <c r="AA33" s="539">
        <v>0</v>
      </c>
      <c r="AB33" s="538">
        <v>0</v>
      </c>
      <c r="AC33" s="539">
        <v>0</v>
      </c>
      <c r="AD33" s="539">
        <v>0</v>
      </c>
      <c r="AE33" s="539">
        <v>0</v>
      </c>
      <c r="AF33" s="539">
        <v>0</v>
      </c>
      <c r="AG33" s="539">
        <v>0</v>
      </c>
      <c r="AH33" s="539">
        <v>0</v>
      </c>
      <c r="AI33" s="539">
        <v>0</v>
      </c>
      <c r="AJ33" s="539">
        <v>0</v>
      </c>
      <c r="AK33" s="539">
        <v>0</v>
      </c>
      <c r="AL33" s="538">
        <f>SUM(C33,H33,M33,R33,W33,AB33,AG33)</f>
        <v>48</v>
      </c>
    </row>
    <row r="34" spans="1:38" ht="26.4" customHeight="1" x14ac:dyDescent="0.25">
      <c r="A34" s="660">
        <v>13</v>
      </c>
      <c r="B34" s="118" t="s">
        <v>352</v>
      </c>
      <c r="C34" s="663">
        <f>D34+E34+F34</f>
        <v>4000</v>
      </c>
      <c r="D34" s="741">
        <f>4544-272-117-155</f>
        <v>4000</v>
      </c>
      <c r="E34" s="741">
        <v>0</v>
      </c>
      <c r="F34" s="741">
        <v>0</v>
      </c>
      <c r="G34" s="741">
        <v>0</v>
      </c>
      <c r="H34" s="663">
        <f>I34+J34+K34+L34</f>
        <v>5156</v>
      </c>
      <c r="I34" s="666">
        <f>5181-25</f>
        <v>5156</v>
      </c>
      <c r="J34" s="666">
        <v>0</v>
      </c>
      <c r="K34" s="666">
        <v>0</v>
      </c>
      <c r="L34" s="666">
        <v>0</v>
      </c>
      <c r="M34" s="663">
        <f>19776-68-98-125-8</f>
        <v>19477</v>
      </c>
      <c r="N34" s="666">
        <f>19776-68-98-125-8</f>
        <v>19477</v>
      </c>
      <c r="O34" s="666">
        <v>0</v>
      </c>
      <c r="P34" s="666">
        <v>0</v>
      </c>
      <c r="Q34" s="666">
        <v>0</v>
      </c>
      <c r="R34" s="663">
        <v>40423</v>
      </c>
      <c r="S34" s="666">
        <v>40423</v>
      </c>
      <c r="T34" s="666">
        <v>0</v>
      </c>
      <c r="U34" s="666">
        <v>0</v>
      </c>
      <c r="V34" s="666">
        <v>0</v>
      </c>
      <c r="W34" s="663">
        <f>656</f>
        <v>656</v>
      </c>
      <c r="X34" s="666">
        <v>656</v>
      </c>
      <c r="Y34" s="666">
        <v>0</v>
      </c>
      <c r="Z34" s="666">
        <v>0</v>
      </c>
      <c r="AA34" s="666">
        <v>0</v>
      </c>
      <c r="AB34" s="663">
        <v>1590</v>
      </c>
      <c r="AC34" s="666">
        <v>1590</v>
      </c>
      <c r="AD34" s="666">
        <v>0</v>
      </c>
      <c r="AE34" s="666">
        <v>0</v>
      </c>
      <c r="AF34" s="666">
        <v>0</v>
      </c>
      <c r="AG34" s="663">
        <f>18988</f>
        <v>18988</v>
      </c>
      <c r="AH34" s="666">
        <v>18988</v>
      </c>
      <c r="AI34" s="666">
        <v>0</v>
      </c>
      <c r="AJ34" s="666">
        <v>0</v>
      </c>
      <c r="AK34" s="666">
        <v>0</v>
      </c>
      <c r="AL34" s="663">
        <f>SUM(C34,H34,M34,R34,W34,AB34,AG34)</f>
        <v>90290</v>
      </c>
    </row>
    <row r="35" spans="1:38" ht="249" customHeight="1" x14ac:dyDescent="0.25">
      <c r="A35" s="661"/>
      <c r="B35" s="121" t="s">
        <v>353</v>
      </c>
      <c r="C35" s="664"/>
      <c r="D35" s="743"/>
      <c r="E35" s="743"/>
      <c r="F35" s="743"/>
      <c r="G35" s="743"/>
      <c r="H35" s="664"/>
      <c r="I35" s="667"/>
      <c r="J35" s="667"/>
      <c r="K35" s="667"/>
      <c r="L35" s="667"/>
      <c r="M35" s="664"/>
      <c r="N35" s="667"/>
      <c r="O35" s="667"/>
      <c r="P35" s="667"/>
      <c r="Q35" s="667"/>
      <c r="R35" s="664"/>
      <c r="S35" s="667"/>
      <c r="T35" s="667"/>
      <c r="U35" s="667"/>
      <c r="V35" s="667"/>
      <c r="W35" s="664"/>
      <c r="X35" s="667"/>
      <c r="Y35" s="667"/>
      <c r="Z35" s="667"/>
      <c r="AA35" s="667"/>
      <c r="AB35" s="664"/>
      <c r="AC35" s="667"/>
      <c r="AD35" s="667"/>
      <c r="AE35" s="667"/>
      <c r="AF35" s="667"/>
      <c r="AG35" s="664"/>
      <c r="AH35" s="667"/>
      <c r="AI35" s="667"/>
      <c r="AJ35" s="667"/>
      <c r="AK35" s="667"/>
      <c r="AL35" s="664"/>
    </row>
    <row r="36" spans="1:38" ht="193.65" customHeight="1" x14ac:dyDescent="0.25">
      <c r="A36" s="661"/>
      <c r="B36" s="121" t="s">
        <v>354</v>
      </c>
      <c r="C36" s="664"/>
      <c r="D36" s="743"/>
      <c r="E36" s="743"/>
      <c r="F36" s="743"/>
      <c r="G36" s="743"/>
      <c r="H36" s="664"/>
      <c r="I36" s="667"/>
      <c r="J36" s="667"/>
      <c r="K36" s="667"/>
      <c r="L36" s="667"/>
      <c r="M36" s="664"/>
      <c r="N36" s="667"/>
      <c r="O36" s="667"/>
      <c r="P36" s="667"/>
      <c r="Q36" s="667"/>
      <c r="R36" s="664"/>
      <c r="S36" s="667"/>
      <c r="T36" s="667"/>
      <c r="U36" s="667"/>
      <c r="V36" s="667"/>
      <c r="W36" s="664"/>
      <c r="X36" s="667"/>
      <c r="Y36" s="667"/>
      <c r="Z36" s="667"/>
      <c r="AA36" s="667"/>
      <c r="AB36" s="664"/>
      <c r="AC36" s="667"/>
      <c r="AD36" s="667"/>
      <c r="AE36" s="667"/>
      <c r="AF36" s="667"/>
      <c r="AG36" s="664"/>
      <c r="AH36" s="667"/>
      <c r="AI36" s="667"/>
      <c r="AJ36" s="667"/>
      <c r="AK36" s="667"/>
      <c r="AL36" s="664"/>
    </row>
    <row r="37" spans="1:38" ht="207.6" customHeight="1" x14ac:dyDescent="0.25">
      <c r="A37" s="661"/>
      <c r="B37" s="121" t="s">
        <v>355</v>
      </c>
      <c r="C37" s="664"/>
      <c r="D37" s="743"/>
      <c r="E37" s="743"/>
      <c r="F37" s="743"/>
      <c r="G37" s="743"/>
      <c r="H37" s="664"/>
      <c r="I37" s="667"/>
      <c r="J37" s="667"/>
      <c r="K37" s="667"/>
      <c r="L37" s="667"/>
      <c r="M37" s="664"/>
      <c r="N37" s="667"/>
      <c r="O37" s="667"/>
      <c r="P37" s="667"/>
      <c r="Q37" s="667"/>
      <c r="R37" s="664"/>
      <c r="S37" s="667"/>
      <c r="T37" s="667"/>
      <c r="U37" s="667"/>
      <c r="V37" s="667"/>
      <c r="W37" s="664"/>
      <c r="X37" s="667"/>
      <c r="Y37" s="667"/>
      <c r="Z37" s="667"/>
      <c r="AA37" s="667"/>
      <c r="AB37" s="664"/>
      <c r="AC37" s="667"/>
      <c r="AD37" s="667"/>
      <c r="AE37" s="667"/>
      <c r="AF37" s="667"/>
      <c r="AG37" s="664"/>
      <c r="AH37" s="667"/>
      <c r="AI37" s="667"/>
      <c r="AJ37" s="667"/>
      <c r="AK37" s="667"/>
      <c r="AL37" s="664"/>
    </row>
    <row r="38" spans="1:38" ht="214.2" customHeight="1" x14ac:dyDescent="0.25">
      <c r="A38" s="661"/>
      <c r="B38" s="121" t="s">
        <v>356</v>
      </c>
      <c r="C38" s="664"/>
      <c r="D38" s="743"/>
      <c r="E38" s="743"/>
      <c r="F38" s="743"/>
      <c r="G38" s="743"/>
      <c r="H38" s="664"/>
      <c r="I38" s="667"/>
      <c r="J38" s="667"/>
      <c r="K38" s="667"/>
      <c r="L38" s="667"/>
      <c r="M38" s="664"/>
      <c r="N38" s="667"/>
      <c r="O38" s="667"/>
      <c r="P38" s="667"/>
      <c r="Q38" s="667"/>
      <c r="R38" s="664"/>
      <c r="S38" s="667"/>
      <c r="T38" s="667"/>
      <c r="U38" s="667"/>
      <c r="V38" s="667"/>
      <c r="W38" s="664"/>
      <c r="X38" s="667"/>
      <c r="Y38" s="667"/>
      <c r="Z38" s="667"/>
      <c r="AA38" s="667"/>
      <c r="AB38" s="664"/>
      <c r="AC38" s="667"/>
      <c r="AD38" s="667"/>
      <c r="AE38" s="667"/>
      <c r="AF38" s="667"/>
      <c r="AG38" s="664"/>
      <c r="AH38" s="667"/>
      <c r="AI38" s="667"/>
      <c r="AJ38" s="667"/>
      <c r="AK38" s="667"/>
      <c r="AL38" s="664"/>
    </row>
    <row r="39" spans="1:38" ht="228.6" customHeight="1" x14ac:dyDescent="0.25">
      <c r="A39" s="662"/>
      <c r="B39" s="250" t="s">
        <v>357</v>
      </c>
      <c r="C39" s="665"/>
      <c r="D39" s="745"/>
      <c r="E39" s="745"/>
      <c r="F39" s="745"/>
      <c r="G39" s="745"/>
      <c r="H39" s="665"/>
      <c r="I39" s="668"/>
      <c r="J39" s="668"/>
      <c r="K39" s="668"/>
      <c r="L39" s="668"/>
      <c r="M39" s="665"/>
      <c r="N39" s="668"/>
      <c r="O39" s="668"/>
      <c r="P39" s="668"/>
      <c r="Q39" s="668"/>
      <c r="R39" s="665"/>
      <c r="S39" s="668"/>
      <c r="T39" s="668"/>
      <c r="U39" s="668"/>
      <c r="V39" s="668"/>
      <c r="W39" s="665"/>
      <c r="X39" s="668"/>
      <c r="Y39" s="668"/>
      <c r="Z39" s="668"/>
      <c r="AA39" s="668"/>
      <c r="AB39" s="665"/>
      <c r="AC39" s="668"/>
      <c r="AD39" s="668"/>
      <c r="AE39" s="668"/>
      <c r="AF39" s="668"/>
      <c r="AG39" s="665"/>
      <c r="AH39" s="668"/>
      <c r="AI39" s="668"/>
      <c r="AJ39" s="668"/>
      <c r="AK39" s="668"/>
      <c r="AL39" s="665"/>
    </row>
    <row r="40" spans="1:38" ht="283.95" customHeight="1" x14ac:dyDescent="0.25">
      <c r="A40" s="660">
        <v>13</v>
      </c>
      <c r="B40" s="116" t="s">
        <v>358</v>
      </c>
      <c r="C40" s="747"/>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row>
    <row r="41" spans="1:38" ht="269.39999999999998" customHeight="1" x14ac:dyDescent="0.25">
      <c r="A41" s="661"/>
      <c r="B41" s="251" t="s">
        <v>359</v>
      </c>
      <c r="C41" s="751"/>
      <c r="D41" s="664"/>
      <c r="E41" s="664"/>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4"/>
    </row>
    <row r="42" spans="1:38" ht="157.94999999999999" customHeight="1" x14ac:dyDescent="0.25">
      <c r="A42" s="661"/>
      <c r="B42" s="251" t="s">
        <v>360</v>
      </c>
      <c r="C42" s="751"/>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4"/>
    </row>
    <row r="43" spans="1:38" ht="237.6" customHeight="1" x14ac:dyDescent="0.25">
      <c r="A43" s="661"/>
      <c r="B43" s="252" t="s">
        <v>361</v>
      </c>
      <c r="C43" s="751"/>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row>
    <row r="44" spans="1:38" ht="196.95" customHeight="1" x14ac:dyDescent="0.25">
      <c r="A44" s="662"/>
      <c r="B44" s="253" t="s">
        <v>362</v>
      </c>
      <c r="C44" s="748"/>
      <c r="D44" s="665"/>
      <c r="E44" s="665"/>
      <c r="F44" s="665"/>
      <c r="G44" s="665"/>
      <c r="H44" s="665"/>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row>
    <row r="45" spans="1:38" ht="279" customHeight="1" x14ac:dyDescent="0.25">
      <c r="A45" s="658">
        <v>13</v>
      </c>
      <c r="B45" s="254" t="s">
        <v>363</v>
      </c>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row>
    <row r="46" spans="1:38" ht="255.6" customHeight="1" x14ac:dyDescent="0.25">
      <c r="A46" s="659"/>
      <c r="B46" s="255" t="s">
        <v>364</v>
      </c>
      <c r="C46" s="665"/>
      <c r="D46" s="665"/>
      <c r="E46" s="665"/>
      <c r="F46" s="665"/>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c r="AH46" s="665"/>
      <c r="AI46" s="665"/>
      <c r="AJ46" s="665"/>
      <c r="AK46" s="665"/>
      <c r="AL46" s="665"/>
    </row>
    <row r="47" spans="1:38" ht="25.35" customHeight="1" x14ac:dyDescent="0.25">
      <c r="A47" s="122"/>
      <c r="B47" s="254" t="s">
        <v>1295</v>
      </c>
      <c r="C47" s="539">
        <v>0</v>
      </c>
      <c r="D47" s="539">
        <v>0</v>
      </c>
      <c r="E47" s="539">
        <v>0</v>
      </c>
      <c r="F47" s="539">
        <v>0</v>
      </c>
      <c r="G47" s="539">
        <v>0</v>
      </c>
      <c r="H47" s="539">
        <v>0</v>
      </c>
      <c r="I47" s="539">
        <v>0</v>
      </c>
      <c r="J47" s="539">
        <v>0</v>
      </c>
      <c r="K47" s="539">
        <v>0</v>
      </c>
      <c r="L47" s="539">
        <v>0</v>
      </c>
      <c r="M47" s="538">
        <f>N47+O47++P47+Q47</f>
        <v>5061</v>
      </c>
      <c r="N47" s="539">
        <v>5061</v>
      </c>
      <c r="O47" s="539">
        <v>0</v>
      </c>
      <c r="P47" s="539">
        <v>0</v>
      </c>
      <c r="Q47" s="539">
        <v>0</v>
      </c>
      <c r="R47" s="539">
        <v>0</v>
      </c>
      <c r="S47" s="539">
        <v>0</v>
      </c>
      <c r="T47" s="539">
        <v>0</v>
      </c>
      <c r="U47" s="539">
        <v>0</v>
      </c>
      <c r="V47" s="539">
        <v>0</v>
      </c>
      <c r="W47" s="539">
        <v>0</v>
      </c>
      <c r="X47" s="539">
        <v>0</v>
      </c>
      <c r="Y47" s="539">
        <v>0</v>
      </c>
      <c r="Z47" s="539">
        <v>0</v>
      </c>
      <c r="AA47" s="539">
        <v>0</v>
      </c>
      <c r="AB47" s="539">
        <v>0</v>
      </c>
      <c r="AC47" s="539">
        <v>0</v>
      </c>
      <c r="AD47" s="539">
        <v>0</v>
      </c>
      <c r="AE47" s="539">
        <v>0</v>
      </c>
      <c r="AF47" s="539">
        <v>0</v>
      </c>
      <c r="AG47" s="539">
        <v>0</v>
      </c>
      <c r="AH47" s="539">
        <v>0</v>
      </c>
      <c r="AI47" s="539">
        <v>0</v>
      </c>
      <c r="AJ47" s="539">
        <v>0</v>
      </c>
      <c r="AK47" s="539">
        <v>0</v>
      </c>
      <c r="AL47" s="538">
        <f t="shared" ref="AL47:AL61" si="3">SUM(C47,H47,M47,R47,W47,AB47,AG47)</f>
        <v>5061</v>
      </c>
    </row>
    <row r="48" spans="1:38" ht="58.35" customHeight="1" x14ac:dyDescent="0.25">
      <c r="A48" s="185">
        <v>14</v>
      </c>
      <c r="B48" s="111" t="s">
        <v>365</v>
      </c>
      <c r="C48" s="538">
        <f>SUM(D48:E48)</f>
        <v>0</v>
      </c>
      <c r="D48" s="740">
        <v>0</v>
      </c>
      <c r="E48" s="740">
        <v>0</v>
      </c>
      <c r="F48" s="740">
        <v>0</v>
      </c>
      <c r="G48" s="740">
        <v>0</v>
      </c>
      <c r="H48" s="538">
        <v>0</v>
      </c>
      <c r="I48" s="539">
        <v>0</v>
      </c>
      <c r="J48" s="539">
        <v>0</v>
      </c>
      <c r="K48" s="539">
        <v>0</v>
      </c>
      <c r="L48" s="539">
        <v>0</v>
      </c>
      <c r="M48" s="538">
        <f>N48+O48+P48+Q48</f>
        <v>0</v>
      </c>
      <c r="N48" s="539">
        <v>0</v>
      </c>
      <c r="O48" s="539">
        <v>0</v>
      </c>
      <c r="P48" s="539">
        <v>0</v>
      </c>
      <c r="Q48" s="539">
        <v>0</v>
      </c>
      <c r="R48" s="538">
        <v>0</v>
      </c>
      <c r="S48" s="539">
        <v>0</v>
      </c>
      <c r="T48" s="539">
        <v>0</v>
      </c>
      <c r="U48" s="539">
        <v>0</v>
      </c>
      <c r="V48" s="539">
        <v>0</v>
      </c>
      <c r="W48" s="538">
        <v>573</v>
      </c>
      <c r="X48" s="539">
        <f>573</f>
        <v>573</v>
      </c>
      <c r="Y48" s="539">
        <v>0</v>
      </c>
      <c r="Z48" s="539">
        <v>0</v>
      </c>
      <c r="AA48" s="539">
        <v>0</v>
      </c>
      <c r="AB48" s="538">
        <v>346</v>
      </c>
      <c r="AC48" s="539">
        <v>346</v>
      </c>
      <c r="AD48" s="539">
        <v>0</v>
      </c>
      <c r="AE48" s="539">
        <v>0</v>
      </c>
      <c r="AF48" s="539">
        <v>0</v>
      </c>
      <c r="AG48" s="112">
        <v>0</v>
      </c>
      <c r="AH48" s="112">
        <v>0</v>
      </c>
      <c r="AI48" s="539">
        <v>0</v>
      </c>
      <c r="AJ48" s="539">
        <v>0</v>
      </c>
      <c r="AK48" s="539">
        <v>0</v>
      </c>
      <c r="AL48" s="538">
        <f>SUM(C48,H48,M48,R48,W48,AB48,AG48)</f>
        <v>919</v>
      </c>
    </row>
    <row r="49" spans="1:38" ht="40.35" customHeight="1" x14ac:dyDescent="0.25">
      <c r="A49" s="185">
        <v>15</v>
      </c>
      <c r="B49" s="123" t="s">
        <v>12</v>
      </c>
      <c r="C49" s="538">
        <v>0</v>
      </c>
      <c r="D49" s="539">
        <v>0</v>
      </c>
      <c r="E49" s="539">
        <v>0</v>
      </c>
      <c r="F49" s="539">
        <v>0</v>
      </c>
      <c r="G49" s="539">
        <v>0</v>
      </c>
      <c r="H49" s="538">
        <v>0</v>
      </c>
      <c r="I49" s="539">
        <v>0</v>
      </c>
      <c r="J49" s="539">
        <v>0</v>
      </c>
      <c r="K49" s="539">
        <v>0</v>
      </c>
      <c r="L49" s="539">
        <v>0</v>
      </c>
      <c r="M49" s="538">
        <f>N49+O49+P49+Q49</f>
        <v>0</v>
      </c>
      <c r="N49" s="539">
        <v>0</v>
      </c>
      <c r="O49" s="539">
        <v>0</v>
      </c>
      <c r="P49" s="539">
        <v>0</v>
      </c>
      <c r="Q49" s="539">
        <v>0</v>
      </c>
      <c r="R49" s="538">
        <v>0</v>
      </c>
      <c r="S49" s="539">
        <v>0</v>
      </c>
      <c r="T49" s="539">
        <v>0</v>
      </c>
      <c r="U49" s="539">
        <v>0</v>
      </c>
      <c r="V49" s="539">
        <v>0</v>
      </c>
      <c r="W49" s="538">
        <f>X49+Y49+Z49+AA49</f>
        <v>0</v>
      </c>
      <c r="X49" s="539">
        <v>0</v>
      </c>
      <c r="Y49" s="539">
        <v>0</v>
      </c>
      <c r="Z49" s="539">
        <v>0</v>
      </c>
      <c r="AA49" s="539">
        <v>0</v>
      </c>
      <c r="AB49" s="538">
        <v>0</v>
      </c>
      <c r="AC49" s="539">
        <v>0</v>
      </c>
      <c r="AD49" s="539">
        <v>0</v>
      </c>
      <c r="AE49" s="539">
        <v>0</v>
      </c>
      <c r="AF49" s="539">
        <v>0</v>
      </c>
      <c r="AG49" s="112">
        <v>0</v>
      </c>
      <c r="AH49" s="112">
        <v>0</v>
      </c>
      <c r="AI49" s="539">
        <v>0</v>
      </c>
      <c r="AJ49" s="539">
        <v>0</v>
      </c>
      <c r="AK49" s="539">
        <v>0</v>
      </c>
      <c r="AL49" s="538">
        <f t="shared" si="3"/>
        <v>0</v>
      </c>
    </row>
    <row r="50" spans="1:38" ht="67.650000000000006" customHeight="1" x14ac:dyDescent="0.25">
      <c r="A50" s="185">
        <v>16</v>
      </c>
      <c r="B50" s="123" t="s">
        <v>11</v>
      </c>
      <c r="C50" s="538">
        <v>0</v>
      </c>
      <c r="D50" s="539">
        <v>0</v>
      </c>
      <c r="E50" s="539">
        <v>0</v>
      </c>
      <c r="F50" s="539">
        <v>0</v>
      </c>
      <c r="G50" s="539">
        <v>0</v>
      </c>
      <c r="H50" s="538">
        <v>0</v>
      </c>
      <c r="I50" s="539">
        <v>0</v>
      </c>
      <c r="J50" s="539">
        <v>0</v>
      </c>
      <c r="K50" s="539">
        <v>0</v>
      </c>
      <c r="L50" s="539">
        <v>0</v>
      </c>
      <c r="M50" s="538">
        <f t="shared" ref="M50:M60" si="4">N50+O50+P50+Q50</f>
        <v>0</v>
      </c>
      <c r="N50" s="539">
        <v>0</v>
      </c>
      <c r="O50" s="539">
        <v>0</v>
      </c>
      <c r="P50" s="539">
        <v>0</v>
      </c>
      <c r="Q50" s="539">
        <v>0</v>
      </c>
      <c r="R50" s="538">
        <v>0</v>
      </c>
      <c r="S50" s="539">
        <v>0</v>
      </c>
      <c r="T50" s="539">
        <v>0</v>
      </c>
      <c r="U50" s="539">
        <v>0</v>
      </c>
      <c r="V50" s="539">
        <v>0</v>
      </c>
      <c r="W50" s="538">
        <f t="shared" ref="W50:W60" si="5">X50+Y50+Z50+AA50</f>
        <v>0</v>
      </c>
      <c r="X50" s="539">
        <v>0</v>
      </c>
      <c r="Y50" s="539">
        <v>0</v>
      </c>
      <c r="Z50" s="539">
        <v>0</v>
      </c>
      <c r="AA50" s="539">
        <v>0</v>
      </c>
      <c r="AB50" s="538">
        <v>0</v>
      </c>
      <c r="AC50" s="539">
        <v>0</v>
      </c>
      <c r="AD50" s="539">
        <v>0</v>
      </c>
      <c r="AE50" s="539">
        <v>0</v>
      </c>
      <c r="AF50" s="539">
        <v>0</v>
      </c>
      <c r="AG50" s="112">
        <v>0</v>
      </c>
      <c r="AH50" s="112">
        <v>0</v>
      </c>
      <c r="AI50" s="539">
        <v>0</v>
      </c>
      <c r="AJ50" s="539">
        <v>0</v>
      </c>
      <c r="AK50" s="539">
        <v>0</v>
      </c>
      <c r="AL50" s="538">
        <f t="shared" si="3"/>
        <v>0</v>
      </c>
    </row>
    <row r="51" spans="1:38" ht="39.6" customHeight="1" x14ac:dyDescent="0.25">
      <c r="A51" s="185">
        <v>17</v>
      </c>
      <c r="B51" s="123" t="s">
        <v>366</v>
      </c>
      <c r="C51" s="538">
        <v>0</v>
      </c>
      <c r="D51" s="539">
        <v>0</v>
      </c>
      <c r="E51" s="539">
        <v>0</v>
      </c>
      <c r="F51" s="539">
        <v>0</v>
      </c>
      <c r="G51" s="539">
        <v>0</v>
      </c>
      <c r="H51" s="538">
        <v>0</v>
      </c>
      <c r="I51" s="539">
        <v>0</v>
      </c>
      <c r="J51" s="539">
        <v>0</v>
      </c>
      <c r="K51" s="539">
        <v>0</v>
      </c>
      <c r="L51" s="539">
        <v>0</v>
      </c>
      <c r="M51" s="538">
        <f t="shared" si="4"/>
        <v>0</v>
      </c>
      <c r="N51" s="539">
        <v>0</v>
      </c>
      <c r="O51" s="539">
        <v>0</v>
      </c>
      <c r="P51" s="539">
        <v>0</v>
      </c>
      <c r="Q51" s="539">
        <v>0</v>
      </c>
      <c r="R51" s="538">
        <v>0</v>
      </c>
      <c r="S51" s="539">
        <v>0</v>
      </c>
      <c r="T51" s="539">
        <v>0</v>
      </c>
      <c r="U51" s="539">
        <v>0</v>
      </c>
      <c r="V51" s="539">
        <v>0</v>
      </c>
      <c r="W51" s="538">
        <f t="shared" si="5"/>
        <v>0</v>
      </c>
      <c r="X51" s="539">
        <v>0</v>
      </c>
      <c r="Y51" s="539">
        <v>0</v>
      </c>
      <c r="Z51" s="539">
        <v>0</v>
      </c>
      <c r="AA51" s="539">
        <v>0</v>
      </c>
      <c r="AB51" s="538">
        <v>0</v>
      </c>
      <c r="AC51" s="539">
        <v>0</v>
      </c>
      <c r="AD51" s="539">
        <v>0</v>
      </c>
      <c r="AE51" s="539">
        <v>0</v>
      </c>
      <c r="AF51" s="539">
        <v>0</v>
      </c>
      <c r="AG51" s="112">
        <v>0</v>
      </c>
      <c r="AH51" s="112">
        <v>0</v>
      </c>
      <c r="AI51" s="539">
        <v>0</v>
      </c>
      <c r="AJ51" s="539">
        <v>0</v>
      </c>
      <c r="AK51" s="539">
        <v>0</v>
      </c>
      <c r="AL51" s="538">
        <f t="shared" si="3"/>
        <v>0</v>
      </c>
    </row>
    <row r="52" spans="1:38" ht="54.6" customHeight="1" x14ac:dyDescent="0.25">
      <c r="A52" s="185">
        <v>18</v>
      </c>
      <c r="B52" s="123" t="s">
        <v>16</v>
      </c>
      <c r="C52" s="538">
        <v>0</v>
      </c>
      <c r="D52" s="539">
        <v>0</v>
      </c>
      <c r="E52" s="539">
        <v>0</v>
      </c>
      <c r="F52" s="539">
        <v>0</v>
      </c>
      <c r="G52" s="539">
        <v>0</v>
      </c>
      <c r="H52" s="538">
        <v>0</v>
      </c>
      <c r="I52" s="539">
        <v>0</v>
      </c>
      <c r="J52" s="539">
        <v>0</v>
      </c>
      <c r="K52" s="539">
        <v>0</v>
      </c>
      <c r="L52" s="539">
        <v>0</v>
      </c>
      <c r="M52" s="538">
        <f t="shared" si="4"/>
        <v>0</v>
      </c>
      <c r="N52" s="539">
        <v>0</v>
      </c>
      <c r="O52" s="539">
        <v>0</v>
      </c>
      <c r="P52" s="539">
        <v>0</v>
      </c>
      <c r="Q52" s="539">
        <v>0</v>
      </c>
      <c r="R52" s="538">
        <v>0</v>
      </c>
      <c r="S52" s="539">
        <v>0</v>
      </c>
      <c r="T52" s="539">
        <v>0</v>
      </c>
      <c r="U52" s="539">
        <v>0</v>
      </c>
      <c r="V52" s="539">
        <v>0</v>
      </c>
      <c r="W52" s="538">
        <f t="shared" si="5"/>
        <v>0</v>
      </c>
      <c r="X52" s="539">
        <v>0</v>
      </c>
      <c r="Y52" s="539">
        <v>0</v>
      </c>
      <c r="Z52" s="539">
        <v>0</v>
      </c>
      <c r="AA52" s="539">
        <v>0</v>
      </c>
      <c r="AB52" s="538">
        <v>0</v>
      </c>
      <c r="AC52" s="539">
        <v>0</v>
      </c>
      <c r="AD52" s="539">
        <v>0</v>
      </c>
      <c r="AE52" s="539">
        <v>0</v>
      </c>
      <c r="AF52" s="539">
        <v>0</v>
      </c>
      <c r="AG52" s="112">
        <v>0</v>
      </c>
      <c r="AH52" s="112">
        <v>0</v>
      </c>
      <c r="AI52" s="539">
        <v>0</v>
      </c>
      <c r="AJ52" s="539">
        <v>0</v>
      </c>
      <c r="AK52" s="539">
        <v>0</v>
      </c>
      <c r="AL52" s="538">
        <f t="shared" si="3"/>
        <v>0</v>
      </c>
    </row>
    <row r="53" spans="1:38" ht="33" customHeight="1" x14ac:dyDescent="0.25">
      <c r="A53" s="185">
        <v>19</v>
      </c>
      <c r="B53" s="123" t="s">
        <v>10</v>
      </c>
      <c r="C53" s="538">
        <v>0</v>
      </c>
      <c r="D53" s="539">
        <v>0</v>
      </c>
      <c r="E53" s="539">
        <v>0</v>
      </c>
      <c r="F53" s="539">
        <v>0</v>
      </c>
      <c r="G53" s="539">
        <v>0</v>
      </c>
      <c r="H53" s="538">
        <v>0</v>
      </c>
      <c r="I53" s="539">
        <v>0</v>
      </c>
      <c r="J53" s="539">
        <v>0</v>
      </c>
      <c r="K53" s="539">
        <v>0</v>
      </c>
      <c r="L53" s="539">
        <v>0</v>
      </c>
      <c r="M53" s="538">
        <f t="shared" si="4"/>
        <v>0</v>
      </c>
      <c r="N53" s="539">
        <v>0</v>
      </c>
      <c r="O53" s="539">
        <v>0</v>
      </c>
      <c r="P53" s="539">
        <v>0</v>
      </c>
      <c r="Q53" s="539">
        <v>0</v>
      </c>
      <c r="R53" s="538">
        <v>0</v>
      </c>
      <c r="S53" s="539">
        <v>0</v>
      </c>
      <c r="T53" s="539">
        <v>0</v>
      </c>
      <c r="U53" s="539">
        <v>0</v>
      </c>
      <c r="V53" s="539">
        <v>0</v>
      </c>
      <c r="W53" s="538">
        <f t="shared" si="5"/>
        <v>0</v>
      </c>
      <c r="X53" s="539">
        <v>0</v>
      </c>
      <c r="Y53" s="539">
        <v>0</v>
      </c>
      <c r="Z53" s="539">
        <v>0</v>
      </c>
      <c r="AA53" s="539">
        <v>0</v>
      </c>
      <c r="AB53" s="538">
        <v>0</v>
      </c>
      <c r="AC53" s="539">
        <v>0</v>
      </c>
      <c r="AD53" s="539">
        <v>0</v>
      </c>
      <c r="AE53" s="539">
        <v>0</v>
      </c>
      <c r="AF53" s="539">
        <v>0</v>
      </c>
      <c r="AG53" s="112">
        <v>0</v>
      </c>
      <c r="AH53" s="112">
        <v>0</v>
      </c>
      <c r="AI53" s="539">
        <v>0</v>
      </c>
      <c r="AJ53" s="539">
        <v>0</v>
      </c>
      <c r="AK53" s="539">
        <v>0</v>
      </c>
      <c r="AL53" s="538">
        <f t="shared" si="3"/>
        <v>0</v>
      </c>
    </row>
    <row r="54" spans="1:38" ht="40.65" customHeight="1" x14ac:dyDescent="0.25">
      <c r="A54" s="185">
        <v>20</v>
      </c>
      <c r="B54" s="123" t="s">
        <v>9</v>
      </c>
      <c r="C54" s="538">
        <v>0</v>
      </c>
      <c r="D54" s="539">
        <v>0</v>
      </c>
      <c r="E54" s="539">
        <v>0</v>
      </c>
      <c r="F54" s="539">
        <v>0</v>
      </c>
      <c r="G54" s="539">
        <v>0</v>
      </c>
      <c r="H54" s="538">
        <v>0</v>
      </c>
      <c r="I54" s="539">
        <v>0</v>
      </c>
      <c r="J54" s="539">
        <v>0</v>
      </c>
      <c r="K54" s="539">
        <v>0</v>
      </c>
      <c r="L54" s="539">
        <v>0</v>
      </c>
      <c r="M54" s="538">
        <f t="shared" si="4"/>
        <v>0</v>
      </c>
      <c r="N54" s="539">
        <v>0</v>
      </c>
      <c r="O54" s="539">
        <v>0</v>
      </c>
      <c r="P54" s="539">
        <v>0</v>
      </c>
      <c r="Q54" s="539">
        <v>0</v>
      </c>
      <c r="R54" s="538">
        <v>0</v>
      </c>
      <c r="S54" s="539">
        <v>0</v>
      </c>
      <c r="T54" s="539">
        <v>0</v>
      </c>
      <c r="U54" s="539">
        <v>0</v>
      </c>
      <c r="V54" s="539">
        <v>0</v>
      </c>
      <c r="W54" s="538">
        <f t="shared" si="5"/>
        <v>0</v>
      </c>
      <c r="X54" s="539">
        <v>0</v>
      </c>
      <c r="Y54" s="539">
        <v>0</v>
      </c>
      <c r="Z54" s="539">
        <v>0</v>
      </c>
      <c r="AA54" s="539">
        <v>0</v>
      </c>
      <c r="AB54" s="538">
        <v>0</v>
      </c>
      <c r="AC54" s="539">
        <v>0</v>
      </c>
      <c r="AD54" s="539">
        <v>0</v>
      </c>
      <c r="AE54" s="539">
        <v>0</v>
      </c>
      <c r="AF54" s="539">
        <v>0</v>
      </c>
      <c r="AG54" s="112">
        <v>0</v>
      </c>
      <c r="AH54" s="112">
        <v>0</v>
      </c>
      <c r="AI54" s="539">
        <v>0</v>
      </c>
      <c r="AJ54" s="539">
        <v>0</v>
      </c>
      <c r="AK54" s="539">
        <v>0</v>
      </c>
      <c r="AL54" s="538">
        <f t="shared" si="3"/>
        <v>0</v>
      </c>
    </row>
    <row r="55" spans="1:38" ht="55.35" customHeight="1" x14ac:dyDescent="0.25">
      <c r="A55" s="185">
        <v>21</v>
      </c>
      <c r="B55" s="123" t="s">
        <v>15</v>
      </c>
      <c r="C55" s="538">
        <v>0</v>
      </c>
      <c r="D55" s="539">
        <v>0</v>
      </c>
      <c r="E55" s="539">
        <v>0</v>
      </c>
      <c r="F55" s="539">
        <v>0</v>
      </c>
      <c r="G55" s="539">
        <v>0</v>
      </c>
      <c r="H55" s="538">
        <v>0</v>
      </c>
      <c r="I55" s="539">
        <v>0</v>
      </c>
      <c r="J55" s="539">
        <v>0</v>
      </c>
      <c r="K55" s="539">
        <v>0</v>
      </c>
      <c r="L55" s="539">
        <v>0</v>
      </c>
      <c r="M55" s="538">
        <f t="shared" si="4"/>
        <v>0</v>
      </c>
      <c r="N55" s="539">
        <v>0</v>
      </c>
      <c r="O55" s="539">
        <v>0</v>
      </c>
      <c r="P55" s="539">
        <v>0</v>
      </c>
      <c r="Q55" s="539">
        <v>0</v>
      </c>
      <c r="R55" s="538">
        <v>0</v>
      </c>
      <c r="S55" s="539">
        <v>0</v>
      </c>
      <c r="T55" s="539">
        <v>0</v>
      </c>
      <c r="U55" s="539">
        <v>0</v>
      </c>
      <c r="V55" s="539">
        <v>0</v>
      </c>
      <c r="W55" s="538">
        <f t="shared" si="5"/>
        <v>0</v>
      </c>
      <c r="X55" s="539">
        <v>0</v>
      </c>
      <c r="Y55" s="539">
        <v>0</v>
      </c>
      <c r="Z55" s="539">
        <v>0</v>
      </c>
      <c r="AA55" s="539">
        <v>0</v>
      </c>
      <c r="AB55" s="538">
        <v>0</v>
      </c>
      <c r="AC55" s="539">
        <v>0</v>
      </c>
      <c r="AD55" s="539">
        <v>0</v>
      </c>
      <c r="AE55" s="539">
        <v>0</v>
      </c>
      <c r="AF55" s="539">
        <v>0</v>
      </c>
      <c r="AG55" s="112">
        <v>0</v>
      </c>
      <c r="AH55" s="112">
        <v>0</v>
      </c>
      <c r="AI55" s="539">
        <v>0</v>
      </c>
      <c r="AJ55" s="539">
        <v>0</v>
      </c>
      <c r="AK55" s="539">
        <v>0</v>
      </c>
      <c r="AL55" s="538">
        <f t="shared" si="3"/>
        <v>0</v>
      </c>
    </row>
    <row r="56" spans="1:38" ht="75.599999999999994" customHeight="1" x14ac:dyDescent="0.25">
      <c r="A56" s="185">
        <v>22</v>
      </c>
      <c r="B56" s="123" t="s">
        <v>43</v>
      </c>
      <c r="C56" s="538">
        <v>0</v>
      </c>
      <c r="D56" s="539">
        <v>0</v>
      </c>
      <c r="E56" s="539">
        <v>0</v>
      </c>
      <c r="F56" s="539">
        <v>0</v>
      </c>
      <c r="G56" s="539">
        <v>0</v>
      </c>
      <c r="H56" s="538">
        <v>0</v>
      </c>
      <c r="I56" s="539">
        <v>0</v>
      </c>
      <c r="J56" s="539">
        <v>0</v>
      </c>
      <c r="K56" s="539">
        <v>0</v>
      </c>
      <c r="L56" s="539">
        <v>0</v>
      </c>
      <c r="M56" s="538">
        <f t="shared" si="4"/>
        <v>0</v>
      </c>
      <c r="N56" s="539">
        <v>0</v>
      </c>
      <c r="O56" s="539">
        <v>0</v>
      </c>
      <c r="P56" s="539">
        <v>0</v>
      </c>
      <c r="Q56" s="539">
        <v>0</v>
      </c>
      <c r="R56" s="538">
        <v>0</v>
      </c>
      <c r="S56" s="539">
        <v>0</v>
      </c>
      <c r="T56" s="539">
        <v>0</v>
      </c>
      <c r="U56" s="539">
        <v>0</v>
      </c>
      <c r="V56" s="539">
        <v>0</v>
      </c>
      <c r="W56" s="538">
        <f t="shared" si="5"/>
        <v>0</v>
      </c>
      <c r="X56" s="539">
        <v>0</v>
      </c>
      <c r="Y56" s="539">
        <v>0</v>
      </c>
      <c r="Z56" s="539">
        <v>0</v>
      </c>
      <c r="AA56" s="539">
        <v>0</v>
      </c>
      <c r="AB56" s="538">
        <v>0</v>
      </c>
      <c r="AC56" s="539">
        <v>0</v>
      </c>
      <c r="AD56" s="539">
        <v>0</v>
      </c>
      <c r="AE56" s="539">
        <v>0</v>
      </c>
      <c r="AF56" s="539">
        <v>0</v>
      </c>
      <c r="AG56" s="112">
        <v>0</v>
      </c>
      <c r="AH56" s="112">
        <v>0</v>
      </c>
      <c r="AI56" s="539">
        <v>0</v>
      </c>
      <c r="AJ56" s="539">
        <v>0</v>
      </c>
      <c r="AK56" s="539">
        <v>0</v>
      </c>
      <c r="AL56" s="538">
        <f t="shared" si="3"/>
        <v>0</v>
      </c>
    </row>
    <row r="57" spans="1:38" ht="48" customHeight="1" x14ac:dyDescent="0.25">
      <c r="A57" s="185">
        <v>23</v>
      </c>
      <c r="B57" s="123" t="s">
        <v>13</v>
      </c>
      <c r="C57" s="538">
        <v>0</v>
      </c>
      <c r="D57" s="539">
        <v>0</v>
      </c>
      <c r="E57" s="539">
        <v>0</v>
      </c>
      <c r="F57" s="539">
        <v>0</v>
      </c>
      <c r="G57" s="539">
        <v>0</v>
      </c>
      <c r="H57" s="538">
        <v>0</v>
      </c>
      <c r="I57" s="539">
        <v>0</v>
      </c>
      <c r="J57" s="539">
        <v>0</v>
      </c>
      <c r="K57" s="539">
        <v>0</v>
      </c>
      <c r="L57" s="539">
        <v>0</v>
      </c>
      <c r="M57" s="538">
        <f t="shared" si="4"/>
        <v>0</v>
      </c>
      <c r="N57" s="539">
        <v>0</v>
      </c>
      <c r="O57" s="539">
        <v>0</v>
      </c>
      <c r="P57" s="539">
        <v>0</v>
      </c>
      <c r="Q57" s="539">
        <v>0</v>
      </c>
      <c r="R57" s="538">
        <v>0</v>
      </c>
      <c r="S57" s="539">
        <v>0</v>
      </c>
      <c r="T57" s="539">
        <v>0</v>
      </c>
      <c r="U57" s="539">
        <v>0</v>
      </c>
      <c r="V57" s="539">
        <v>0</v>
      </c>
      <c r="W57" s="538">
        <f t="shared" si="5"/>
        <v>0</v>
      </c>
      <c r="X57" s="539">
        <v>0</v>
      </c>
      <c r="Y57" s="539">
        <v>0</v>
      </c>
      <c r="Z57" s="539">
        <v>0</v>
      </c>
      <c r="AA57" s="539">
        <v>0</v>
      </c>
      <c r="AB57" s="538">
        <v>0</v>
      </c>
      <c r="AC57" s="539">
        <v>0</v>
      </c>
      <c r="AD57" s="539">
        <v>0</v>
      </c>
      <c r="AE57" s="539">
        <v>0</v>
      </c>
      <c r="AF57" s="539">
        <v>0</v>
      </c>
      <c r="AG57" s="112">
        <v>0</v>
      </c>
      <c r="AH57" s="112">
        <v>0</v>
      </c>
      <c r="AI57" s="539">
        <v>0</v>
      </c>
      <c r="AJ57" s="539">
        <v>0</v>
      </c>
      <c r="AK57" s="539">
        <v>0</v>
      </c>
      <c r="AL57" s="538">
        <f t="shared" si="3"/>
        <v>0</v>
      </c>
    </row>
    <row r="58" spans="1:38" ht="41.4" customHeight="1" x14ac:dyDescent="0.25">
      <c r="A58" s="185">
        <v>24</v>
      </c>
      <c r="B58" s="111" t="s">
        <v>44</v>
      </c>
      <c r="C58" s="538">
        <v>0</v>
      </c>
      <c r="D58" s="539">
        <v>0</v>
      </c>
      <c r="E58" s="539">
        <v>0</v>
      </c>
      <c r="F58" s="539">
        <v>0</v>
      </c>
      <c r="G58" s="539">
        <v>0</v>
      </c>
      <c r="H58" s="538">
        <v>0</v>
      </c>
      <c r="I58" s="539">
        <v>0</v>
      </c>
      <c r="J58" s="539">
        <v>0</v>
      </c>
      <c r="K58" s="539">
        <v>0</v>
      </c>
      <c r="L58" s="539">
        <v>0</v>
      </c>
      <c r="M58" s="538">
        <f t="shared" si="4"/>
        <v>0</v>
      </c>
      <c r="N58" s="539">
        <v>0</v>
      </c>
      <c r="O58" s="539">
        <v>0</v>
      </c>
      <c r="P58" s="539">
        <v>0</v>
      </c>
      <c r="Q58" s="539">
        <v>0</v>
      </c>
      <c r="R58" s="538">
        <v>0</v>
      </c>
      <c r="S58" s="539">
        <v>0</v>
      </c>
      <c r="T58" s="539">
        <v>0</v>
      </c>
      <c r="U58" s="539">
        <v>0</v>
      </c>
      <c r="V58" s="539">
        <v>0</v>
      </c>
      <c r="W58" s="538">
        <f t="shared" si="5"/>
        <v>0</v>
      </c>
      <c r="X58" s="539">
        <v>0</v>
      </c>
      <c r="Y58" s="539">
        <v>0</v>
      </c>
      <c r="Z58" s="539">
        <v>0</v>
      </c>
      <c r="AA58" s="539">
        <v>0</v>
      </c>
      <c r="AB58" s="538">
        <v>0</v>
      </c>
      <c r="AC58" s="539">
        <v>0</v>
      </c>
      <c r="AD58" s="539">
        <v>0</v>
      </c>
      <c r="AE58" s="539">
        <v>0</v>
      </c>
      <c r="AF58" s="539">
        <v>0</v>
      </c>
      <c r="AG58" s="112">
        <v>0</v>
      </c>
      <c r="AH58" s="112">
        <v>0</v>
      </c>
      <c r="AI58" s="539">
        <v>0</v>
      </c>
      <c r="AJ58" s="539">
        <v>0</v>
      </c>
      <c r="AK58" s="539">
        <v>0</v>
      </c>
      <c r="AL58" s="538">
        <f t="shared" si="3"/>
        <v>0</v>
      </c>
    </row>
    <row r="59" spans="1:38" ht="38.4" customHeight="1" x14ac:dyDescent="0.25">
      <c r="A59" s="185">
        <v>25</v>
      </c>
      <c r="B59" s="111" t="s">
        <v>1</v>
      </c>
      <c r="C59" s="538">
        <f t="shared" ref="C59:C70" si="6">SUM(D59:E59)</f>
        <v>0</v>
      </c>
      <c r="D59" s="539">
        <v>0</v>
      </c>
      <c r="E59" s="539">
        <v>0</v>
      </c>
      <c r="F59" s="539">
        <v>0</v>
      </c>
      <c r="G59" s="539">
        <v>0</v>
      </c>
      <c r="H59" s="538">
        <v>0</v>
      </c>
      <c r="I59" s="539">
        <v>0</v>
      </c>
      <c r="J59" s="539">
        <v>0</v>
      </c>
      <c r="K59" s="539">
        <v>0</v>
      </c>
      <c r="L59" s="539">
        <v>0</v>
      </c>
      <c r="M59" s="538">
        <f t="shared" si="4"/>
        <v>0</v>
      </c>
      <c r="N59" s="539">
        <v>0</v>
      </c>
      <c r="O59" s="539">
        <v>0</v>
      </c>
      <c r="P59" s="539">
        <v>0</v>
      </c>
      <c r="Q59" s="539">
        <v>0</v>
      </c>
      <c r="R59" s="538">
        <v>0</v>
      </c>
      <c r="S59" s="539">
        <v>0</v>
      </c>
      <c r="T59" s="539">
        <v>0</v>
      </c>
      <c r="U59" s="539">
        <v>0</v>
      </c>
      <c r="V59" s="539">
        <v>0</v>
      </c>
      <c r="W59" s="538">
        <f t="shared" si="5"/>
        <v>0</v>
      </c>
      <c r="X59" s="539">
        <v>0</v>
      </c>
      <c r="Y59" s="539">
        <v>0</v>
      </c>
      <c r="Z59" s="539">
        <v>0</v>
      </c>
      <c r="AA59" s="539">
        <v>0</v>
      </c>
      <c r="AB59" s="538">
        <v>0</v>
      </c>
      <c r="AC59" s="539">
        <v>0</v>
      </c>
      <c r="AD59" s="539">
        <v>0</v>
      </c>
      <c r="AE59" s="539">
        <v>0</v>
      </c>
      <c r="AF59" s="539">
        <v>0</v>
      </c>
      <c r="AG59" s="112">
        <v>0</v>
      </c>
      <c r="AH59" s="112">
        <v>0</v>
      </c>
      <c r="AI59" s="539">
        <v>0</v>
      </c>
      <c r="AJ59" s="539">
        <v>0</v>
      </c>
      <c r="AK59" s="539">
        <v>0</v>
      </c>
      <c r="AL59" s="538">
        <f t="shared" si="3"/>
        <v>0</v>
      </c>
    </row>
    <row r="60" spans="1:38" ht="39.6" customHeight="1" x14ac:dyDescent="0.25">
      <c r="A60" s="185">
        <v>26</v>
      </c>
      <c r="B60" s="111" t="s">
        <v>7</v>
      </c>
      <c r="C60" s="538">
        <f t="shared" si="6"/>
        <v>0</v>
      </c>
      <c r="D60" s="539">
        <v>0</v>
      </c>
      <c r="E60" s="539">
        <v>0</v>
      </c>
      <c r="F60" s="539">
        <v>0</v>
      </c>
      <c r="G60" s="539">
        <v>0</v>
      </c>
      <c r="H60" s="538">
        <v>0</v>
      </c>
      <c r="I60" s="539">
        <v>0</v>
      </c>
      <c r="J60" s="539">
        <v>0</v>
      </c>
      <c r="K60" s="539">
        <v>0</v>
      </c>
      <c r="L60" s="539">
        <v>0</v>
      </c>
      <c r="M60" s="538">
        <f t="shared" si="4"/>
        <v>0</v>
      </c>
      <c r="N60" s="539">
        <v>0</v>
      </c>
      <c r="O60" s="539">
        <v>0</v>
      </c>
      <c r="P60" s="539">
        <v>0</v>
      </c>
      <c r="Q60" s="539">
        <v>0</v>
      </c>
      <c r="R60" s="538">
        <v>0</v>
      </c>
      <c r="S60" s="539">
        <v>0</v>
      </c>
      <c r="T60" s="539">
        <v>0</v>
      </c>
      <c r="U60" s="539">
        <v>0</v>
      </c>
      <c r="V60" s="539">
        <v>0</v>
      </c>
      <c r="W60" s="538">
        <f t="shared" si="5"/>
        <v>0</v>
      </c>
      <c r="X60" s="539">
        <v>0</v>
      </c>
      <c r="Y60" s="539">
        <v>0</v>
      </c>
      <c r="Z60" s="539">
        <v>0</v>
      </c>
      <c r="AA60" s="539">
        <v>0</v>
      </c>
      <c r="AB60" s="538">
        <v>0</v>
      </c>
      <c r="AC60" s="539">
        <v>0</v>
      </c>
      <c r="AD60" s="539">
        <v>0</v>
      </c>
      <c r="AE60" s="539">
        <v>0</v>
      </c>
      <c r="AF60" s="539">
        <v>0</v>
      </c>
      <c r="AG60" s="112">
        <v>0</v>
      </c>
      <c r="AH60" s="112">
        <v>0</v>
      </c>
      <c r="AI60" s="539">
        <v>0</v>
      </c>
      <c r="AJ60" s="539">
        <v>0</v>
      </c>
      <c r="AK60" s="539">
        <v>0</v>
      </c>
      <c r="AL60" s="538">
        <f t="shared" si="3"/>
        <v>0</v>
      </c>
    </row>
    <row r="61" spans="1:38" ht="31.35" customHeight="1" x14ac:dyDescent="0.25">
      <c r="A61" s="185">
        <v>27</v>
      </c>
      <c r="B61" s="111" t="s">
        <v>18</v>
      </c>
      <c r="C61" s="538">
        <f t="shared" si="6"/>
        <v>0</v>
      </c>
      <c r="D61" s="539">
        <v>0</v>
      </c>
      <c r="E61" s="539">
        <v>0</v>
      </c>
      <c r="F61" s="539">
        <v>0</v>
      </c>
      <c r="G61" s="539">
        <v>0</v>
      </c>
      <c r="H61" s="538">
        <f>I61+J61+K61+L61</f>
        <v>0</v>
      </c>
      <c r="I61" s="539">
        <v>0</v>
      </c>
      <c r="J61" s="539">
        <v>0</v>
      </c>
      <c r="K61" s="539">
        <v>0</v>
      </c>
      <c r="L61" s="539">
        <v>0</v>
      </c>
      <c r="M61" s="538">
        <f>N61+O61+P61+Q61</f>
        <v>0</v>
      </c>
      <c r="N61" s="539">
        <v>0</v>
      </c>
      <c r="O61" s="539">
        <v>0</v>
      </c>
      <c r="P61" s="539">
        <v>0</v>
      </c>
      <c r="Q61" s="539">
        <v>0</v>
      </c>
      <c r="R61" s="538">
        <v>0</v>
      </c>
      <c r="S61" s="539">
        <v>0</v>
      </c>
      <c r="T61" s="539">
        <v>0</v>
      </c>
      <c r="U61" s="539">
        <v>0</v>
      </c>
      <c r="V61" s="539">
        <v>0</v>
      </c>
      <c r="W61" s="538">
        <v>0</v>
      </c>
      <c r="X61" s="539">
        <v>0</v>
      </c>
      <c r="Y61" s="539">
        <v>0</v>
      </c>
      <c r="Z61" s="539">
        <v>0</v>
      </c>
      <c r="AA61" s="539">
        <v>0</v>
      </c>
      <c r="AB61" s="538">
        <v>0</v>
      </c>
      <c r="AC61" s="539">
        <v>0</v>
      </c>
      <c r="AD61" s="539">
        <v>0</v>
      </c>
      <c r="AE61" s="539">
        <v>0</v>
      </c>
      <c r="AF61" s="539">
        <v>0</v>
      </c>
      <c r="AG61" s="112">
        <v>0</v>
      </c>
      <c r="AH61" s="112">
        <v>0</v>
      </c>
      <c r="AI61" s="539">
        <v>0</v>
      </c>
      <c r="AJ61" s="539">
        <v>0</v>
      </c>
      <c r="AK61" s="539">
        <v>0</v>
      </c>
      <c r="AL61" s="538">
        <f t="shared" si="3"/>
        <v>0</v>
      </c>
    </row>
    <row r="62" spans="1:38" ht="35.4" customHeight="1" x14ac:dyDescent="0.25">
      <c r="A62" s="657">
        <v>28</v>
      </c>
      <c r="B62" s="116" t="s">
        <v>1289</v>
      </c>
      <c r="C62" s="749">
        <f t="shared" si="6"/>
        <v>0</v>
      </c>
      <c r="D62" s="655">
        <v>0</v>
      </c>
      <c r="E62" s="655">
        <v>0</v>
      </c>
      <c r="F62" s="655">
        <v>0</v>
      </c>
      <c r="G62" s="655">
        <v>0</v>
      </c>
      <c r="H62" s="654">
        <f>I62+J62+K62+L62</f>
        <v>8026</v>
      </c>
      <c r="I62" s="655">
        <v>8026</v>
      </c>
      <c r="J62" s="655">
        <v>0</v>
      </c>
      <c r="K62" s="655">
        <v>0</v>
      </c>
      <c r="L62" s="655">
        <v>0</v>
      </c>
      <c r="M62" s="654">
        <f>N62+O62+P62+Q62</f>
        <v>9950</v>
      </c>
      <c r="N62" s="655">
        <f>10000-25-25</f>
        <v>9950</v>
      </c>
      <c r="O62" s="655">
        <v>0</v>
      </c>
      <c r="P62" s="655">
        <v>0</v>
      </c>
      <c r="Q62" s="655">
        <v>0</v>
      </c>
      <c r="R62" s="654">
        <v>19173.3</v>
      </c>
      <c r="S62" s="655">
        <v>19173.3</v>
      </c>
      <c r="T62" s="655">
        <v>0</v>
      </c>
      <c r="U62" s="655">
        <v>0</v>
      </c>
      <c r="V62" s="655">
        <v>0</v>
      </c>
      <c r="W62" s="654">
        <f>X62+Y62+Z62+AA62</f>
        <v>26614</v>
      </c>
      <c r="X62" s="655">
        <v>26614</v>
      </c>
      <c r="Y62" s="655">
        <v>0</v>
      </c>
      <c r="Z62" s="655">
        <v>0</v>
      </c>
      <c r="AA62" s="655">
        <v>0</v>
      </c>
      <c r="AB62" s="654">
        <v>29148</v>
      </c>
      <c r="AC62" s="655">
        <v>29148</v>
      </c>
      <c r="AD62" s="655">
        <v>0</v>
      </c>
      <c r="AE62" s="655">
        <v>0</v>
      </c>
      <c r="AF62" s="655">
        <v>0</v>
      </c>
      <c r="AG62" s="654">
        <f>AH62</f>
        <v>15950</v>
      </c>
      <c r="AH62" s="655">
        <f>15950</f>
        <v>15950</v>
      </c>
      <c r="AI62" s="655">
        <v>0</v>
      </c>
      <c r="AJ62" s="655">
        <v>0</v>
      </c>
      <c r="AK62" s="655">
        <v>0</v>
      </c>
      <c r="AL62" s="654">
        <f>SUM(C62,H62,M62,R62,W62,AB62,AG62)</f>
        <v>108861.3</v>
      </c>
    </row>
    <row r="63" spans="1:38" ht="277.95" customHeight="1" x14ac:dyDescent="0.25">
      <c r="A63" s="657"/>
      <c r="B63" s="120" t="s">
        <v>367</v>
      </c>
      <c r="C63" s="749"/>
      <c r="D63" s="655"/>
      <c r="E63" s="655"/>
      <c r="F63" s="655"/>
      <c r="G63" s="655"/>
      <c r="H63" s="654"/>
      <c r="I63" s="655"/>
      <c r="J63" s="655"/>
      <c r="K63" s="655"/>
      <c r="L63" s="655"/>
      <c r="M63" s="654"/>
      <c r="N63" s="655"/>
      <c r="O63" s="655"/>
      <c r="P63" s="655"/>
      <c r="Q63" s="655"/>
      <c r="R63" s="654"/>
      <c r="S63" s="655"/>
      <c r="T63" s="655"/>
      <c r="U63" s="655"/>
      <c r="V63" s="655"/>
      <c r="W63" s="654"/>
      <c r="X63" s="655"/>
      <c r="Y63" s="655"/>
      <c r="Z63" s="655"/>
      <c r="AA63" s="655"/>
      <c r="AB63" s="654"/>
      <c r="AC63" s="655"/>
      <c r="AD63" s="655"/>
      <c r="AE63" s="655"/>
      <c r="AF63" s="655"/>
      <c r="AG63" s="654"/>
      <c r="AH63" s="655"/>
      <c r="AI63" s="655"/>
      <c r="AJ63" s="655"/>
      <c r="AK63" s="655"/>
      <c r="AL63" s="654"/>
    </row>
    <row r="64" spans="1:38" ht="331.65" customHeight="1" x14ac:dyDescent="0.25">
      <c r="A64" s="657"/>
      <c r="B64" s="256" t="s">
        <v>368</v>
      </c>
      <c r="C64" s="749"/>
      <c r="D64" s="655"/>
      <c r="E64" s="655"/>
      <c r="F64" s="655"/>
      <c r="G64" s="655"/>
      <c r="H64" s="654"/>
      <c r="I64" s="655"/>
      <c r="J64" s="655"/>
      <c r="K64" s="655"/>
      <c r="L64" s="655"/>
      <c r="M64" s="654"/>
      <c r="N64" s="655"/>
      <c r="O64" s="655"/>
      <c r="P64" s="655"/>
      <c r="Q64" s="655"/>
      <c r="R64" s="654"/>
      <c r="S64" s="655"/>
      <c r="T64" s="655"/>
      <c r="U64" s="655"/>
      <c r="V64" s="655"/>
      <c r="W64" s="654"/>
      <c r="X64" s="655"/>
      <c r="Y64" s="655"/>
      <c r="Z64" s="655"/>
      <c r="AA64" s="655"/>
      <c r="AB64" s="654"/>
      <c r="AC64" s="655"/>
      <c r="AD64" s="655"/>
      <c r="AE64" s="655"/>
      <c r="AF64" s="655"/>
      <c r="AG64" s="654"/>
      <c r="AH64" s="655"/>
      <c r="AI64" s="655"/>
      <c r="AJ64" s="655"/>
      <c r="AK64" s="655"/>
      <c r="AL64" s="654"/>
    </row>
    <row r="65" spans="1:38" ht="47.4" customHeight="1" x14ac:dyDescent="0.25">
      <c r="A65" s="657"/>
      <c r="B65" s="256" t="s">
        <v>369</v>
      </c>
      <c r="C65" s="749"/>
      <c r="D65" s="655"/>
      <c r="E65" s="655"/>
      <c r="F65" s="655"/>
      <c r="G65" s="655"/>
      <c r="H65" s="654"/>
      <c r="I65" s="655"/>
      <c r="J65" s="655"/>
      <c r="K65" s="655"/>
      <c r="L65" s="655"/>
      <c r="M65" s="654"/>
      <c r="N65" s="655"/>
      <c r="O65" s="655"/>
      <c r="P65" s="655"/>
      <c r="Q65" s="655"/>
      <c r="R65" s="654"/>
      <c r="S65" s="655"/>
      <c r="T65" s="655"/>
      <c r="U65" s="655"/>
      <c r="V65" s="655"/>
      <c r="W65" s="654"/>
      <c r="X65" s="655"/>
      <c r="Y65" s="655"/>
      <c r="Z65" s="655"/>
      <c r="AA65" s="655"/>
      <c r="AB65" s="654"/>
      <c r="AC65" s="655"/>
      <c r="AD65" s="655"/>
      <c r="AE65" s="655"/>
      <c r="AF65" s="655"/>
      <c r="AG65" s="654"/>
      <c r="AH65" s="655"/>
      <c r="AI65" s="655"/>
      <c r="AJ65" s="655"/>
      <c r="AK65" s="655"/>
      <c r="AL65" s="654"/>
    </row>
    <row r="66" spans="1:38" ht="299.39999999999998" customHeight="1" x14ac:dyDescent="0.25">
      <c r="A66" s="657"/>
      <c r="B66" s="256" t="s">
        <v>370</v>
      </c>
      <c r="C66" s="749"/>
      <c r="D66" s="655"/>
      <c r="E66" s="655"/>
      <c r="F66" s="655"/>
      <c r="G66" s="655"/>
      <c r="H66" s="654"/>
      <c r="I66" s="655"/>
      <c r="J66" s="655"/>
      <c r="K66" s="655"/>
      <c r="L66" s="655"/>
      <c r="M66" s="654"/>
      <c r="N66" s="655"/>
      <c r="O66" s="655"/>
      <c r="P66" s="655"/>
      <c r="Q66" s="655"/>
      <c r="R66" s="654"/>
      <c r="S66" s="655"/>
      <c r="T66" s="655"/>
      <c r="U66" s="655"/>
      <c r="V66" s="655"/>
      <c r="W66" s="654"/>
      <c r="X66" s="655"/>
      <c r="Y66" s="655"/>
      <c r="Z66" s="655"/>
      <c r="AA66" s="655"/>
      <c r="AB66" s="654"/>
      <c r="AC66" s="655"/>
      <c r="AD66" s="655"/>
      <c r="AE66" s="655"/>
      <c r="AF66" s="655"/>
      <c r="AG66" s="654"/>
      <c r="AH66" s="655"/>
      <c r="AI66" s="655"/>
      <c r="AJ66" s="655"/>
      <c r="AK66" s="655"/>
      <c r="AL66" s="654"/>
    </row>
    <row r="67" spans="1:38" ht="65.25" customHeight="1" x14ac:dyDescent="0.25">
      <c r="A67" s="657"/>
      <c r="B67" s="119" t="s">
        <v>371</v>
      </c>
      <c r="C67" s="749"/>
      <c r="D67" s="655"/>
      <c r="E67" s="655"/>
      <c r="F67" s="655"/>
      <c r="G67" s="655"/>
      <c r="H67" s="654"/>
      <c r="I67" s="655"/>
      <c r="J67" s="655"/>
      <c r="K67" s="655"/>
      <c r="L67" s="655"/>
      <c r="M67" s="654"/>
      <c r="N67" s="655"/>
      <c r="O67" s="655"/>
      <c r="P67" s="655"/>
      <c r="Q67" s="655"/>
      <c r="R67" s="654"/>
      <c r="S67" s="655"/>
      <c r="T67" s="655"/>
      <c r="U67" s="655"/>
      <c r="V67" s="655"/>
      <c r="W67" s="654"/>
      <c r="X67" s="655"/>
      <c r="Y67" s="655"/>
      <c r="Z67" s="655"/>
      <c r="AA67" s="655"/>
      <c r="AB67" s="654"/>
      <c r="AC67" s="655"/>
      <c r="AD67" s="655"/>
      <c r="AE67" s="655"/>
      <c r="AF67" s="655"/>
      <c r="AG67" s="654"/>
      <c r="AH67" s="655"/>
      <c r="AI67" s="655"/>
      <c r="AJ67" s="655"/>
      <c r="AK67" s="655"/>
      <c r="AL67" s="654"/>
    </row>
    <row r="68" spans="1:38" ht="49.65" customHeight="1" x14ac:dyDescent="0.25">
      <c r="A68" s="185">
        <v>29</v>
      </c>
      <c r="B68" s="117" t="s">
        <v>372</v>
      </c>
      <c r="C68" s="538">
        <f t="shared" si="6"/>
        <v>4700</v>
      </c>
      <c r="D68" s="539">
        <v>4700</v>
      </c>
      <c r="E68" s="539">
        <v>0</v>
      </c>
      <c r="F68" s="539">
        <v>0</v>
      </c>
      <c r="G68" s="539">
        <v>0</v>
      </c>
      <c r="H68" s="538">
        <f>SUM(I68:J68)</f>
        <v>0</v>
      </c>
      <c r="I68" s="539">
        <v>0</v>
      </c>
      <c r="J68" s="539">
        <v>0</v>
      </c>
      <c r="K68" s="539">
        <v>0</v>
      </c>
      <c r="L68" s="539">
        <v>0</v>
      </c>
      <c r="M68" s="538">
        <f>SUM(N68:O68)</f>
        <v>1215</v>
      </c>
      <c r="N68" s="539">
        <f>1455-120-120</f>
        <v>1215</v>
      </c>
      <c r="O68" s="539">
        <v>0</v>
      </c>
      <c r="P68" s="539">
        <v>0</v>
      </c>
      <c r="Q68" s="539">
        <v>0</v>
      </c>
      <c r="R68" s="538">
        <v>0</v>
      </c>
      <c r="S68" s="539">
        <v>0</v>
      </c>
      <c r="T68" s="539">
        <v>0</v>
      </c>
      <c r="U68" s="539">
        <v>0</v>
      </c>
      <c r="V68" s="539">
        <v>0</v>
      </c>
      <c r="W68" s="538">
        <v>0</v>
      </c>
      <c r="X68" s="539">
        <v>0</v>
      </c>
      <c r="Y68" s="539">
        <v>0</v>
      </c>
      <c r="Z68" s="539">
        <v>0</v>
      </c>
      <c r="AA68" s="539">
        <v>0</v>
      </c>
      <c r="AB68" s="538">
        <v>0</v>
      </c>
      <c r="AC68" s="539">
        <v>0</v>
      </c>
      <c r="AD68" s="539">
        <v>0</v>
      </c>
      <c r="AE68" s="539">
        <v>0</v>
      </c>
      <c r="AF68" s="539">
        <v>0</v>
      </c>
      <c r="AG68" s="112">
        <v>0</v>
      </c>
      <c r="AH68" s="112">
        <v>0</v>
      </c>
      <c r="AI68" s="539">
        <v>0</v>
      </c>
      <c r="AJ68" s="539">
        <v>0</v>
      </c>
      <c r="AK68" s="539">
        <v>0</v>
      </c>
      <c r="AL68" s="538">
        <f>SUM(C68,H68,M68,R68,W68,AB68,AG68)</f>
        <v>5915</v>
      </c>
    </row>
    <row r="69" spans="1:38" ht="35.4" customHeight="1" x14ac:dyDescent="0.25">
      <c r="A69" s="185">
        <v>30</v>
      </c>
      <c r="B69" s="111" t="s">
        <v>0</v>
      </c>
      <c r="C69" s="538">
        <f t="shared" si="6"/>
        <v>0</v>
      </c>
      <c r="D69" s="539">
        <v>0</v>
      </c>
      <c r="E69" s="539">
        <v>0</v>
      </c>
      <c r="F69" s="539">
        <v>0</v>
      </c>
      <c r="G69" s="539">
        <v>0</v>
      </c>
      <c r="H69" s="538">
        <v>0</v>
      </c>
      <c r="I69" s="539">
        <v>0</v>
      </c>
      <c r="J69" s="539">
        <v>0</v>
      </c>
      <c r="K69" s="539">
        <v>0</v>
      </c>
      <c r="L69" s="539">
        <v>0</v>
      </c>
      <c r="M69" s="538">
        <f>SUM(N69:O69)</f>
        <v>0</v>
      </c>
      <c r="N69" s="539">
        <v>0</v>
      </c>
      <c r="O69" s="539">
        <v>0</v>
      </c>
      <c r="P69" s="539">
        <v>0</v>
      </c>
      <c r="Q69" s="539">
        <v>0</v>
      </c>
      <c r="R69" s="538">
        <v>0</v>
      </c>
      <c r="S69" s="539">
        <v>0</v>
      </c>
      <c r="T69" s="539">
        <v>0</v>
      </c>
      <c r="U69" s="539">
        <v>0</v>
      </c>
      <c r="V69" s="539">
        <v>0</v>
      </c>
      <c r="W69" s="538">
        <v>0</v>
      </c>
      <c r="X69" s="539">
        <v>0</v>
      </c>
      <c r="Y69" s="539">
        <v>0</v>
      </c>
      <c r="Z69" s="539">
        <v>0</v>
      </c>
      <c r="AA69" s="539">
        <v>0</v>
      </c>
      <c r="AB69" s="538">
        <v>0</v>
      </c>
      <c r="AC69" s="539">
        <v>0</v>
      </c>
      <c r="AD69" s="539">
        <v>0</v>
      </c>
      <c r="AE69" s="539">
        <v>0</v>
      </c>
      <c r="AF69" s="539">
        <v>0</v>
      </c>
      <c r="AG69" s="112">
        <v>0</v>
      </c>
      <c r="AH69" s="112">
        <v>0</v>
      </c>
      <c r="AI69" s="539">
        <v>0</v>
      </c>
      <c r="AJ69" s="539">
        <v>0</v>
      </c>
      <c r="AK69" s="539">
        <v>0</v>
      </c>
      <c r="AL69" s="538">
        <f>SUM(C69,H69,M69,R69,W69,AB69,AG69)</f>
        <v>0</v>
      </c>
    </row>
    <row r="70" spans="1:38" ht="55.65" customHeight="1" x14ac:dyDescent="0.25">
      <c r="A70" s="656">
        <v>31</v>
      </c>
      <c r="B70" s="116" t="s">
        <v>373</v>
      </c>
      <c r="C70" s="749">
        <f t="shared" si="6"/>
        <v>297</v>
      </c>
      <c r="D70" s="750">
        <v>297</v>
      </c>
      <c r="E70" s="655">
        <v>0</v>
      </c>
      <c r="F70" s="655">
        <v>0</v>
      </c>
      <c r="G70" s="655">
        <v>0</v>
      </c>
      <c r="H70" s="654">
        <f>SUM(I70:J70)</f>
        <v>1888</v>
      </c>
      <c r="I70" s="750">
        <f>2300-206-206</f>
        <v>1888</v>
      </c>
      <c r="J70" s="655">
        <v>0</v>
      </c>
      <c r="K70" s="655">
        <v>0</v>
      </c>
      <c r="L70" s="655">
        <v>0</v>
      </c>
      <c r="M70" s="654">
        <f>SUM(N70:O70)</f>
        <v>0</v>
      </c>
      <c r="N70" s="655">
        <v>0</v>
      </c>
      <c r="O70" s="655">
        <v>0</v>
      </c>
      <c r="P70" s="655">
        <v>0</v>
      </c>
      <c r="Q70" s="655">
        <v>0</v>
      </c>
      <c r="R70" s="654">
        <f>S70+T70</f>
        <v>2202</v>
      </c>
      <c r="S70" s="655">
        <f>2202</f>
        <v>2202</v>
      </c>
      <c r="T70" s="655">
        <v>0</v>
      </c>
      <c r="U70" s="655">
        <v>0</v>
      </c>
      <c r="V70" s="655">
        <v>0</v>
      </c>
      <c r="W70" s="654">
        <f>X70+Y70</f>
        <v>22</v>
      </c>
      <c r="X70" s="655">
        <v>22</v>
      </c>
      <c r="Y70" s="655">
        <v>0</v>
      </c>
      <c r="Z70" s="655">
        <v>0</v>
      </c>
      <c r="AA70" s="655">
        <v>0</v>
      </c>
      <c r="AB70" s="654">
        <f>AC70+AD70</f>
        <v>0</v>
      </c>
      <c r="AC70" s="655">
        <v>0</v>
      </c>
      <c r="AD70" s="655">
        <v>0</v>
      </c>
      <c r="AE70" s="655">
        <v>0</v>
      </c>
      <c r="AF70" s="655">
        <v>0</v>
      </c>
      <c r="AG70" s="654">
        <v>843</v>
      </c>
      <c r="AH70" s="655">
        <v>843</v>
      </c>
      <c r="AI70" s="655">
        <v>0</v>
      </c>
      <c r="AJ70" s="655">
        <v>0</v>
      </c>
      <c r="AK70" s="655">
        <v>0</v>
      </c>
      <c r="AL70" s="654">
        <f>SUM(C70,H70,M70,R70,W70,AB70,AG70)</f>
        <v>5252</v>
      </c>
    </row>
    <row r="71" spans="1:38" ht="190.65" customHeight="1" x14ac:dyDescent="0.25">
      <c r="A71" s="656"/>
      <c r="B71" s="120" t="s">
        <v>374</v>
      </c>
      <c r="C71" s="749"/>
      <c r="D71" s="750"/>
      <c r="E71" s="655"/>
      <c r="F71" s="655"/>
      <c r="G71" s="655"/>
      <c r="H71" s="654"/>
      <c r="I71" s="750"/>
      <c r="J71" s="655"/>
      <c r="K71" s="655"/>
      <c r="L71" s="655"/>
      <c r="M71" s="654"/>
      <c r="N71" s="655"/>
      <c r="O71" s="655"/>
      <c r="P71" s="655"/>
      <c r="Q71" s="655"/>
      <c r="R71" s="654"/>
      <c r="S71" s="655"/>
      <c r="T71" s="655"/>
      <c r="U71" s="655"/>
      <c r="V71" s="655"/>
      <c r="W71" s="654"/>
      <c r="X71" s="655"/>
      <c r="Y71" s="655"/>
      <c r="Z71" s="655"/>
      <c r="AA71" s="655"/>
      <c r="AB71" s="654"/>
      <c r="AC71" s="655"/>
      <c r="AD71" s="655"/>
      <c r="AE71" s="655"/>
      <c r="AF71" s="655"/>
      <c r="AG71" s="654"/>
      <c r="AH71" s="655"/>
      <c r="AI71" s="655"/>
      <c r="AJ71" s="655"/>
      <c r="AK71" s="655"/>
      <c r="AL71" s="654"/>
    </row>
    <row r="72" spans="1:38" s="124" customFormat="1" ht="229.35" customHeight="1" x14ac:dyDescent="0.25">
      <c r="A72" s="656"/>
      <c r="B72" s="120" t="s">
        <v>375</v>
      </c>
      <c r="C72" s="749"/>
      <c r="D72" s="750"/>
      <c r="E72" s="655"/>
      <c r="F72" s="655"/>
      <c r="G72" s="655"/>
      <c r="H72" s="654"/>
      <c r="I72" s="750"/>
      <c r="J72" s="655"/>
      <c r="K72" s="655"/>
      <c r="L72" s="655"/>
      <c r="M72" s="654"/>
      <c r="N72" s="655"/>
      <c r="O72" s="655"/>
      <c r="P72" s="655"/>
      <c r="Q72" s="655"/>
      <c r="R72" s="654"/>
      <c r="S72" s="655"/>
      <c r="T72" s="655"/>
      <c r="U72" s="655"/>
      <c r="V72" s="655"/>
      <c r="W72" s="654"/>
      <c r="X72" s="655"/>
      <c r="Y72" s="655"/>
      <c r="Z72" s="655"/>
      <c r="AA72" s="655"/>
      <c r="AB72" s="654"/>
      <c r="AC72" s="655"/>
      <c r="AD72" s="655"/>
      <c r="AE72" s="655"/>
      <c r="AF72" s="655"/>
      <c r="AG72" s="654"/>
      <c r="AH72" s="655"/>
      <c r="AI72" s="655"/>
      <c r="AJ72" s="655"/>
      <c r="AK72" s="655"/>
      <c r="AL72" s="654"/>
    </row>
    <row r="73" spans="1:38" ht="53.4" customHeight="1" x14ac:dyDescent="0.25">
      <c r="A73" s="658">
        <v>32</v>
      </c>
      <c r="B73" s="116" t="s">
        <v>376</v>
      </c>
      <c r="C73" s="749">
        <f>SUM(D73:E73)</f>
        <v>1458</v>
      </c>
      <c r="D73" s="750">
        <f>5267-3802-4-3</f>
        <v>1458</v>
      </c>
      <c r="E73" s="655">
        <v>0</v>
      </c>
      <c r="F73" s="655">
        <v>0</v>
      </c>
      <c r="G73" s="655">
        <v>0</v>
      </c>
      <c r="H73" s="654">
        <f>SUM(I73:J73)</f>
        <v>0</v>
      </c>
      <c r="I73" s="750">
        <v>0</v>
      </c>
      <c r="J73" s="655">
        <v>0</v>
      </c>
      <c r="K73" s="655">
        <v>0</v>
      </c>
      <c r="L73" s="655">
        <v>0</v>
      </c>
      <c r="M73" s="654">
        <f>SUM(N73:O73)</f>
        <v>0</v>
      </c>
      <c r="N73" s="655">
        <v>0</v>
      </c>
      <c r="O73" s="655">
        <v>0</v>
      </c>
      <c r="P73" s="655">
        <v>0</v>
      </c>
      <c r="Q73" s="655">
        <v>0</v>
      </c>
      <c r="R73" s="654">
        <f>S73+T73</f>
        <v>22073</v>
      </c>
      <c r="S73" s="655">
        <f>22073</f>
        <v>22073</v>
      </c>
      <c r="T73" s="655">
        <v>0</v>
      </c>
      <c r="U73" s="655">
        <v>0</v>
      </c>
      <c r="V73" s="655">
        <v>0</v>
      </c>
      <c r="W73" s="654">
        <f>X73+Y73</f>
        <v>20299</v>
      </c>
      <c r="X73" s="655">
        <f>20321-22</f>
        <v>20299</v>
      </c>
      <c r="Y73" s="655">
        <v>0</v>
      </c>
      <c r="Z73" s="655">
        <v>0</v>
      </c>
      <c r="AA73" s="655">
        <v>0</v>
      </c>
      <c r="AB73" s="654">
        <f>AC73+AD73</f>
        <v>12265</v>
      </c>
      <c r="AC73" s="655">
        <v>12265</v>
      </c>
      <c r="AD73" s="655">
        <v>0</v>
      </c>
      <c r="AE73" s="655">
        <v>0</v>
      </c>
      <c r="AF73" s="655">
        <v>0</v>
      </c>
      <c r="AG73" s="654">
        <f>AH73+AI73</f>
        <v>20349</v>
      </c>
      <c r="AH73" s="655">
        <v>20349</v>
      </c>
      <c r="AI73" s="655">
        <v>0</v>
      </c>
      <c r="AJ73" s="655">
        <v>0</v>
      </c>
      <c r="AK73" s="655">
        <v>0</v>
      </c>
      <c r="AL73" s="654">
        <f>SUM(C73,H73,M73,R73,W73,AB73,AG73)</f>
        <v>76444</v>
      </c>
    </row>
    <row r="74" spans="1:38" ht="148.35" customHeight="1" x14ac:dyDescent="0.25">
      <c r="A74" s="674"/>
      <c r="B74" s="120" t="s">
        <v>377</v>
      </c>
      <c r="C74" s="749"/>
      <c r="D74" s="750"/>
      <c r="E74" s="655"/>
      <c r="F74" s="655"/>
      <c r="G74" s="655"/>
      <c r="H74" s="654"/>
      <c r="I74" s="750"/>
      <c r="J74" s="655"/>
      <c r="K74" s="655"/>
      <c r="L74" s="655"/>
      <c r="M74" s="654"/>
      <c r="N74" s="655"/>
      <c r="O74" s="655"/>
      <c r="P74" s="655"/>
      <c r="Q74" s="655"/>
      <c r="R74" s="654"/>
      <c r="S74" s="655"/>
      <c r="T74" s="655"/>
      <c r="U74" s="655"/>
      <c r="V74" s="655"/>
      <c r="W74" s="654"/>
      <c r="X74" s="655"/>
      <c r="Y74" s="655"/>
      <c r="Z74" s="655"/>
      <c r="AA74" s="655"/>
      <c r="AB74" s="654"/>
      <c r="AC74" s="655"/>
      <c r="AD74" s="655"/>
      <c r="AE74" s="655"/>
      <c r="AF74" s="655"/>
      <c r="AG74" s="654"/>
      <c r="AH74" s="655"/>
      <c r="AI74" s="655"/>
      <c r="AJ74" s="655"/>
      <c r="AK74" s="655"/>
      <c r="AL74" s="654"/>
    </row>
    <row r="75" spans="1:38" ht="290.39999999999998" customHeight="1" x14ac:dyDescent="0.25">
      <c r="A75" s="674"/>
      <c r="B75" s="125" t="s">
        <v>378</v>
      </c>
      <c r="C75" s="749"/>
      <c r="D75" s="750"/>
      <c r="E75" s="655"/>
      <c r="F75" s="655"/>
      <c r="G75" s="655"/>
      <c r="H75" s="654"/>
      <c r="I75" s="750"/>
      <c r="J75" s="655"/>
      <c r="K75" s="655"/>
      <c r="L75" s="655"/>
      <c r="M75" s="654"/>
      <c r="N75" s="655"/>
      <c r="O75" s="655"/>
      <c r="P75" s="655"/>
      <c r="Q75" s="655"/>
      <c r="R75" s="654"/>
      <c r="S75" s="655"/>
      <c r="T75" s="655"/>
      <c r="U75" s="655"/>
      <c r="V75" s="655"/>
      <c r="W75" s="654"/>
      <c r="X75" s="655"/>
      <c r="Y75" s="655"/>
      <c r="Z75" s="655"/>
      <c r="AA75" s="655"/>
      <c r="AB75" s="654"/>
      <c r="AC75" s="655"/>
      <c r="AD75" s="655"/>
      <c r="AE75" s="655"/>
      <c r="AF75" s="655"/>
      <c r="AG75" s="654"/>
      <c r="AH75" s="655"/>
      <c r="AI75" s="655"/>
      <c r="AJ75" s="655"/>
      <c r="AK75" s="655"/>
      <c r="AL75" s="654"/>
    </row>
    <row r="76" spans="1:38" s="244" customFormat="1" ht="27" customHeight="1" x14ac:dyDescent="0.25">
      <c r="A76" s="673"/>
      <c r="B76" s="243" t="s">
        <v>1295</v>
      </c>
      <c r="C76" s="752"/>
      <c r="D76" s="740"/>
      <c r="E76" s="539"/>
      <c r="F76" s="539"/>
      <c r="G76" s="539"/>
      <c r="H76" s="538"/>
      <c r="I76" s="740"/>
      <c r="J76" s="539"/>
      <c r="K76" s="539"/>
      <c r="L76" s="539"/>
      <c r="M76" s="538"/>
      <c r="N76" s="539"/>
      <c r="O76" s="539"/>
      <c r="P76" s="539"/>
      <c r="Q76" s="539"/>
      <c r="R76" s="538"/>
      <c r="S76" s="539"/>
      <c r="T76" s="539"/>
      <c r="U76" s="539"/>
      <c r="V76" s="539"/>
      <c r="W76" s="538"/>
      <c r="X76" s="539"/>
      <c r="Y76" s="539"/>
      <c r="Z76" s="539"/>
      <c r="AA76" s="539"/>
      <c r="AB76" s="538"/>
      <c r="AC76" s="539"/>
      <c r="AD76" s="539"/>
      <c r="AE76" s="539"/>
      <c r="AF76" s="539"/>
      <c r="AG76" s="538">
        <f>AH76+AI76+AJ76+AK76</f>
        <v>2366</v>
      </c>
      <c r="AH76" s="539">
        <v>2366</v>
      </c>
      <c r="AI76" s="539">
        <v>0</v>
      </c>
      <c r="AJ76" s="539">
        <v>0</v>
      </c>
      <c r="AK76" s="539">
        <v>0</v>
      </c>
      <c r="AL76" s="538">
        <f>SUM(C76,H76,M76,R76,W76,AB76,AG76)</f>
        <v>2366</v>
      </c>
    </row>
    <row r="77" spans="1:38" ht="72.599999999999994" customHeight="1" x14ac:dyDescent="0.25">
      <c r="A77" s="185">
        <v>33</v>
      </c>
      <c r="B77" s="117" t="s">
        <v>379</v>
      </c>
      <c r="C77" s="538">
        <f t="shared" ref="C77:C88" si="7">SUM(D77:E77)</f>
        <v>170</v>
      </c>
      <c r="D77" s="539">
        <v>170</v>
      </c>
      <c r="E77" s="539">
        <v>0</v>
      </c>
      <c r="F77" s="539">
        <v>0</v>
      </c>
      <c r="G77" s="539">
        <v>0</v>
      </c>
      <c r="H77" s="538">
        <f t="shared" ref="H77:H88" si="8">SUM(I77:J77)</f>
        <v>0</v>
      </c>
      <c r="I77" s="539">
        <v>0</v>
      </c>
      <c r="J77" s="539">
        <v>0</v>
      </c>
      <c r="K77" s="539">
        <v>0</v>
      </c>
      <c r="L77" s="539">
        <v>0</v>
      </c>
      <c r="M77" s="538">
        <f t="shared" ref="M77:M88" si="9">SUM(N77:O77)</f>
        <v>0</v>
      </c>
      <c r="N77" s="539">
        <v>0</v>
      </c>
      <c r="O77" s="539">
        <v>0</v>
      </c>
      <c r="P77" s="539">
        <v>0</v>
      </c>
      <c r="Q77" s="539">
        <v>0</v>
      </c>
      <c r="R77" s="538">
        <v>352</v>
      </c>
      <c r="S77" s="539">
        <v>352</v>
      </c>
      <c r="T77" s="539">
        <v>0</v>
      </c>
      <c r="U77" s="539">
        <v>0</v>
      </c>
      <c r="V77" s="539">
        <v>0</v>
      </c>
      <c r="W77" s="538">
        <f>X77+Y77+Z77+AA77</f>
        <v>0</v>
      </c>
      <c r="X77" s="539">
        <v>0</v>
      </c>
      <c r="Y77" s="539">
        <v>0</v>
      </c>
      <c r="Z77" s="539">
        <v>0</v>
      </c>
      <c r="AA77" s="539">
        <v>0</v>
      </c>
      <c r="AB77" s="538">
        <v>230</v>
      </c>
      <c r="AC77" s="539">
        <v>230</v>
      </c>
      <c r="AD77" s="539">
        <v>0</v>
      </c>
      <c r="AE77" s="539">
        <v>0</v>
      </c>
      <c r="AF77" s="539">
        <v>0</v>
      </c>
      <c r="AG77" s="112">
        <v>0</v>
      </c>
      <c r="AH77" s="112">
        <v>0</v>
      </c>
      <c r="AI77" s="539">
        <v>0</v>
      </c>
      <c r="AJ77" s="539">
        <v>0</v>
      </c>
      <c r="AK77" s="539">
        <v>0</v>
      </c>
      <c r="AL77" s="538"/>
    </row>
    <row r="78" spans="1:38" ht="62.4" customHeight="1" x14ac:dyDescent="0.25">
      <c r="A78" s="185">
        <v>34</v>
      </c>
      <c r="B78" s="111" t="s">
        <v>380</v>
      </c>
      <c r="C78" s="538">
        <f t="shared" si="7"/>
        <v>0</v>
      </c>
      <c r="D78" s="539">
        <f>3162-3162</f>
        <v>0</v>
      </c>
      <c r="E78" s="539">
        <v>0</v>
      </c>
      <c r="F78" s="539">
        <v>0</v>
      </c>
      <c r="G78" s="539">
        <v>0</v>
      </c>
      <c r="H78" s="538">
        <f t="shared" si="8"/>
        <v>2018</v>
      </c>
      <c r="I78" s="539">
        <f>3277-344-343-31-541</f>
        <v>2018</v>
      </c>
      <c r="J78" s="539">
        <v>0</v>
      </c>
      <c r="K78" s="539">
        <v>0</v>
      </c>
      <c r="L78" s="539">
        <v>0</v>
      </c>
      <c r="M78" s="538">
        <f t="shared" si="9"/>
        <v>0</v>
      </c>
      <c r="N78" s="539">
        <v>0</v>
      </c>
      <c r="O78" s="539">
        <v>0</v>
      </c>
      <c r="P78" s="539">
        <v>0</v>
      </c>
      <c r="Q78" s="539">
        <v>0</v>
      </c>
      <c r="R78" s="538">
        <v>0</v>
      </c>
      <c r="S78" s="539">
        <v>0</v>
      </c>
      <c r="T78" s="539">
        <v>0</v>
      </c>
      <c r="U78" s="539">
        <v>0</v>
      </c>
      <c r="V78" s="539">
        <v>0</v>
      </c>
      <c r="W78" s="538">
        <f>X78+Y78+Z78+AA78</f>
        <v>0</v>
      </c>
      <c r="X78" s="539">
        <v>0</v>
      </c>
      <c r="Y78" s="539">
        <v>0</v>
      </c>
      <c r="Z78" s="539">
        <v>0</v>
      </c>
      <c r="AA78" s="539">
        <v>0</v>
      </c>
      <c r="AB78" s="538">
        <v>0</v>
      </c>
      <c r="AC78" s="539">
        <v>0</v>
      </c>
      <c r="AD78" s="539">
        <v>0</v>
      </c>
      <c r="AE78" s="539">
        <v>0</v>
      </c>
      <c r="AF78" s="539">
        <v>0</v>
      </c>
      <c r="AG78" s="112">
        <v>0</v>
      </c>
      <c r="AH78" s="112">
        <v>0</v>
      </c>
      <c r="AI78" s="539">
        <v>0</v>
      </c>
      <c r="AJ78" s="539">
        <v>0</v>
      </c>
      <c r="AK78" s="539">
        <v>0</v>
      </c>
      <c r="AL78" s="538"/>
    </row>
    <row r="79" spans="1:38" ht="28.65" customHeight="1" x14ac:dyDescent="0.25">
      <c r="A79" s="185">
        <v>35</v>
      </c>
      <c r="B79" s="111" t="s">
        <v>54</v>
      </c>
      <c r="C79" s="538">
        <f t="shared" si="7"/>
        <v>0</v>
      </c>
      <c r="D79" s="539">
        <v>0</v>
      </c>
      <c r="E79" s="539">
        <v>0</v>
      </c>
      <c r="F79" s="539">
        <v>0</v>
      </c>
      <c r="G79" s="539">
        <v>0</v>
      </c>
      <c r="H79" s="538">
        <f t="shared" si="8"/>
        <v>0</v>
      </c>
      <c r="I79" s="539">
        <v>0</v>
      </c>
      <c r="J79" s="539">
        <v>0</v>
      </c>
      <c r="K79" s="539">
        <v>0</v>
      </c>
      <c r="L79" s="539">
        <v>0</v>
      </c>
      <c r="M79" s="538">
        <f t="shared" si="9"/>
        <v>0</v>
      </c>
      <c r="N79" s="539">
        <v>0</v>
      </c>
      <c r="O79" s="539">
        <v>0</v>
      </c>
      <c r="P79" s="539">
        <v>0</v>
      </c>
      <c r="Q79" s="539">
        <v>0</v>
      </c>
      <c r="R79" s="538">
        <v>0</v>
      </c>
      <c r="S79" s="539">
        <v>0</v>
      </c>
      <c r="T79" s="539">
        <v>0</v>
      </c>
      <c r="U79" s="539">
        <v>0</v>
      </c>
      <c r="V79" s="539">
        <v>0</v>
      </c>
      <c r="W79" s="538">
        <f>X79+Y79+Z79+AA79</f>
        <v>0</v>
      </c>
      <c r="X79" s="539">
        <v>0</v>
      </c>
      <c r="Y79" s="539">
        <v>0</v>
      </c>
      <c r="Z79" s="539">
        <v>0</v>
      </c>
      <c r="AA79" s="539">
        <v>0</v>
      </c>
      <c r="AB79" s="538">
        <v>0</v>
      </c>
      <c r="AC79" s="539">
        <v>0</v>
      </c>
      <c r="AD79" s="539">
        <v>0</v>
      </c>
      <c r="AE79" s="539">
        <v>0</v>
      </c>
      <c r="AF79" s="539">
        <v>0</v>
      </c>
      <c r="AG79" s="112">
        <v>0</v>
      </c>
      <c r="AH79" s="112">
        <v>0</v>
      </c>
      <c r="AI79" s="539">
        <v>0</v>
      </c>
      <c r="AJ79" s="539">
        <v>0</v>
      </c>
      <c r="AK79" s="539">
        <v>0</v>
      </c>
      <c r="AL79" s="538">
        <f t="shared" ref="AL79:AL88" si="10">SUM(C79,H79,M79,R79,W79,AB79,AG79)</f>
        <v>0</v>
      </c>
    </row>
    <row r="80" spans="1:38" ht="33.6" customHeight="1" x14ac:dyDescent="0.25">
      <c r="A80" s="185">
        <v>36</v>
      </c>
      <c r="B80" s="111" t="s">
        <v>19</v>
      </c>
      <c r="C80" s="538">
        <f t="shared" si="7"/>
        <v>0</v>
      </c>
      <c r="D80" s="539">
        <v>0</v>
      </c>
      <c r="E80" s="539">
        <v>0</v>
      </c>
      <c r="F80" s="539">
        <v>0</v>
      </c>
      <c r="G80" s="539">
        <v>0</v>
      </c>
      <c r="H80" s="538">
        <f t="shared" si="8"/>
        <v>0</v>
      </c>
      <c r="I80" s="539">
        <v>0</v>
      </c>
      <c r="J80" s="539">
        <v>0</v>
      </c>
      <c r="K80" s="539">
        <v>0</v>
      </c>
      <c r="L80" s="539">
        <v>0</v>
      </c>
      <c r="M80" s="538">
        <f t="shared" si="9"/>
        <v>0</v>
      </c>
      <c r="N80" s="539">
        <v>0</v>
      </c>
      <c r="O80" s="539">
        <v>0</v>
      </c>
      <c r="P80" s="539">
        <v>0</v>
      </c>
      <c r="Q80" s="539">
        <v>0</v>
      </c>
      <c r="R80" s="538">
        <v>0</v>
      </c>
      <c r="S80" s="539">
        <v>0</v>
      </c>
      <c r="T80" s="539">
        <v>0</v>
      </c>
      <c r="U80" s="539">
        <v>0</v>
      </c>
      <c r="V80" s="539">
        <v>0</v>
      </c>
      <c r="W80" s="538">
        <f>X80+Y80+Z80+AA80</f>
        <v>0</v>
      </c>
      <c r="X80" s="539">
        <v>0</v>
      </c>
      <c r="Y80" s="539">
        <v>0</v>
      </c>
      <c r="Z80" s="539">
        <v>0</v>
      </c>
      <c r="AA80" s="539">
        <v>0</v>
      </c>
      <c r="AB80" s="538">
        <v>0</v>
      </c>
      <c r="AC80" s="539">
        <v>0</v>
      </c>
      <c r="AD80" s="539">
        <v>0</v>
      </c>
      <c r="AE80" s="539">
        <v>0</v>
      </c>
      <c r="AF80" s="539">
        <v>0</v>
      </c>
      <c r="AG80" s="112">
        <v>0</v>
      </c>
      <c r="AH80" s="112">
        <v>0</v>
      </c>
      <c r="AI80" s="539">
        <v>0</v>
      </c>
      <c r="AJ80" s="539">
        <v>0</v>
      </c>
      <c r="AK80" s="539">
        <v>0</v>
      </c>
      <c r="AL80" s="538">
        <f t="shared" si="10"/>
        <v>0</v>
      </c>
    </row>
    <row r="81" spans="1:39" ht="25.65" customHeight="1" x14ac:dyDescent="0.25">
      <c r="A81" s="185">
        <v>37</v>
      </c>
      <c r="B81" s="111" t="s">
        <v>45</v>
      </c>
      <c r="C81" s="538">
        <f t="shared" si="7"/>
        <v>1597</v>
      </c>
      <c r="D81" s="539">
        <f>3500+117-2020</f>
        <v>1597</v>
      </c>
      <c r="E81" s="539">
        <v>0</v>
      </c>
      <c r="F81" s="539">
        <v>0</v>
      </c>
      <c r="G81" s="539">
        <v>0</v>
      </c>
      <c r="H81" s="538">
        <f t="shared" si="8"/>
        <v>5766.6</v>
      </c>
      <c r="I81" s="539">
        <f>1180+4138-320+520+40-124+332.6</f>
        <v>5766.6</v>
      </c>
      <c r="J81" s="539">
        <v>0</v>
      </c>
      <c r="K81" s="539">
        <v>0</v>
      </c>
      <c r="L81" s="539">
        <v>0</v>
      </c>
      <c r="M81" s="538">
        <f t="shared" si="9"/>
        <v>0</v>
      </c>
      <c r="N81" s="539">
        <v>0</v>
      </c>
      <c r="O81" s="539">
        <v>0</v>
      </c>
      <c r="P81" s="539">
        <v>0</v>
      </c>
      <c r="Q81" s="539">
        <v>0</v>
      </c>
      <c r="R81" s="538">
        <f>2809.4-148</f>
        <v>2661.4</v>
      </c>
      <c r="S81" s="539">
        <f>2809.4-148</f>
        <v>2661.4</v>
      </c>
      <c r="T81" s="539">
        <v>0</v>
      </c>
      <c r="U81" s="539">
        <v>0</v>
      </c>
      <c r="V81" s="539">
        <v>0</v>
      </c>
      <c r="W81" s="538">
        <f>X81+Y81+Z81+AA81</f>
        <v>4183</v>
      </c>
      <c r="X81" s="539">
        <v>4183</v>
      </c>
      <c r="Y81" s="539">
        <v>0</v>
      </c>
      <c r="Z81" s="539">
        <v>0</v>
      </c>
      <c r="AA81" s="539">
        <v>0</v>
      </c>
      <c r="AB81" s="538">
        <v>1351</v>
      </c>
      <c r="AC81" s="539">
        <v>1351</v>
      </c>
      <c r="AD81" s="539">
        <v>0</v>
      </c>
      <c r="AE81" s="539">
        <v>0</v>
      </c>
      <c r="AF81" s="539">
        <v>0</v>
      </c>
      <c r="AG81" s="112">
        <f>AH81</f>
        <v>1730.2</v>
      </c>
      <c r="AH81" s="112">
        <v>1730.2</v>
      </c>
      <c r="AI81" s="539">
        <v>0</v>
      </c>
      <c r="AJ81" s="539">
        <v>0</v>
      </c>
      <c r="AK81" s="539">
        <v>0</v>
      </c>
      <c r="AL81" s="538">
        <f t="shared" si="10"/>
        <v>17289.2</v>
      </c>
    </row>
    <row r="82" spans="1:39" ht="33.6" customHeight="1" x14ac:dyDescent="0.25">
      <c r="A82" s="185">
        <v>38</v>
      </c>
      <c r="B82" s="123" t="s">
        <v>46</v>
      </c>
      <c r="C82" s="538">
        <f t="shared" si="7"/>
        <v>0</v>
      </c>
      <c r="D82" s="539">
        <v>0</v>
      </c>
      <c r="E82" s="539">
        <v>0</v>
      </c>
      <c r="F82" s="539">
        <v>0</v>
      </c>
      <c r="G82" s="539">
        <v>0</v>
      </c>
      <c r="H82" s="538">
        <f t="shared" si="8"/>
        <v>0</v>
      </c>
      <c r="I82" s="539">
        <v>0</v>
      </c>
      <c r="J82" s="539">
        <v>0</v>
      </c>
      <c r="K82" s="539">
        <v>0</v>
      </c>
      <c r="L82" s="539">
        <v>0</v>
      </c>
      <c r="M82" s="538">
        <f t="shared" si="9"/>
        <v>0</v>
      </c>
      <c r="N82" s="539">
        <v>0</v>
      </c>
      <c r="O82" s="539">
        <v>0</v>
      </c>
      <c r="P82" s="539">
        <v>0</v>
      </c>
      <c r="Q82" s="539">
        <v>0</v>
      </c>
      <c r="R82" s="538">
        <v>0</v>
      </c>
      <c r="S82" s="539">
        <v>0</v>
      </c>
      <c r="T82" s="539">
        <v>0</v>
      </c>
      <c r="U82" s="539">
        <v>0</v>
      </c>
      <c r="V82" s="539">
        <v>0</v>
      </c>
      <c r="W82" s="538">
        <v>1786</v>
      </c>
      <c r="X82" s="539">
        <v>1786</v>
      </c>
      <c r="Y82" s="539">
        <v>0</v>
      </c>
      <c r="Z82" s="539">
        <v>0</v>
      </c>
      <c r="AA82" s="539">
        <v>0</v>
      </c>
      <c r="AB82" s="538">
        <v>0</v>
      </c>
      <c r="AC82" s="539">
        <v>0</v>
      </c>
      <c r="AD82" s="539">
        <v>0</v>
      </c>
      <c r="AE82" s="539">
        <v>0</v>
      </c>
      <c r="AF82" s="539">
        <v>0</v>
      </c>
      <c r="AG82" s="112">
        <v>0</v>
      </c>
      <c r="AH82" s="112">
        <v>0</v>
      </c>
      <c r="AI82" s="539">
        <v>0</v>
      </c>
      <c r="AJ82" s="539">
        <v>0</v>
      </c>
      <c r="AK82" s="539">
        <v>0</v>
      </c>
      <c r="AL82" s="538">
        <f t="shared" si="10"/>
        <v>1786</v>
      </c>
    </row>
    <row r="83" spans="1:39" ht="36.6" customHeight="1" x14ac:dyDescent="0.25">
      <c r="A83" s="185">
        <v>39</v>
      </c>
      <c r="B83" s="126" t="s">
        <v>47</v>
      </c>
      <c r="C83" s="538">
        <f t="shared" si="7"/>
        <v>250</v>
      </c>
      <c r="D83" s="539">
        <v>250</v>
      </c>
      <c r="E83" s="539">
        <v>0</v>
      </c>
      <c r="F83" s="539">
        <v>0</v>
      </c>
      <c r="G83" s="539">
        <v>0</v>
      </c>
      <c r="H83" s="538">
        <f t="shared" si="8"/>
        <v>0</v>
      </c>
      <c r="I83" s="539">
        <v>0</v>
      </c>
      <c r="J83" s="539">
        <v>0</v>
      </c>
      <c r="K83" s="539">
        <v>0</v>
      </c>
      <c r="L83" s="539">
        <v>0</v>
      </c>
      <c r="M83" s="538">
        <f t="shared" si="9"/>
        <v>0</v>
      </c>
      <c r="N83" s="539">
        <v>0</v>
      </c>
      <c r="O83" s="539">
        <v>0</v>
      </c>
      <c r="P83" s="539">
        <v>0</v>
      </c>
      <c r="Q83" s="539">
        <v>0</v>
      </c>
      <c r="R83" s="538">
        <v>0</v>
      </c>
      <c r="S83" s="539">
        <v>0</v>
      </c>
      <c r="T83" s="539">
        <v>0</v>
      </c>
      <c r="U83" s="539">
        <v>0</v>
      </c>
      <c r="V83" s="539">
        <v>0</v>
      </c>
      <c r="W83" s="538">
        <v>0</v>
      </c>
      <c r="X83" s="539">
        <v>0</v>
      </c>
      <c r="Y83" s="539">
        <v>0</v>
      </c>
      <c r="Z83" s="539">
        <v>0</v>
      </c>
      <c r="AA83" s="539">
        <v>0</v>
      </c>
      <c r="AB83" s="538">
        <v>0</v>
      </c>
      <c r="AC83" s="539">
        <v>0</v>
      </c>
      <c r="AD83" s="539">
        <v>0</v>
      </c>
      <c r="AE83" s="539">
        <v>0</v>
      </c>
      <c r="AF83" s="539">
        <v>0</v>
      </c>
      <c r="AG83" s="538">
        <v>0</v>
      </c>
      <c r="AH83" s="539">
        <v>0</v>
      </c>
      <c r="AI83" s="539">
        <v>0</v>
      </c>
      <c r="AJ83" s="539">
        <v>0</v>
      </c>
      <c r="AK83" s="539">
        <v>0</v>
      </c>
      <c r="AL83" s="538">
        <f t="shared" si="10"/>
        <v>250</v>
      </c>
    </row>
    <row r="84" spans="1:39" ht="50.4" customHeight="1" x14ac:dyDescent="0.25">
      <c r="A84" s="185">
        <v>40</v>
      </c>
      <c r="B84" s="126" t="s">
        <v>48</v>
      </c>
      <c r="C84" s="538">
        <f t="shared" si="7"/>
        <v>13669</v>
      </c>
      <c r="D84" s="539">
        <f>6351+6964+354</f>
        <v>13669</v>
      </c>
      <c r="E84" s="539">
        <v>0</v>
      </c>
      <c r="F84" s="539">
        <v>0</v>
      </c>
      <c r="G84" s="539">
        <v>0</v>
      </c>
      <c r="H84" s="538">
        <f t="shared" si="8"/>
        <v>5002</v>
      </c>
      <c r="I84" s="539">
        <f>6105-770-333</f>
        <v>5002</v>
      </c>
      <c r="J84" s="539">
        <v>0</v>
      </c>
      <c r="K84" s="539">
        <v>0</v>
      </c>
      <c r="L84" s="539">
        <v>0</v>
      </c>
      <c r="M84" s="538">
        <f t="shared" si="9"/>
        <v>4076</v>
      </c>
      <c r="N84" s="539">
        <v>4076</v>
      </c>
      <c r="O84" s="539">
        <v>0</v>
      </c>
      <c r="P84" s="539">
        <v>0</v>
      </c>
      <c r="Q84" s="539">
        <v>0</v>
      </c>
      <c r="R84" s="538">
        <f>3880+148</f>
        <v>4028</v>
      </c>
      <c r="S84" s="539">
        <f>3880+148</f>
        <v>4028</v>
      </c>
      <c r="T84" s="539">
        <v>0</v>
      </c>
      <c r="U84" s="539">
        <v>0</v>
      </c>
      <c r="V84" s="539">
        <v>0</v>
      </c>
      <c r="W84" s="538">
        <v>5356</v>
      </c>
      <c r="X84" s="539">
        <v>5356</v>
      </c>
      <c r="Y84" s="539">
        <v>0</v>
      </c>
      <c r="Z84" s="539">
        <v>0</v>
      </c>
      <c r="AA84" s="539">
        <v>0</v>
      </c>
      <c r="AB84" s="538">
        <f>4042</f>
        <v>4042</v>
      </c>
      <c r="AC84" s="539">
        <f>4042</f>
        <v>4042</v>
      </c>
      <c r="AD84" s="539">
        <v>0</v>
      </c>
      <c r="AE84" s="539">
        <v>0</v>
      </c>
      <c r="AF84" s="539">
        <v>0</v>
      </c>
      <c r="AG84" s="538">
        <f>AH84</f>
        <v>494.8</v>
      </c>
      <c r="AH84" s="539">
        <v>494.8</v>
      </c>
      <c r="AI84" s="539">
        <v>0</v>
      </c>
      <c r="AJ84" s="539">
        <v>0</v>
      </c>
      <c r="AK84" s="539">
        <v>0</v>
      </c>
      <c r="AL84" s="538">
        <f t="shared" si="10"/>
        <v>36667.800000000003</v>
      </c>
    </row>
    <row r="85" spans="1:39" ht="333.6" customHeight="1" x14ac:dyDescent="0.25">
      <c r="A85" s="650">
        <v>41</v>
      </c>
      <c r="B85" s="126" t="s">
        <v>381</v>
      </c>
      <c r="C85" s="538">
        <f t="shared" si="7"/>
        <v>0</v>
      </c>
      <c r="D85" s="539">
        <v>0</v>
      </c>
      <c r="E85" s="539">
        <v>0</v>
      </c>
      <c r="F85" s="539">
        <v>0</v>
      </c>
      <c r="G85" s="539">
        <v>0</v>
      </c>
      <c r="H85" s="538">
        <f t="shared" si="8"/>
        <v>2277</v>
      </c>
      <c r="I85" s="539">
        <v>2277</v>
      </c>
      <c r="J85" s="539">
        <v>0</v>
      </c>
      <c r="K85" s="539">
        <v>0</v>
      </c>
      <c r="L85" s="539">
        <v>0</v>
      </c>
      <c r="M85" s="538">
        <f t="shared" si="9"/>
        <v>5681</v>
      </c>
      <c r="N85" s="539">
        <f>5688-4-3</f>
        <v>5681</v>
      </c>
      <c r="O85" s="539">
        <v>0</v>
      </c>
      <c r="P85" s="539">
        <v>0</v>
      </c>
      <c r="Q85" s="539">
        <v>0</v>
      </c>
      <c r="R85" s="538">
        <f>S85+T85+U85+V85</f>
        <v>5709.3</v>
      </c>
      <c r="S85" s="539">
        <v>5709.3</v>
      </c>
      <c r="T85" s="539">
        <v>0</v>
      </c>
      <c r="U85" s="539">
        <v>0</v>
      </c>
      <c r="V85" s="539">
        <v>0</v>
      </c>
      <c r="W85" s="538">
        <f>X85+Y85+Z85+AA85</f>
        <v>12634.7</v>
      </c>
      <c r="X85" s="539">
        <v>12634.7</v>
      </c>
      <c r="Y85" s="539">
        <v>0</v>
      </c>
      <c r="Z85" s="539">
        <v>0</v>
      </c>
      <c r="AA85" s="539">
        <v>0</v>
      </c>
      <c r="AB85" s="538">
        <v>10536</v>
      </c>
      <c r="AC85" s="539">
        <v>10536</v>
      </c>
      <c r="AD85" s="539">
        <v>0</v>
      </c>
      <c r="AE85" s="539">
        <v>0</v>
      </c>
      <c r="AF85" s="539">
        <v>0</v>
      </c>
      <c r="AG85" s="539">
        <v>0</v>
      </c>
      <c r="AH85" s="539">
        <v>0</v>
      </c>
      <c r="AI85" s="539">
        <v>0</v>
      </c>
      <c r="AJ85" s="539">
        <v>0</v>
      </c>
      <c r="AK85" s="539">
        <v>0</v>
      </c>
      <c r="AL85" s="538">
        <f t="shared" si="10"/>
        <v>36838</v>
      </c>
    </row>
    <row r="86" spans="1:39" ht="364.65" customHeight="1" x14ac:dyDescent="0.25">
      <c r="A86" s="650"/>
      <c r="B86" s="257" t="s">
        <v>382</v>
      </c>
      <c r="C86" s="538"/>
      <c r="D86" s="539"/>
      <c r="E86" s="539"/>
      <c r="F86" s="539"/>
      <c r="G86" s="539"/>
      <c r="H86" s="538"/>
      <c r="I86" s="539"/>
      <c r="J86" s="539"/>
      <c r="K86" s="539"/>
      <c r="L86" s="539"/>
      <c r="M86" s="538"/>
      <c r="N86" s="539"/>
      <c r="O86" s="539"/>
      <c r="P86" s="539"/>
      <c r="Q86" s="539"/>
      <c r="R86" s="538"/>
      <c r="S86" s="539"/>
      <c r="T86" s="539"/>
      <c r="U86" s="539"/>
      <c r="V86" s="539"/>
      <c r="W86" s="538"/>
      <c r="X86" s="539"/>
      <c r="Y86" s="539"/>
      <c r="Z86" s="539"/>
      <c r="AA86" s="539"/>
      <c r="AB86" s="538"/>
      <c r="AC86" s="539"/>
      <c r="AD86" s="539"/>
      <c r="AE86" s="539"/>
      <c r="AF86" s="539"/>
      <c r="AG86" s="538"/>
      <c r="AH86" s="539"/>
      <c r="AI86" s="539"/>
      <c r="AJ86" s="539"/>
      <c r="AK86" s="539"/>
      <c r="AL86" s="538"/>
    </row>
    <row r="87" spans="1:39" ht="38.1" customHeight="1" x14ac:dyDescent="0.25">
      <c r="A87" s="650"/>
      <c r="B87" s="126" t="s">
        <v>1295</v>
      </c>
      <c r="C87" s="538">
        <f>SUM(D87:E87)</f>
        <v>0</v>
      </c>
      <c r="D87" s="539">
        <v>0</v>
      </c>
      <c r="E87" s="539">
        <v>0</v>
      </c>
      <c r="F87" s="539">
        <v>0</v>
      </c>
      <c r="G87" s="539">
        <v>0</v>
      </c>
      <c r="H87" s="538">
        <f>SUM(I87:J87)</f>
        <v>0</v>
      </c>
      <c r="I87" s="539">
        <v>0</v>
      </c>
      <c r="J87" s="539">
        <v>0</v>
      </c>
      <c r="K87" s="539">
        <v>0</v>
      </c>
      <c r="L87" s="539">
        <v>0</v>
      </c>
      <c r="M87" s="538">
        <f t="shared" si="9"/>
        <v>2277</v>
      </c>
      <c r="N87" s="538">
        <v>2277</v>
      </c>
      <c r="O87" s="538">
        <f>SUM(P87:Q87)</f>
        <v>0</v>
      </c>
      <c r="P87" s="538">
        <f>SUM(Q87:R87)</f>
        <v>0</v>
      </c>
      <c r="Q87" s="538">
        <f>SUM(R87:S87)</f>
        <v>0</v>
      </c>
      <c r="R87" s="539">
        <v>0</v>
      </c>
      <c r="S87" s="539">
        <v>0</v>
      </c>
      <c r="T87" s="539">
        <v>0</v>
      </c>
      <c r="U87" s="539">
        <v>0</v>
      </c>
      <c r="V87" s="539">
        <v>0</v>
      </c>
      <c r="W87" s="539">
        <v>0</v>
      </c>
      <c r="X87" s="539">
        <v>0</v>
      </c>
      <c r="Y87" s="539">
        <v>0</v>
      </c>
      <c r="Z87" s="539">
        <v>0</v>
      </c>
      <c r="AA87" s="539">
        <v>0</v>
      </c>
      <c r="AB87" s="539">
        <v>0</v>
      </c>
      <c r="AC87" s="539">
        <v>0</v>
      </c>
      <c r="AD87" s="539">
        <v>0</v>
      </c>
      <c r="AE87" s="539">
        <v>0</v>
      </c>
      <c r="AF87" s="539">
        <v>0</v>
      </c>
      <c r="AG87" s="539">
        <v>0</v>
      </c>
      <c r="AH87" s="539">
        <v>0</v>
      </c>
      <c r="AI87" s="539">
        <v>0</v>
      </c>
      <c r="AJ87" s="539">
        <v>0</v>
      </c>
      <c r="AK87" s="538"/>
      <c r="AL87" s="538">
        <f>N87</f>
        <v>2277</v>
      </c>
    </row>
    <row r="88" spans="1:39" ht="42" customHeight="1" x14ac:dyDescent="0.25">
      <c r="A88" s="185">
        <v>42</v>
      </c>
      <c r="B88" s="126" t="s">
        <v>8</v>
      </c>
      <c r="C88" s="538">
        <f t="shared" si="7"/>
        <v>0</v>
      </c>
      <c r="D88" s="539">
        <v>0</v>
      </c>
      <c r="E88" s="539">
        <v>0</v>
      </c>
      <c r="F88" s="539">
        <v>0</v>
      </c>
      <c r="G88" s="539">
        <v>0</v>
      </c>
      <c r="H88" s="538">
        <f t="shared" si="8"/>
        <v>0</v>
      </c>
      <c r="I88" s="539">
        <v>0</v>
      </c>
      <c r="J88" s="539">
        <v>0</v>
      </c>
      <c r="K88" s="539">
        <v>0</v>
      </c>
      <c r="L88" s="539">
        <v>0</v>
      </c>
      <c r="M88" s="538">
        <f t="shared" si="9"/>
        <v>0</v>
      </c>
      <c r="N88" s="539">
        <v>0</v>
      </c>
      <c r="O88" s="539">
        <v>0</v>
      </c>
      <c r="P88" s="539">
        <v>0</v>
      </c>
      <c r="Q88" s="539">
        <v>0</v>
      </c>
      <c r="R88" s="538">
        <v>0</v>
      </c>
      <c r="S88" s="539">
        <v>0</v>
      </c>
      <c r="T88" s="539">
        <v>0</v>
      </c>
      <c r="U88" s="539">
        <v>0</v>
      </c>
      <c r="V88" s="539">
        <v>0</v>
      </c>
      <c r="W88" s="538">
        <v>0</v>
      </c>
      <c r="X88" s="539">
        <v>0</v>
      </c>
      <c r="Y88" s="539">
        <v>0</v>
      </c>
      <c r="Z88" s="539">
        <v>0</v>
      </c>
      <c r="AA88" s="539">
        <v>0</v>
      </c>
      <c r="AB88" s="538">
        <v>0</v>
      </c>
      <c r="AC88" s="539">
        <v>0</v>
      </c>
      <c r="AD88" s="539">
        <v>0</v>
      </c>
      <c r="AE88" s="539">
        <v>0</v>
      </c>
      <c r="AF88" s="539">
        <v>0</v>
      </c>
      <c r="AG88" s="112">
        <v>0</v>
      </c>
      <c r="AH88" s="112">
        <v>0</v>
      </c>
      <c r="AI88" s="539">
        <v>0</v>
      </c>
      <c r="AJ88" s="539">
        <v>0</v>
      </c>
      <c r="AK88" s="539">
        <v>0</v>
      </c>
      <c r="AL88" s="538">
        <f t="shared" si="10"/>
        <v>0</v>
      </c>
    </row>
    <row r="89" spans="1:39" ht="47.4" customHeight="1" x14ac:dyDescent="0.25">
      <c r="A89" s="185">
        <v>43</v>
      </c>
      <c r="B89" s="111" t="s">
        <v>2</v>
      </c>
      <c r="C89" s="538">
        <f>SUM(D89:E89)</f>
        <v>0</v>
      </c>
      <c r="D89" s="539">
        <v>0</v>
      </c>
      <c r="E89" s="539">
        <v>0</v>
      </c>
      <c r="F89" s="539">
        <v>0</v>
      </c>
      <c r="G89" s="539">
        <v>0</v>
      </c>
      <c r="H89" s="538">
        <v>0</v>
      </c>
      <c r="I89" s="539">
        <v>0</v>
      </c>
      <c r="J89" s="539">
        <v>0</v>
      </c>
      <c r="K89" s="539">
        <v>0</v>
      </c>
      <c r="L89" s="539">
        <v>0</v>
      </c>
      <c r="M89" s="538">
        <v>0</v>
      </c>
      <c r="N89" s="539">
        <v>0</v>
      </c>
      <c r="O89" s="539">
        <v>0</v>
      </c>
      <c r="P89" s="539">
        <v>0</v>
      </c>
      <c r="Q89" s="539">
        <v>0</v>
      </c>
      <c r="R89" s="538">
        <v>0</v>
      </c>
      <c r="S89" s="539">
        <v>0</v>
      </c>
      <c r="T89" s="539">
        <v>0</v>
      </c>
      <c r="U89" s="539">
        <v>0</v>
      </c>
      <c r="V89" s="539">
        <v>0</v>
      </c>
      <c r="W89" s="538">
        <v>0</v>
      </c>
      <c r="X89" s="539">
        <v>0</v>
      </c>
      <c r="Y89" s="539">
        <v>0</v>
      </c>
      <c r="Z89" s="539">
        <v>0</v>
      </c>
      <c r="AA89" s="539">
        <v>0</v>
      </c>
      <c r="AB89" s="538">
        <v>0</v>
      </c>
      <c r="AC89" s="539">
        <v>0</v>
      </c>
      <c r="AD89" s="539">
        <v>0</v>
      </c>
      <c r="AE89" s="539">
        <v>0</v>
      </c>
      <c r="AF89" s="539">
        <v>0</v>
      </c>
      <c r="AG89" s="112">
        <v>0</v>
      </c>
      <c r="AH89" s="112">
        <v>0</v>
      </c>
      <c r="AI89" s="539">
        <v>0</v>
      </c>
      <c r="AJ89" s="539">
        <v>0</v>
      </c>
      <c r="AK89" s="539">
        <v>0</v>
      </c>
      <c r="AL89" s="538">
        <f>SUM(C89,H89,M89,R89,W89,AB89,AG89)</f>
        <v>0</v>
      </c>
    </row>
    <row r="90" spans="1:39" ht="35.1" customHeight="1" x14ac:dyDescent="0.25">
      <c r="A90" s="650">
        <v>44</v>
      </c>
      <c r="B90" s="111" t="s">
        <v>39</v>
      </c>
      <c r="C90" s="538">
        <f>SUM(D90:E90)</f>
        <v>0</v>
      </c>
      <c r="D90" s="539">
        <v>0</v>
      </c>
      <c r="E90" s="539">
        <v>0</v>
      </c>
      <c r="F90" s="539">
        <v>0</v>
      </c>
      <c r="G90" s="539">
        <v>0</v>
      </c>
      <c r="H90" s="538">
        <f>I90+J90+K90+L90</f>
        <v>23833</v>
      </c>
      <c r="I90" s="539">
        <v>23833</v>
      </c>
      <c r="J90" s="539">
        <v>0</v>
      </c>
      <c r="K90" s="539">
        <v>0</v>
      </c>
      <c r="L90" s="539">
        <v>0</v>
      </c>
      <c r="M90" s="538">
        <f>22443-66+210+585-25</f>
        <v>23147</v>
      </c>
      <c r="N90" s="539">
        <f>22443-66+210+585-25</f>
        <v>23147</v>
      </c>
      <c r="O90" s="539">
        <v>0</v>
      </c>
      <c r="P90" s="539">
        <v>0</v>
      </c>
      <c r="Q90" s="539">
        <v>0</v>
      </c>
      <c r="R90" s="538">
        <f>S90+T90+U90+V90</f>
        <v>24768</v>
      </c>
      <c r="S90" s="539">
        <v>24768</v>
      </c>
      <c r="T90" s="539">
        <v>0</v>
      </c>
      <c r="U90" s="539">
        <v>0</v>
      </c>
      <c r="V90" s="539">
        <v>0</v>
      </c>
      <c r="W90" s="538">
        <f>X90+Y90+Z90+AA90</f>
        <v>26662.3</v>
      </c>
      <c r="X90" s="539">
        <v>26662.3</v>
      </c>
      <c r="Y90" s="539">
        <v>0</v>
      </c>
      <c r="Z90" s="539">
        <v>0</v>
      </c>
      <c r="AA90" s="539">
        <v>0</v>
      </c>
      <c r="AB90" s="538">
        <f>AC90+AD90+AE90+AF90</f>
        <v>26400</v>
      </c>
      <c r="AC90" s="539">
        <f>26400</f>
        <v>26400</v>
      </c>
      <c r="AD90" s="539">
        <v>0</v>
      </c>
      <c r="AE90" s="539">
        <v>0</v>
      </c>
      <c r="AF90" s="539">
        <v>0</v>
      </c>
      <c r="AG90" s="538">
        <f>AH90+AI90+AJ90+AK90</f>
        <v>27084.2</v>
      </c>
      <c r="AH90" s="539">
        <v>27084.2</v>
      </c>
      <c r="AI90" s="539">
        <v>0</v>
      </c>
      <c r="AJ90" s="539">
        <v>0</v>
      </c>
      <c r="AK90" s="539">
        <v>0</v>
      </c>
      <c r="AL90" s="538">
        <f>SUM(C90,H90,M90,R90,W90,AB90,AG90)</f>
        <v>151894.5</v>
      </c>
    </row>
    <row r="91" spans="1:39" ht="36.6" customHeight="1" x14ac:dyDescent="0.25">
      <c r="A91" s="650"/>
      <c r="B91" s="111" t="s">
        <v>351</v>
      </c>
      <c r="C91" s="538">
        <f>SUM(D91:E91)</f>
        <v>0</v>
      </c>
      <c r="D91" s="740">
        <v>0</v>
      </c>
      <c r="E91" s="740">
        <v>0</v>
      </c>
      <c r="F91" s="740">
        <v>0</v>
      </c>
      <c r="G91" s="740">
        <v>0</v>
      </c>
      <c r="H91" s="538">
        <v>0</v>
      </c>
      <c r="I91" s="539">
        <v>0</v>
      </c>
      <c r="J91" s="539">
        <v>0</v>
      </c>
      <c r="K91" s="539">
        <v>0</v>
      </c>
      <c r="L91" s="539">
        <v>0</v>
      </c>
      <c r="M91" s="539">
        <v>1870</v>
      </c>
      <c r="N91" s="539">
        <v>1870</v>
      </c>
      <c r="O91" s="539">
        <v>0</v>
      </c>
      <c r="P91" s="539">
        <v>0</v>
      </c>
      <c r="Q91" s="539">
        <v>0</v>
      </c>
      <c r="R91" s="538">
        <v>0</v>
      </c>
      <c r="S91" s="539">
        <v>0</v>
      </c>
      <c r="T91" s="539">
        <v>0</v>
      </c>
      <c r="U91" s="539">
        <v>0</v>
      </c>
      <c r="V91" s="539">
        <v>0</v>
      </c>
      <c r="W91" s="539">
        <v>0</v>
      </c>
      <c r="X91" s="539">
        <v>0</v>
      </c>
      <c r="Y91" s="539">
        <v>0</v>
      </c>
      <c r="Z91" s="539">
        <v>0</v>
      </c>
      <c r="AA91" s="539">
        <v>0</v>
      </c>
      <c r="AB91" s="539">
        <v>0</v>
      </c>
      <c r="AC91" s="539">
        <v>0</v>
      </c>
      <c r="AD91" s="539">
        <v>0</v>
      </c>
      <c r="AE91" s="539">
        <v>0</v>
      </c>
      <c r="AF91" s="539">
        <v>0</v>
      </c>
      <c r="AG91" s="539">
        <v>0</v>
      </c>
      <c r="AH91" s="539">
        <v>0</v>
      </c>
      <c r="AI91" s="539">
        <v>0</v>
      </c>
      <c r="AJ91" s="539">
        <v>0</v>
      </c>
      <c r="AK91" s="539">
        <v>0</v>
      </c>
      <c r="AL91" s="538">
        <f>SUM(C91,H91,M91,R91,W91,AB91,AG91)</f>
        <v>1870</v>
      </c>
    </row>
    <row r="92" spans="1:39" ht="43.35" customHeight="1" x14ac:dyDescent="0.25">
      <c r="A92" s="651" t="s">
        <v>1370</v>
      </c>
      <c r="B92" s="651"/>
      <c r="C92" s="538">
        <f t="shared" ref="C92:L92" si="11">SUM(C10:C91)-C91-C87-C47-C33</f>
        <v>34257</v>
      </c>
      <c r="D92" s="753">
        <f>SUM(D10:D91)-D91-D87-D47-D33</f>
        <v>34257</v>
      </c>
      <c r="E92" s="538">
        <f t="shared" si="11"/>
        <v>0</v>
      </c>
      <c r="F92" s="538">
        <f t="shared" si="11"/>
        <v>0</v>
      </c>
      <c r="G92" s="538">
        <f t="shared" si="11"/>
        <v>0</v>
      </c>
      <c r="H92" s="538">
        <f t="shared" si="11"/>
        <v>64807.6</v>
      </c>
      <c r="I92" s="538">
        <f t="shared" si="11"/>
        <v>64807.6</v>
      </c>
      <c r="J92" s="538">
        <f t="shared" si="11"/>
        <v>0</v>
      </c>
      <c r="K92" s="538">
        <f t="shared" si="11"/>
        <v>0</v>
      </c>
      <c r="L92" s="538">
        <f t="shared" si="11"/>
        <v>0</v>
      </c>
      <c r="M92" s="127">
        <f>N92+O92+P92+Q92</f>
        <v>82895</v>
      </c>
      <c r="N92" s="538">
        <f>SUM(N10:N91)-N91-N87-N47-N33</f>
        <v>82895</v>
      </c>
      <c r="O92" s="127">
        <v>0</v>
      </c>
      <c r="P92" s="127">
        <v>0</v>
      </c>
      <c r="Q92" s="127">
        <v>0</v>
      </c>
      <c r="R92" s="538">
        <f>R94-R93</f>
        <v>156994.94999999998</v>
      </c>
      <c r="S92" s="538">
        <f>S94-S93</f>
        <v>156994.94999999998</v>
      </c>
      <c r="T92" s="538">
        <f t="shared" ref="T92:AA92" si="12">SUM(T10:T91)-T91-T87-T47-T33</f>
        <v>0</v>
      </c>
      <c r="U92" s="538">
        <f t="shared" si="12"/>
        <v>0</v>
      </c>
      <c r="V92" s="538">
        <f t="shared" si="12"/>
        <v>0</v>
      </c>
      <c r="W92" s="538">
        <f t="shared" si="12"/>
        <v>119138</v>
      </c>
      <c r="X92" s="538">
        <f t="shared" si="12"/>
        <v>119138</v>
      </c>
      <c r="Y92" s="538">
        <f t="shared" si="12"/>
        <v>0</v>
      </c>
      <c r="Z92" s="538">
        <f t="shared" si="12"/>
        <v>0</v>
      </c>
      <c r="AA92" s="538">
        <f t="shared" si="12"/>
        <v>0</v>
      </c>
      <c r="AB92" s="538">
        <f>SUM(AB10:AB91)-AB91-AB87-AB47-AB33</f>
        <v>100902</v>
      </c>
      <c r="AC92" s="538">
        <f t="shared" ref="AC92:AF92" si="13">SUM(AC10:AC91)-AC91-AC87-AC47-AC33</f>
        <v>100902</v>
      </c>
      <c r="AD92" s="538">
        <f t="shared" si="13"/>
        <v>0</v>
      </c>
      <c r="AE92" s="538">
        <f t="shared" si="13"/>
        <v>0</v>
      </c>
      <c r="AF92" s="538">
        <f t="shared" si="13"/>
        <v>0</v>
      </c>
      <c r="AG92" s="538">
        <f>SUM(AG10:AG91)-AG91-AG87-AG47-AG33-AG76</f>
        <v>110806.59999999999</v>
      </c>
      <c r="AH92" s="538">
        <f>SUM(AH10:AH91)-AH91-AH87-AH47-AH33-AH76</f>
        <v>110806.59999999999</v>
      </c>
      <c r="AI92" s="538">
        <f t="shared" ref="AI92:AK92" si="14">SUM(AI10:AI91)-AI91-AI87-AI47-AI33-AI76</f>
        <v>0</v>
      </c>
      <c r="AJ92" s="538">
        <f t="shared" si="14"/>
        <v>0</v>
      </c>
      <c r="AK92" s="538">
        <f t="shared" si="14"/>
        <v>0</v>
      </c>
      <c r="AL92" s="538">
        <f>C92+H92+M92+R92+W92+AB92+AG92</f>
        <v>669801.15</v>
      </c>
    </row>
    <row r="93" spans="1:39" ht="31.65" customHeight="1" x14ac:dyDescent="0.25">
      <c r="A93" s="652" t="s">
        <v>1295</v>
      </c>
      <c r="B93" s="652"/>
      <c r="C93" s="127">
        <v>0</v>
      </c>
      <c r="D93" s="127">
        <v>0</v>
      </c>
      <c r="E93" s="127">
        <v>0</v>
      </c>
      <c r="F93" s="127">
        <v>0</v>
      </c>
      <c r="G93" s="127">
        <v>0</v>
      </c>
      <c r="H93" s="127">
        <v>0</v>
      </c>
      <c r="I93" s="127">
        <v>0</v>
      </c>
      <c r="J93" s="127">
        <v>0</v>
      </c>
      <c r="K93" s="127">
        <v>0</v>
      </c>
      <c r="L93" s="127">
        <v>0</v>
      </c>
      <c r="M93" s="127">
        <f>N93+O93+P93+Q93</f>
        <v>9256</v>
      </c>
      <c r="N93" s="127">
        <f>N91+N87+N33+N47</f>
        <v>9256</v>
      </c>
      <c r="O93" s="127">
        <v>0</v>
      </c>
      <c r="P93" s="127">
        <v>0</v>
      </c>
      <c r="Q93" s="127">
        <v>0</v>
      </c>
      <c r="R93" s="127">
        <v>0</v>
      </c>
      <c r="S93" s="127">
        <v>0</v>
      </c>
      <c r="T93" s="127">
        <v>0</v>
      </c>
      <c r="U93" s="127">
        <v>0</v>
      </c>
      <c r="V93" s="127">
        <v>0</v>
      </c>
      <c r="W93" s="127">
        <v>0</v>
      </c>
      <c r="X93" s="127">
        <v>0</v>
      </c>
      <c r="Y93" s="127">
        <v>0</v>
      </c>
      <c r="Z93" s="127">
        <v>0</v>
      </c>
      <c r="AA93" s="127">
        <v>0</v>
      </c>
      <c r="AB93" s="127">
        <v>0</v>
      </c>
      <c r="AC93" s="127">
        <v>0</v>
      </c>
      <c r="AD93" s="127">
        <v>0</v>
      </c>
      <c r="AE93" s="127">
        <v>0</v>
      </c>
      <c r="AF93" s="127">
        <v>0</v>
      </c>
      <c r="AG93" s="127">
        <f>AH93+AI93+AJ93+AK93</f>
        <v>2366</v>
      </c>
      <c r="AH93" s="127">
        <f>AH76</f>
        <v>2366</v>
      </c>
      <c r="AI93" s="127">
        <v>0</v>
      </c>
      <c r="AJ93" s="127">
        <v>0</v>
      </c>
      <c r="AK93" s="127">
        <v>0</v>
      </c>
      <c r="AL93" s="538">
        <f>AL91+AL87+AL47+AL33+AL76</f>
        <v>11622</v>
      </c>
    </row>
    <row r="94" spans="1:39" s="129" customFormat="1" ht="46.35" customHeight="1" x14ac:dyDescent="0.25">
      <c r="A94" s="653" t="s">
        <v>1371</v>
      </c>
      <c r="B94" s="653"/>
      <c r="C94" s="538">
        <f>D94+E94+F94+G94</f>
        <v>34257</v>
      </c>
      <c r="D94" s="538">
        <f>D10+D11+D12+D13+D14+D15+D19+D20+D21+D26+D30+D31+D34+D48+D49+D50+D51+D52+D53+D54+D55+D56+D57+D58+D59+D60+D61+D62+D69+D70+D73+D77+D78+D79+D80+D81+D82+D83+D84+D85+D88+D89+D90+D68</f>
        <v>34257</v>
      </c>
      <c r="E94" s="538">
        <f>E10+E11+E12+E13+E14+E15+E19+E20+E21+E26+E30+E31+E34+E48+E49+E50+E51+E52+E53+E54+E55+E56+E57+E58+E59+E60+E61+E62+E69+E70+E73+E77+E78+E79+E80+E81+E82+E83+E84+E85+E88+E89+E90+E68</f>
        <v>0</v>
      </c>
      <c r="F94" s="538">
        <f>F10+F11+F12+F13+F14+F15+F19+F20+F21+F26+F30+F31+F34+F48+F49+F50+F51+F52+F53+F54+F55+F56+F57+F58+F59+F60+F61+F62+F69+F70+F73+F77+F78+F79+F80+F81+F82+F83+F84+F85+F88+F89+F90+F68</f>
        <v>0</v>
      </c>
      <c r="G94" s="538">
        <v>0</v>
      </c>
      <c r="H94" s="538">
        <f>I94+J94+K94+L94</f>
        <v>64807.6</v>
      </c>
      <c r="I94" s="538">
        <f>I10+I11+I12+I13+I14+I15+I19+I20+I21+I26+I30+I31+I34+I48+I49+I50+I51+I52+I53+I54+I55+I56+I57+I58+I59+I60+I61+I62+I69+I70+I73+I77+I78+I79+I80+I81+I82+I83+I84+I85+I88+I89+I90+I68</f>
        <v>64807.6</v>
      </c>
      <c r="J94" s="538">
        <f>J10+J11+J12+J13+J14+J15+J19+J20+J21+J26+J30+J31+J34+J48+J49+J50+J51+J52+J53+J54+J55+J56+J57+J58+J59+J60+J61+J62+J69+J70+J73+J77+J78+J79+J80+J81+J82+J83+J84+J85+J88+J89+J90+J68</f>
        <v>0</v>
      </c>
      <c r="K94" s="538">
        <f>K10+K11+K12+K13+K14+K15+K19+K20+K21+K26+K30+K31+K34+K48+K49+K50+K51+K52+K53+K54+K55+K56+K57+K58+K59+K60+K61+K62+K69+K70+K73+K77+K78+K79+K80+K81+K82+K83+K84+K85+K88+K89+K90+K68</f>
        <v>0</v>
      </c>
      <c r="L94" s="538">
        <f>L10+L11+L12+L13+L14+L15+L19+L20+L21+L26+L30+L31+L34+L48+L49+L50+L51+L52+L53+L54+L55+L56+L57+L58+L59+L60+L61+L62+L69+L70+L73+L77+L78+L79+L80+L81+L82+L83+L84+L85+L88+L89+L90+L68</f>
        <v>0</v>
      </c>
      <c r="M94" s="538">
        <f>N94+O94+P94+Q94</f>
        <v>92151</v>
      </c>
      <c r="N94" s="538">
        <f>N10+N11+N12+N13+N14+N15+N19+N20+N21+N26+N30+N31+N34+N48+N49+N50+N51+N52+N53+N54+N55+N56+N57+N58+N59+N60+N61+N62+N69+N70+N73+N77+N78+N79+N80+N81+N82+N83+N84+N85+N88+N89+N90+N68+N91+N87+N33+N47</f>
        <v>92151</v>
      </c>
      <c r="O94" s="538">
        <f>O10+O11+O12+O13+O14+O15+O19+O20+O21+O26+O30+O31+O34+O48+O49+O50+O51+O52+O53+O54+O55+O56+O57+O58+O59+O60+O61+O62+O69+O70+O73+O77+O78+O79+O80+O81+O82+O83+O84+O85+O88+O89+O90+O68</f>
        <v>0</v>
      </c>
      <c r="P94" s="538">
        <f>P10+P11+P12+P13+P14+P15+P19+P20+P21+P26+P30+P31+P34+P48+P49+P50+P51+P52+P53+P54+P55+P56+P57+P58+P59+P60+P61+P62+P69+P70+P73+P77+P78+P79+P80+P81+P82+P83+P84+P85+P88+P89+P90+P68</f>
        <v>0</v>
      </c>
      <c r="Q94" s="538">
        <f>Q10+Q11+Q12+Q13+Q14+Q15+Q19+Q20+Q21+Q26+Q30+Q31+Q34+Q48+Q49+Q50+Q51+Q52+Q53+Q54+Q55+Q56+Q57+Q58+Q59+Q60+Q61+Q62+Q69+Q70+Q73+Q77+Q78+Q79+Q80+Q81+Q82+Q83+Q84+Q85+Q88+Q89+Q90+Q68</f>
        <v>0</v>
      </c>
      <c r="R94" s="538">
        <f>S94+T94+U94+V94</f>
        <v>156994.94999999998</v>
      </c>
      <c r="S94" s="538">
        <f>S10+S11+S12+S13+S14+S15+S19+S20+S21+S26+S30+S31+S34+S48+S49+S50+S51+S52+S53+S54+S55+S56+S57+S58+S59+S60+S61+S62+S69+S70+S73+S77+S78+S79+S80+S81+S82+S83+S84+S85+S88+S89+S90+S68</f>
        <v>156994.94999999998</v>
      </c>
      <c r="T94" s="538">
        <f>T10+T11+T12+T13+T14+T15+T19+T20+T21+T26+T30+T31+T34+T48+T49+T50+T51+T52+T53+T54+T55+T56+T57+T58+T59+T60+T61+T62+T69+T70+T73+T77+T78+T79+T80+T81+T82+T83+T84+T85+T88+T89+T90+T68</f>
        <v>0</v>
      </c>
      <c r="U94" s="538">
        <f>U10+U11+U12+U13+U14+U15+U19+U20+U21+U26+U30+U31+U34+U48+U49+U50+U51+U52+U53+U54+U55+U56+U57+U58+U59+U60+U61+U62+U69+U70+U73+U77+U78+U79+U80+U81+U82+U83+U84+U85+U88+U89+U90+U68</f>
        <v>0</v>
      </c>
      <c r="V94" s="538">
        <f>V10+V11+V12+V13+V14+V15+V19+V20+V21+V26+V30+V31+V34+V48+V49+V50+V51+V52+V53+V54+V55+V56+V57+V58+V59+V60+V61+V62+V69+V70+V73+V77+V78+V79+V80+V81+V82+V83+V84+V85+V88+V89+V90+V68</f>
        <v>0</v>
      </c>
      <c r="W94" s="538">
        <f>X94+Y94+Z94+AA94</f>
        <v>119138</v>
      </c>
      <c r="X94" s="538">
        <f>X10+X11+X12+X13+X14+X15+X19+X20+X21+X26+X30+X31+X34+X48+X49+X50+X51+X52+X53+X54+X55+X56+X57+X58+X59+X60+X61+X62+X69+X70+X73+X77+X78+X79+X80+X81+X82+X83+X84+X85+X88+X89+X90+X68</f>
        <v>119138</v>
      </c>
      <c r="Y94" s="538">
        <f>Y10+Y11+Y12+Y13+Y14+Y15+Y19+Y20+Y21+Y26+Y30+Y31+Y34+Y48+Y49+Y50+Y51+Y52+Y53+Y54+Y55+Y56+Y57+Y58+Y59+Y60+Y61+Y62+Y69+Y70+Y73+Y77+Y78+Y79+Y80+Y81+Y82+Y83+Y84+Y85+Y88+Y89+Y90+Y68</f>
        <v>0</v>
      </c>
      <c r="Z94" s="538">
        <f>Z10+Z11+Z12+Z13+Z14+Z15+Z19+Z20+Z21+Z26+Z30+Z31+Z34+Z48+Z49+Z50+Z51+Z52+Z53+Z54+Z55+Z56+Z57+Z58+Z59+Z60+Z61+Z62+Z69+Z70+Z73+Z77+Z78+Z79+Z80+Z81+Z82+Z83+Z84+Z85+Z88+Z89+Z90+Z68</f>
        <v>0</v>
      </c>
      <c r="AA94" s="538">
        <f>AA10+AA11+AA12+AA13+AA14+AA15+AA19+AA20+AA21+AA26+AA30+AA31+AA34+AA48+AA49+AA50+AA51+AA52+AA53+AA54+AA55+AA56+AA57+AA58+AA59+AA60+AA61+AA62+AA69+AA70+AA73+AA77+AA78+AA79+AA80+AA81+AA82+AA83+AA84+AA85+AA88+AA89+AA90+AA68</f>
        <v>0</v>
      </c>
      <c r="AB94" s="538">
        <f>AB92+AB93</f>
        <v>100902</v>
      </c>
      <c r="AC94" s="538">
        <f>AC10+AC11+AC12+AC13+AC14+AC15+AC19+AC20+AC21+AC26+AC30+AC31+AC36+AC48+AC49+AC50+AC51+AC52+AC53+AC54+AC55+AC56+AC57+AC58+AC59+AC60+AC61+AC62+AC69+AC70+AC73+AC77+AC78+AC79+AC80+AC81+AC82+AC83+AC84+AC85+AC88+AC89+AC90+AC68</f>
        <v>99312</v>
      </c>
      <c r="AD94" s="538">
        <f>AD10+AD11+AD12+AD13+AD14+AD15+AD19+AD20+AD21+AD26+AD30+AD31+AD36+AD48+AD49+AD50+AD51+AD52+AD53+AD54+AD55+AD56+AD57+AD58+AD59+AD60+AD61+AD62+AD69+AD70+AD73+AD77+AD78+AD79+AD80+AD81+AD82+AD83+AD84+AD85+AD88+AD89+AD90+AD68</f>
        <v>0</v>
      </c>
      <c r="AE94" s="538">
        <f>AE10+AE11+AE12+AE13+AE14+AE15+AE19+AE20+AE21+AE26+AE30+AE31+AE36+AE48+AE49+AE50+AE51+AE52+AE53+AE54+AE55+AE56+AE57+AE58+AE59+AE60+AE61+AE62+AE69+AE70+AE73+AE77+AE78+AE79+AE80+AE81+AE82+AE83+AE84+AE85+AE88+AE89+AE90+AE68</f>
        <v>0</v>
      </c>
      <c r="AF94" s="538">
        <f>AF10+AF11+AF12+AF13+AF14+AF15+AF19+AF20+AF21+AF26+AF30+AF31+AF36+AF48+AF49+AF50+AF51+AF52+AF53+AF54+AF55+AF56+AF57+AF58+AF59+AF60+AF61+AF62+AF69+AF70+AF73+AF77+AF78+AF79+AF80+AF81+AF82+AF83+AF84+AF85+AF88+AF89+AF90+AF68</f>
        <v>0</v>
      </c>
      <c r="AG94" s="538">
        <f>AG92+AG93</f>
        <v>113172.59999999999</v>
      </c>
      <c r="AH94" s="538">
        <f t="shared" ref="AH94:AL94" si="15">AH92+AH93</f>
        <v>113172.59999999999</v>
      </c>
      <c r="AI94" s="538">
        <f t="shared" si="15"/>
        <v>0</v>
      </c>
      <c r="AJ94" s="538">
        <f t="shared" si="15"/>
        <v>0</v>
      </c>
      <c r="AK94" s="538">
        <f t="shared" si="15"/>
        <v>0</v>
      </c>
      <c r="AL94" s="753">
        <f t="shared" si="15"/>
        <v>681423.15</v>
      </c>
      <c r="AM94" s="128"/>
    </row>
    <row r="95" spans="1:39" ht="43.5" customHeight="1" x14ac:dyDescent="0.3">
      <c r="H95" s="134"/>
      <c r="I95" s="754"/>
      <c r="J95" s="754"/>
      <c r="K95" s="755"/>
      <c r="L95" s="755"/>
      <c r="M95" s="756"/>
      <c r="N95" s="756"/>
      <c r="O95" s="756"/>
      <c r="P95" s="757"/>
      <c r="Q95" s="757"/>
      <c r="R95" s="756"/>
      <c r="S95" s="754"/>
      <c r="T95" s="754"/>
      <c r="U95" s="755"/>
      <c r="V95" s="755"/>
      <c r="W95" s="754"/>
      <c r="X95" s="754"/>
      <c r="Y95" s="754"/>
      <c r="Z95" s="755"/>
      <c r="AA95" s="755"/>
      <c r="AB95" s="754"/>
      <c r="AC95" s="754"/>
      <c r="AD95" s="754"/>
      <c r="AE95" s="755"/>
      <c r="AF95" s="755"/>
      <c r="AG95" s="754"/>
      <c r="AH95" s="754"/>
      <c r="AI95" s="754"/>
      <c r="AJ95" s="755"/>
      <c r="AK95" s="755"/>
      <c r="AL95" s="758"/>
    </row>
    <row r="96" spans="1:39" ht="43.5" customHeight="1" x14ac:dyDescent="0.3">
      <c r="B96" s="101" t="s">
        <v>1480</v>
      </c>
      <c r="C96" s="759"/>
      <c r="D96" s="760"/>
      <c r="H96" s="134"/>
      <c r="I96" s="754"/>
      <c r="J96" s="754"/>
      <c r="K96" s="755"/>
      <c r="L96" s="755"/>
      <c r="M96" s="754"/>
      <c r="N96" s="754"/>
      <c r="O96" s="754"/>
      <c r="P96" s="755"/>
      <c r="Q96" s="755"/>
      <c r="R96" s="754"/>
      <c r="S96" s="754"/>
      <c r="T96" s="754"/>
      <c r="U96" s="755"/>
      <c r="V96" s="755"/>
      <c r="W96" s="754"/>
      <c r="X96" s="754"/>
      <c r="Y96" s="754"/>
      <c r="Z96" s="755"/>
      <c r="AA96" s="755"/>
      <c r="AB96" s="754"/>
      <c r="AC96" s="754"/>
      <c r="AD96" s="754"/>
      <c r="AE96" s="755"/>
      <c r="AF96" s="755"/>
      <c r="AG96" s="754">
        <f>48107-AH21-AH62-AH81-AH84-AH90</f>
        <v>0.39999999999781721</v>
      </c>
      <c r="AH96" s="754"/>
      <c r="AI96" s="754"/>
      <c r="AJ96" s="755"/>
      <c r="AK96" s="755"/>
      <c r="AL96" s="758"/>
    </row>
    <row r="97" spans="1:38" ht="43.5" customHeight="1" x14ac:dyDescent="0.3">
      <c r="B97" s="130"/>
      <c r="C97" s="759"/>
      <c r="D97" s="760"/>
      <c r="H97" s="134"/>
      <c r="I97" s="754"/>
      <c r="J97" s="754"/>
      <c r="K97" s="755"/>
      <c r="L97" s="755"/>
      <c r="M97" s="754"/>
      <c r="N97" s="754"/>
      <c r="O97" s="754"/>
      <c r="P97" s="755"/>
      <c r="Q97" s="755"/>
      <c r="R97" s="754"/>
      <c r="S97" s="754"/>
      <c r="T97" s="754"/>
      <c r="U97" s="755"/>
      <c r="V97" s="755"/>
      <c r="W97" s="754"/>
      <c r="X97" s="754"/>
      <c r="Y97" s="754"/>
      <c r="Z97" s="755"/>
      <c r="AA97" s="755"/>
      <c r="AB97" s="754"/>
      <c r="AC97" s="754"/>
      <c r="AD97" s="754"/>
      <c r="AE97" s="755"/>
      <c r="AF97" s="755"/>
      <c r="AG97" s="754"/>
      <c r="AH97" s="754"/>
      <c r="AI97" s="754"/>
      <c r="AJ97" s="755"/>
      <c r="AK97" s="755"/>
      <c r="AL97" s="758"/>
    </row>
    <row r="98" spans="1:38" ht="43.5" customHeight="1" x14ac:dyDescent="0.3">
      <c r="B98" s="131"/>
      <c r="C98" s="760"/>
      <c r="D98" s="760"/>
      <c r="H98" s="134"/>
      <c r="I98" s="754"/>
      <c r="J98" s="754"/>
      <c r="K98" s="755"/>
      <c r="L98" s="755"/>
      <c r="M98" s="754"/>
      <c r="N98" s="754"/>
      <c r="O98" s="754"/>
      <c r="P98" s="755"/>
      <c r="Q98" s="755"/>
      <c r="R98" s="754"/>
      <c r="S98" s="754"/>
      <c r="T98" s="754"/>
      <c r="U98" s="755"/>
      <c r="V98" s="755"/>
      <c r="W98" s="754"/>
      <c r="X98" s="754"/>
      <c r="Y98" s="754"/>
      <c r="Z98" s="755"/>
      <c r="AA98" s="755"/>
      <c r="AB98" s="754"/>
      <c r="AC98" s="754"/>
      <c r="AD98" s="754"/>
      <c r="AE98" s="755"/>
      <c r="AF98" s="755"/>
      <c r="AG98" s="754"/>
      <c r="AH98" s="754"/>
      <c r="AI98" s="754"/>
      <c r="AJ98" s="755"/>
      <c r="AK98" s="755"/>
      <c r="AL98" s="758"/>
    </row>
    <row r="99" spans="1:38" ht="43.5" customHeight="1" x14ac:dyDescent="0.3">
      <c r="H99" s="134"/>
      <c r="I99" s="754"/>
      <c r="J99" s="754"/>
      <c r="K99" s="755"/>
      <c r="L99" s="755"/>
      <c r="M99" s="754"/>
      <c r="N99" s="754"/>
      <c r="O99" s="754"/>
      <c r="P99" s="755"/>
      <c r="Q99" s="755"/>
      <c r="R99" s="754"/>
      <c r="S99" s="754"/>
      <c r="T99" s="754"/>
      <c r="U99" s="755"/>
      <c r="V99" s="755"/>
      <c r="W99" s="754"/>
      <c r="X99" s="754"/>
      <c r="Y99" s="754"/>
      <c r="Z99" s="755"/>
      <c r="AA99" s="755"/>
      <c r="AB99" s="754"/>
      <c r="AC99" s="754"/>
      <c r="AD99" s="754"/>
      <c r="AE99" s="755"/>
      <c r="AF99" s="755"/>
      <c r="AG99" s="754"/>
      <c r="AH99" s="754"/>
      <c r="AI99" s="754"/>
      <c r="AJ99" s="755"/>
      <c r="AK99" s="755"/>
      <c r="AL99" s="758"/>
    </row>
    <row r="100" spans="1:38" ht="43.5" customHeight="1" x14ac:dyDescent="0.3">
      <c r="H100" s="134"/>
      <c r="I100" s="754"/>
      <c r="J100" s="754"/>
      <c r="K100" s="755"/>
      <c r="L100" s="755"/>
      <c r="M100" s="754"/>
      <c r="N100" s="754"/>
      <c r="O100" s="754"/>
      <c r="P100" s="755"/>
      <c r="Q100" s="755"/>
      <c r="R100" s="754"/>
      <c r="S100" s="754"/>
      <c r="T100" s="754"/>
      <c r="U100" s="755"/>
      <c r="V100" s="755"/>
      <c r="W100" s="754"/>
      <c r="X100" s="754"/>
      <c r="Y100" s="754"/>
      <c r="Z100" s="755"/>
      <c r="AA100" s="755"/>
      <c r="AB100" s="754"/>
      <c r="AC100" s="754"/>
      <c r="AD100" s="754"/>
      <c r="AE100" s="755"/>
      <c r="AF100" s="755"/>
      <c r="AG100" s="754"/>
      <c r="AH100" s="754"/>
      <c r="AI100" s="754"/>
      <c r="AJ100" s="755"/>
      <c r="AK100" s="755"/>
      <c r="AL100" s="758"/>
    </row>
    <row r="101" spans="1:38" ht="43.5" customHeight="1" x14ac:dyDescent="0.25">
      <c r="H101" s="134"/>
      <c r="I101" s="754"/>
      <c r="J101" s="754"/>
      <c r="M101" s="754"/>
      <c r="N101" s="754"/>
      <c r="O101" s="754"/>
      <c r="R101" s="754"/>
      <c r="S101" s="754"/>
      <c r="T101" s="754"/>
      <c r="W101" s="754"/>
      <c r="X101" s="754"/>
      <c r="Y101" s="754"/>
      <c r="AB101" s="754"/>
      <c r="AC101" s="754"/>
      <c r="AD101" s="754"/>
      <c r="AG101" s="754"/>
      <c r="AH101" s="754"/>
      <c r="AI101" s="754"/>
      <c r="AL101" s="758"/>
    </row>
    <row r="102" spans="1:38" ht="43.5" customHeight="1" x14ac:dyDescent="0.25">
      <c r="H102" s="134"/>
      <c r="I102" s="754"/>
      <c r="M102" s="754"/>
      <c r="N102" s="754"/>
      <c r="R102" s="754"/>
      <c r="S102" s="754"/>
      <c r="W102" s="754"/>
      <c r="X102" s="754"/>
      <c r="AB102" s="754"/>
      <c r="AC102" s="754"/>
      <c r="AG102" s="754"/>
      <c r="AH102" s="754"/>
      <c r="AI102" s="754"/>
      <c r="AL102" s="758"/>
    </row>
    <row r="103" spans="1:38" ht="43.5" customHeight="1" x14ac:dyDescent="0.25">
      <c r="A103" s="102"/>
      <c r="B103" s="132"/>
      <c r="S103" s="754"/>
    </row>
    <row r="104" spans="1:38" ht="43.5" hidden="1" customHeight="1" x14ac:dyDescent="0.25">
      <c r="A104" s="104"/>
      <c r="B104" s="102"/>
    </row>
    <row r="105" spans="1:38" ht="43.5" hidden="1" customHeight="1" x14ac:dyDescent="0.25"/>
    <row r="106" spans="1:38" ht="43.5" hidden="1" customHeight="1" x14ac:dyDescent="0.25"/>
    <row r="107" spans="1:38" ht="43.5" hidden="1" customHeight="1" x14ac:dyDescent="0.25"/>
    <row r="108" spans="1:38" ht="43.5" hidden="1" customHeight="1" x14ac:dyDescent="0.25"/>
    <row r="109" spans="1:38" ht="43.5" hidden="1" customHeight="1" x14ac:dyDescent="0.25"/>
    <row r="110" spans="1:38" ht="44.4" customHeight="1" x14ac:dyDescent="0.25"/>
    <row r="111" spans="1:38" ht="44.4" customHeight="1" x14ac:dyDescent="0.25">
      <c r="M111" s="762"/>
    </row>
    <row r="113" spans="3:4" ht="43.5" customHeight="1" x14ac:dyDescent="0.25">
      <c r="C113" s="763"/>
      <c r="D113" s="764"/>
    </row>
    <row r="114" spans="3:4" ht="43.5" customHeight="1" x14ac:dyDescent="0.25">
      <c r="C114" s="763"/>
      <c r="D114" s="764"/>
    </row>
    <row r="115" spans="3:4" ht="43.5" customHeight="1" x14ac:dyDescent="0.25">
      <c r="C115" s="763"/>
    </row>
    <row r="116" spans="3:4" ht="43.5" customHeight="1" x14ac:dyDescent="0.25">
      <c r="C116" s="765"/>
    </row>
    <row r="117" spans="3:4" ht="43.5" customHeight="1" x14ac:dyDescent="0.25">
      <c r="C117" s="765"/>
    </row>
  </sheetData>
  <autoFilter ref="A9:AM95" xr:uid="{00000000-0009-0000-0000-000003000000}"/>
  <mergeCells count="469">
    <mergeCell ref="A73:A76"/>
    <mergeCell ref="AL6:AL8"/>
    <mergeCell ref="C7:G7"/>
    <mergeCell ref="H7:L7"/>
    <mergeCell ref="M7:Q7"/>
    <mergeCell ref="R7:V7"/>
    <mergeCell ref="W7:AA7"/>
    <mergeCell ref="AB7:AF7"/>
    <mergeCell ref="AG1:AL1"/>
    <mergeCell ref="H3:L3"/>
    <mergeCell ref="AG3:AL3"/>
    <mergeCell ref="B4:AL4"/>
    <mergeCell ref="C5:D5"/>
    <mergeCell ref="AJ5:AL5"/>
    <mergeCell ref="AG7:AK7"/>
    <mergeCell ref="AL15:AL18"/>
    <mergeCell ref="A21:A22"/>
    <mergeCell ref="C21:C22"/>
    <mergeCell ref="D21:D22"/>
    <mergeCell ref="E21:E22"/>
    <mergeCell ref="F21:F22"/>
    <mergeCell ref="G21:G22"/>
    <mergeCell ref="AC15:AC18"/>
    <mergeCell ref="AD15:AD18"/>
    <mergeCell ref="AE15:AE18"/>
    <mergeCell ref="AF15:AF18"/>
    <mergeCell ref="AG15:AG18"/>
    <mergeCell ref="AH15:AH18"/>
    <mergeCell ref="W15:W18"/>
    <mergeCell ref="X15:X18"/>
    <mergeCell ref="Y15:Y18"/>
    <mergeCell ref="Z15:Z18"/>
    <mergeCell ref="AA15:AA18"/>
    <mergeCell ref="AB15:AB18"/>
    <mergeCell ref="A15:A18"/>
    <mergeCell ref="C15:C18"/>
    <mergeCell ref="D15:D18"/>
    <mergeCell ref="H21:H22"/>
    <mergeCell ref="I21:I22"/>
    <mergeCell ref="J21:J22"/>
    <mergeCell ref="K21:K22"/>
    <mergeCell ref="L21:L22"/>
    <mergeCell ref="M21:M22"/>
    <mergeCell ref="A6:A8"/>
    <mergeCell ref="B6:B8"/>
    <mergeCell ref="C6:AK6"/>
    <mergeCell ref="E15:E18"/>
    <mergeCell ref="F15:F18"/>
    <mergeCell ref="G15:G18"/>
    <mergeCell ref="H15:H18"/>
    <mergeCell ref="I15:I18"/>
    <mergeCell ref="J15:J18"/>
    <mergeCell ref="AI15:AI18"/>
    <mergeCell ref="AJ15:AJ18"/>
    <mergeCell ref="AK15:AK18"/>
    <mergeCell ref="V15:V18"/>
    <mergeCell ref="K15:K18"/>
    <mergeCell ref="L15:L18"/>
    <mergeCell ref="M15:M18"/>
    <mergeCell ref="N15:N18"/>
    <mergeCell ref="O15:O18"/>
    <mergeCell ref="P15:P18"/>
    <mergeCell ref="S15:S18"/>
    <mergeCell ref="T15:T18"/>
    <mergeCell ref="U15:U18"/>
    <mergeCell ref="Q15:Q18"/>
    <mergeCell ref="R15:R18"/>
    <mergeCell ref="V21:V22"/>
    <mergeCell ref="W21:W22"/>
    <mergeCell ref="X21:X22"/>
    <mergeCell ref="Y21:Y22"/>
    <mergeCell ref="N21:N22"/>
    <mergeCell ref="O21:O22"/>
    <mergeCell ref="P21:P22"/>
    <mergeCell ref="Q21:Q22"/>
    <mergeCell ref="R21:R22"/>
    <mergeCell ref="S21:S22"/>
    <mergeCell ref="AL21:AL22"/>
    <mergeCell ref="A23:A25"/>
    <mergeCell ref="C23:C25"/>
    <mergeCell ref="D23:D25"/>
    <mergeCell ref="E23:E25"/>
    <mergeCell ref="F23:F25"/>
    <mergeCell ref="G23:G25"/>
    <mergeCell ref="H23:H25"/>
    <mergeCell ref="I23:I25"/>
    <mergeCell ref="J23:J25"/>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AL23:AL25"/>
    <mergeCell ref="A26:A27"/>
    <mergeCell ref="C26:C27"/>
    <mergeCell ref="D26:D27"/>
    <mergeCell ref="E26:E27"/>
    <mergeCell ref="F26:F27"/>
    <mergeCell ref="G26:G27"/>
    <mergeCell ref="AC23:AC25"/>
    <mergeCell ref="AD23:AD25"/>
    <mergeCell ref="AE23:AE25"/>
    <mergeCell ref="AF23:AF25"/>
    <mergeCell ref="AG23:AG25"/>
    <mergeCell ref="AH23:AH25"/>
    <mergeCell ref="W23:W25"/>
    <mergeCell ref="X23:X25"/>
    <mergeCell ref="Y23:Y25"/>
    <mergeCell ref="Z23:Z25"/>
    <mergeCell ref="AA23:AA25"/>
    <mergeCell ref="AB23:AB25"/>
    <mergeCell ref="Q23:Q25"/>
    <mergeCell ref="R23:R25"/>
    <mergeCell ref="S23:S25"/>
    <mergeCell ref="T23:T25"/>
    <mergeCell ref="U23:U25"/>
    <mergeCell ref="H26:H27"/>
    <mergeCell ref="I26:I27"/>
    <mergeCell ref="J26:J27"/>
    <mergeCell ref="K26:K27"/>
    <mergeCell ref="L26:L27"/>
    <mergeCell ref="M26:M27"/>
    <mergeCell ref="AI23:AI25"/>
    <mergeCell ref="AJ23:AJ25"/>
    <mergeCell ref="AK23:AK25"/>
    <mergeCell ref="V23:V25"/>
    <mergeCell ref="K23:K25"/>
    <mergeCell ref="L23:L25"/>
    <mergeCell ref="M23:M25"/>
    <mergeCell ref="N23:N25"/>
    <mergeCell ref="O23:O25"/>
    <mergeCell ref="P23:P25"/>
    <mergeCell ref="V26:V27"/>
    <mergeCell ref="W26:W27"/>
    <mergeCell ref="X26:X27"/>
    <mergeCell ref="Y26:Y27"/>
    <mergeCell ref="N26:N27"/>
    <mergeCell ref="O26:O27"/>
    <mergeCell ref="P26:P27"/>
    <mergeCell ref="Q26:Q27"/>
    <mergeCell ref="R26:R27"/>
    <mergeCell ref="S26:S27"/>
    <mergeCell ref="AL26:AL27"/>
    <mergeCell ref="A28:A29"/>
    <mergeCell ref="C28:C29"/>
    <mergeCell ref="D28:D29"/>
    <mergeCell ref="E28:E29"/>
    <mergeCell ref="F28:F29"/>
    <mergeCell ref="G28:G29"/>
    <mergeCell ref="H28:H29"/>
    <mergeCell ref="I28:I29"/>
    <mergeCell ref="J28:J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L28:AL29"/>
    <mergeCell ref="A31:A33"/>
    <mergeCell ref="C31:C32"/>
    <mergeCell ref="D31:D32"/>
    <mergeCell ref="E31:E32"/>
    <mergeCell ref="F31:F32"/>
    <mergeCell ref="G31:G32"/>
    <mergeCell ref="AC28:AC29"/>
    <mergeCell ref="AD28:AD29"/>
    <mergeCell ref="AE28:AE29"/>
    <mergeCell ref="AF28:AF29"/>
    <mergeCell ref="AG28:AG29"/>
    <mergeCell ref="AH28:AH29"/>
    <mergeCell ref="W28:W29"/>
    <mergeCell ref="X28:X29"/>
    <mergeCell ref="Y28:Y29"/>
    <mergeCell ref="Z28:Z29"/>
    <mergeCell ref="AA28:AA29"/>
    <mergeCell ref="AB28:AB29"/>
    <mergeCell ref="Q28:Q29"/>
    <mergeCell ref="R28:R29"/>
    <mergeCell ref="S28:S29"/>
    <mergeCell ref="H31:H32"/>
    <mergeCell ref="I31:I32"/>
    <mergeCell ref="J31:J32"/>
    <mergeCell ref="K31:K32"/>
    <mergeCell ref="L31:L32"/>
    <mergeCell ref="M31:M32"/>
    <mergeCell ref="AI28:AI29"/>
    <mergeCell ref="V31:V32"/>
    <mergeCell ref="W31:W32"/>
    <mergeCell ref="X31:X32"/>
    <mergeCell ref="Y31:Y32"/>
    <mergeCell ref="N31:N32"/>
    <mergeCell ref="O31:O32"/>
    <mergeCell ref="P31:P32"/>
    <mergeCell ref="Q31:Q32"/>
    <mergeCell ref="R31:R32"/>
    <mergeCell ref="S31:S32"/>
    <mergeCell ref="AJ28:AJ29"/>
    <mergeCell ref="AK28:AK29"/>
    <mergeCell ref="V28:V29"/>
    <mergeCell ref="K28:K29"/>
    <mergeCell ref="L28:L29"/>
    <mergeCell ref="M28:M29"/>
    <mergeCell ref="N28:N29"/>
    <mergeCell ref="O28:O29"/>
    <mergeCell ref="P28:P29"/>
    <mergeCell ref="T28:T29"/>
    <mergeCell ref="U28:U29"/>
    <mergeCell ref="AL31:AL32"/>
    <mergeCell ref="A34:A39"/>
    <mergeCell ref="C34:C39"/>
    <mergeCell ref="D34:D39"/>
    <mergeCell ref="E34:E39"/>
    <mergeCell ref="F34:F39"/>
    <mergeCell ref="G34:G39"/>
    <mergeCell ref="H34:H39"/>
    <mergeCell ref="I34:I39"/>
    <mergeCell ref="J34:J39"/>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AL34:AL39"/>
    <mergeCell ref="A40:A44"/>
    <mergeCell ref="C40:C44"/>
    <mergeCell ref="D40:D44"/>
    <mergeCell ref="E40:E44"/>
    <mergeCell ref="F40:F44"/>
    <mergeCell ref="G40:G44"/>
    <mergeCell ref="AC34:AC39"/>
    <mergeCell ref="AD34:AD39"/>
    <mergeCell ref="AE34:AE39"/>
    <mergeCell ref="AF34:AF39"/>
    <mergeCell ref="AG34:AG39"/>
    <mergeCell ref="AH34:AH39"/>
    <mergeCell ref="W34:W39"/>
    <mergeCell ref="X34:X39"/>
    <mergeCell ref="Y34:Y39"/>
    <mergeCell ref="Z34:Z39"/>
    <mergeCell ref="AA34:AA39"/>
    <mergeCell ref="AB34:AB39"/>
    <mergeCell ref="Q34:Q39"/>
    <mergeCell ref="R34:R39"/>
    <mergeCell ref="S34:S39"/>
    <mergeCell ref="T34:T39"/>
    <mergeCell ref="U34:U39"/>
    <mergeCell ref="H40:H44"/>
    <mergeCell ref="I40:I44"/>
    <mergeCell ref="J40:J44"/>
    <mergeCell ref="K40:K44"/>
    <mergeCell ref="L40:L44"/>
    <mergeCell ref="M40:M44"/>
    <mergeCell ref="AI34:AI39"/>
    <mergeCell ref="AJ34:AJ39"/>
    <mergeCell ref="AK34:AK39"/>
    <mergeCell ref="V34:V39"/>
    <mergeCell ref="K34:K39"/>
    <mergeCell ref="L34:L39"/>
    <mergeCell ref="M34:M39"/>
    <mergeCell ref="N34:N39"/>
    <mergeCell ref="O34:O39"/>
    <mergeCell ref="P34:P39"/>
    <mergeCell ref="V40:V44"/>
    <mergeCell ref="W40:W44"/>
    <mergeCell ref="X40:X44"/>
    <mergeCell ref="Y40:Y44"/>
    <mergeCell ref="N40:N44"/>
    <mergeCell ref="O40:O44"/>
    <mergeCell ref="P40:P44"/>
    <mergeCell ref="Q40:Q44"/>
    <mergeCell ref="R40:R44"/>
    <mergeCell ref="S40:S44"/>
    <mergeCell ref="AL40:AL44"/>
    <mergeCell ref="A45:A46"/>
    <mergeCell ref="C45:C46"/>
    <mergeCell ref="D45:D46"/>
    <mergeCell ref="E45:E46"/>
    <mergeCell ref="F45:F46"/>
    <mergeCell ref="G45:G46"/>
    <mergeCell ref="H45:H46"/>
    <mergeCell ref="I45:I46"/>
    <mergeCell ref="J45:J46"/>
    <mergeCell ref="AF40:AF44"/>
    <mergeCell ref="AG40:AG44"/>
    <mergeCell ref="AH40:AH44"/>
    <mergeCell ref="AI40:AI44"/>
    <mergeCell ref="AJ40:AJ44"/>
    <mergeCell ref="AK40:AK44"/>
    <mergeCell ref="Z40:Z44"/>
    <mergeCell ref="AA40:AA44"/>
    <mergeCell ref="AB40:AB44"/>
    <mergeCell ref="AC40:AC44"/>
    <mergeCell ref="AD40:AD44"/>
    <mergeCell ref="AE40:AE44"/>
    <mergeCell ref="T40:T44"/>
    <mergeCell ref="U40:U44"/>
    <mergeCell ref="AL45:AL46"/>
    <mergeCell ref="A62:A67"/>
    <mergeCell ref="C62:C67"/>
    <mergeCell ref="D62:D67"/>
    <mergeCell ref="E62:E67"/>
    <mergeCell ref="F62:F67"/>
    <mergeCell ref="G62:G67"/>
    <mergeCell ref="AC45:AC46"/>
    <mergeCell ref="AD45:AD46"/>
    <mergeCell ref="AE45:AE46"/>
    <mergeCell ref="AF45:AF46"/>
    <mergeCell ref="AG45:AG46"/>
    <mergeCell ref="AH45:AH46"/>
    <mergeCell ref="W45:W46"/>
    <mergeCell ref="X45:X46"/>
    <mergeCell ref="Y45:Y46"/>
    <mergeCell ref="Z45:Z46"/>
    <mergeCell ref="AA45:AA46"/>
    <mergeCell ref="AB45:AB46"/>
    <mergeCell ref="Q45:Q46"/>
    <mergeCell ref="R45:R46"/>
    <mergeCell ref="S45:S46"/>
    <mergeCell ref="I62:I67"/>
    <mergeCell ref="J62:J67"/>
    <mergeCell ref="K62:K67"/>
    <mergeCell ref="L62:L67"/>
    <mergeCell ref="M62:M67"/>
    <mergeCell ref="AI45:AI46"/>
    <mergeCell ref="V62:V67"/>
    <mergeCell ref="W62:W67"/>
    <mergeCell ref="X62:X67"/>
    <mergeCell ref="Y62:Y67"/>
    <mergeCell ref="N62:N67"/>
    <mergeCell ref="O62:O67"/>
    <mergeCell ref="P62:P67"/>
    <mergeCell ref="Q62:Q67"/>
    <mergeCell ref="R62:R67"/>
    <mergeCell ref="S62:S67"/>
    <mergeCell ref="U62:U67"/>
    <mergeCell ref="AJ45:AJ46"/>
    <mergeCell ref="AK45:AK46"/>
    <mergeCell ref="V45:V46"/>
    <mergeCell ref="K45:K46"/>
    <mergeCell ref="L45:L46"/>
    <mergeCell ref="M45:M46"/>
    <mergeCell ref="N45:N46"/>
    <mergeCell ref="O45:O46"/>
    <mergeCell ref="P45:P46"/>
    <mergeCell ref="T45:T46"/>
    <mergeCell ref="U45:U46"/>
    <mergeCell ref="AL62:AL67"/>
    <mergeCell ref="A70:A72"/>
    <mergeCell ref="C70:C72"/>
    <mergeCell ref="D70:D72"/>
    <mergeCell ref="E70:E72"/>
    <mergeCell ref="F70:F72"/>
    <mergeCell ref="G70:G72"/>
    <mergeCell ref="H70:H72"/>
    <mergeCell ref="I70:I72"/>
    <mergeCell ref="J70:J72"/>
    <mergeCell ref="AF62:AF67"/>
    <mergeCell ref="AG62:AG67"/>
    <mergeCell ref="AH62:AH67"/>
    <mergeCell ref="AI62:AI67"/>
    <mergeCell ref="AJ62:AJ67"/>
    <mergeCell ref="AK62:AK67"/>
    <mergeCell ref="Z62:Z67"/>
    <mergeCell ref="AA62:AA67"/>
    <mergeCell ref="AB62:AB67"/>
    <mergeCell ref="AC62:AC67"/>
    <mergeCell ref="AD62:AD67"/>
    <mergeCell ref="AE62:AE67"/>
    <mergeCell ref="T62:T67"/>
    <mergeCell ref="H62:H67"/>
    <mergeCell ref="AL70:AL72"/>
    <mergeCell ref="C73:C75"/>
    <mergeCell ref="D73:D75"/>
    <mergeCell ref="E73:E75"/>
    <mergeCell ref="F73:F75"/>
    <mergeCell ref="G73:G75"/>
    <mergeCell ref="AC70:AC72"/>
    <mergeCell ref="AD70:AD72"/>
    <mergeCell ref="AE70:AE72"/>
    <mergeCell ref="AF70:AF72"/>
    <mergeCell ref="AG70:AG72"/>
    <mergeCell ref="AH70:AH72"/>
    <mergeCell ref="W70:W72"/>
    <mergeCell ref="X70:X72"/>
    <mergeCell ref="Y70:Y72"/>
    <mergeCell ref="Z70:Z72"/>
    <mergeCell ref="AA70:AA72"/>
    <mergeCell ref="AB70:AB72"/>
    <mergeCell ref="Q70:Q72"/>
    <mergeCell ref="R70:R72"/>
    <mergeCell ref="S70:S72"/>
    <mergeCell ref="T70:T72"/>
    <mergeCell ref="J73:J75"/>
    <mergeCell ref="U70:U72"/>
    <mergeCell ref="K73:K75"/>
    <mergeCell ref="L73:L75"/>
    <mergeCell ref="M73:M75"/>
    <mergeCell ref="AI70:AI72"/>
    <mergeCell ref="AJ70:AJ72"/>
    <mergeCell ref="V73:V75"/>
    <mergeCell ref="S73:S75"/>
    <mergeCell ref="AK70:AK72"/>
    <mergeCell ref="V70:V72"/>
    <mergeCell ref="K70:K72"/>
    <mergeCell ref="L70:L72"/>
    <mergeCell ref="M70:M72"/>
    <mergeCell ref="N70:N72"/>
    <mergeCell ref="O70:O72"/>
    <mergeCell ref="P70:P72"/>
    <mergeCell ref="W73:W75"/>
    <mergeCell ref="X73:X75"/>
    <mergeCell ref="Y73:Y75"/>
    <mergeCell ref="N73:N75"/>
    <mergeCell ref="O73:O75"/>
    <mergeCell ref="P73:P75"/>
    <mergeCell ref="Q73:Q75"/>
    <mergeCell ref="R73:R75"/>
    <mergeCell ref="U73:U75"/>
    <mergeCell ref="C96:D96"/>
    <mergeCell ref="C97:D97"/>
    <mergeCell ref="C98:D98"/>
    <mergeCell ref="AL73:AL75"/>
    <mergeCell ref="A85:A87"/>
    <mergeCell ref="A90:A91"/>
    <mergeCell ref="A92:B92"/>
    <mergeCell ref="A93:B93"/>
    <mergeCell ref="A94:B94"/>
    <mergeCell ref="AF73:AF75"/>
    <mergeCell ref="AG73:AG75"/>
    <mergeCell ref="AH73:AH75"/>
    <mergeCell ref="AI73:AI75"/>
    <mergeCell ref="AJ73:AJ75"/>
    <mergeCell ref="AK73:AK75"/>
    <mergeCell ref="Z73:Z75"/>
    <mergeCell ref="AA73:AA75"/>
    <mergeCell ref="AB73:AB75"/>
    <mergeCell ref="AC73:AC75"/>
    <mergeCell ref="AD73:AD75"/>
    <mergeCell ref="AE73:AE75"/>
    <mergeCell ref="T73:T75"/>
    <mergeCell ref="H73:H75"/>
    <mergeCell ref="I73:I75"/>
  </mergeCells>
  <pageMargins left="0" right="0" top="0.43307086614173229" bottom="0.55118110236220474" header="0.19685039370078741" footer="0.15748031496062992"/>
  <pageSetup paperSize="8" scale="40" fitToHeight="4" orientation="landscape" r:id="rId1"/>
  <headerFooter alignWithMargins="0"/>
  <rowBreaks count="3" manualBreakCount="3">
    <brk id="33" max="37" man="1"/>
    <brk id="61" max="37" man="1"/>
    <brk id="69" max="37" man="1"/>
  </rowBreaks>
  <ignoredErrors>
    <ignoredError sqref="C10:C15 M10:M13 W11 C19:C20 C26 C30 C48 C59:C62 C68:C70 H68 M69:M70 H73 M73 C77 H77 M77:M84 C79:C80 H79:H80 C82:C83 H82:H83 C85 H85 C87:C91 H87:H88 Q87 M88 E92:G92 J92:L92 T92:V92 Y92:AA92" formulaRange="1"/>
    <ignoredError sqref="M92 R94 W9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758"/>
  <sheetViews>
    <sheetView tabSelected="1" showRuler="0" view="pageBreakPreview" topLeftCell="N584" zoomScale="70" zoomScaleNormal="50" zoomScaleSheetLayoutView="70" zoomScalePageLayoutView="80" workbookViewId="0">
      <selection activeCell="A534" sqref="A534:AK590"/>
    </sheetView>
  </sheetViews>
  <sheetFormatPr defaultRowHeight="13.2" outlineLevelRow="1" outlineLevelCol="1" x14ac:dyDescent="0.25"/>
  <cols>
    <col min="1" max="1" width="7" style="209" customWidth="1"/>
    <col min="2" max="2" width="19.88671875" customWidth="1"/>
    <col min="3" max="3" width="8.109375" customWidth="1"/>
    <col min="4" max="4" width="14.88671875" style="261" customWidth="1"/>
    <col min="5" max="5" width="7" style="210" customWidth="1" outlineLevel="1"/>
    <col min="6" max="6" width="13.109375" style="264" customWidth="1" outlineLevel="1"/>
    <col min="7" max="7" width="13.88671875" style="261" customWidth="1" outlineLevel="1"/>
    <col min="8" max="8" width="10.44140625" style="261" customWidth="1" outlineLevel="1"/>
    <col min="9" max="9" width="8.109375" style="210" customWidth="1" outlineLevel="1"/>
    <col min="10" max="10" width="13.88671875" style="138" customWidth="1" outlineLevel="1"/>
    <col min="11" max="11" width="11.44140625" style="138" customWidth="1" outlineLevel="1"/>
    <col min="12" max="12" width="12.44140625" style="189" customWidth="1" outlineLevel="1"/>
    <col min="13" max="13" width="11.5546875" style="189" customWidth="1" outlineLevel="1"/>
    <col min="14" max="14" width="7.5546875" style="189" customWidth="1" outlineLevel="1"/>
    <col min="15" max="15" width="12.88671875" style="139" customWidth="1" outlineLevel="1"/>
    <col min="16" max="16" width="10.88671875" style="139" customWidth="1" outlineLevel="1"/>
    <col min="17" max="17" width="13.6640625" style="189" customWidth="1" outlineLevel="1"/>
    <col min="18" max="18" width="13.33203125" style="189" customWidth="1" outlineLevel="1"/>
    <col min="19" max="19" width="7.88671875" style="189" customWidth="1" outlineLevel="1"/>
    <col min="20" max="21" width="12.88671875" style="139" customWidth="1" outlineLevel="1"/>
    <col min="22" max="22" width="13" style="189" customWidth="1" outlineLevel="1"/>
    <col min="23" max="23" width="11.88671875" style="189" customWidth="1" outlineLevel="1"/>
    <col min="24" max="24" width="6.5546875" style="525" customWidth="1" outlineLevel="1"/>
    <col min="25" max="25" width="13.109375" style="140" customWidth="1" outlineLevel="1"/>
    <col min="26" max="26" width="11.109375" style="189" customWidth="1" outlineLevel="1"/>
    <col min="27" max="27" width="9.5546875" style="189" customWidth="1" outlineLevel="1"/>
    <col min="28" max="28" width="7.109375" style="211" customWidth="1" outlineLevel="1"/>
    <col min="29" max="29" width="13.109375" style="141" customWidth="1" outlineLevel="1"/>
    <col min="30" max="30" width="11.109375" style="191" customWidth="1" outlineLevel="1"/>
    <col min="31" max="31" width="11.109375" style="142" customWidth="1" outlineLevel="1"/>
    <col min="32" max="32" width="10.5546875" style="143" customWidth="1" outlineLevel="1"/>
    <col min="33" max="33" width="9.109375" style="525" customWidth="1"/>
    <col min="34" max="35" width="13.5546875" style="139" customWidth="1"/>
    <col min="36" max="36" width="14.88671875" style="189" customWidth="1"/>
    <col min="37" max="37" width="13.44140625" style="189" customWidth="1"/>
    <col min="38" max="38" width="12.109375" bestFit="1" customWidth="1"/>
    <col min="39" max="39" width="14.88671875" customWidth="1"/>
  </cols>
  <sheetData>
    <row r="1" spans="1:56" s="3" customFormat="1" ht="62.4" customHeight="1" x14ac:dyDescent="0.25">
      <c r="A1" s="187"/>
      <c r="D1" s="258"/>
      <c r="E1" s="135"/>
      <c r="F1" s="258"/>
      <c r="G1" s="258"/>
      <c r="H1" s="258"/>
      <c r="I1" s="135"/>
      <c r="J1" s="93"/>
      <c r="K1" s="93"/>
      <c r="L1" s="188"/>
      <c r="M1" s="188"/>
      <c r="N1" s="188"/>
      <c r="O1" s="136"/>
      <c r="P1" s="136"/>
      <c r="Q1" s="188"/>
      <c r="R1" s="188"/>
      <c r="S1" s="188"/>
      <c r="T1" s="136"/>
      <c r="U1" s="136"/>
      <c r="V1" s="189"/>
      <c r="W1" s="189"/>
      <c r="X1" s="503"/>
      <c r="Y1" s="136"/>
      <c r="Z1" s="188"/>
      <c r="AA1" s="188"/>
      <c r="AB1" s="190"/>
      <c r="AC1" s="137"/>
      <c r="AD1" s="191"/>
      <c r="AE1" s="190"/>
      <c r="AF1" s="700" t="s">
        <v>1485</v>
      </c>
      <c r="AG1" s="700"/>
      <c r="AH1" s="700"/>
      <c r="AI1" s="700"/>
      <c r="AJ1" s="700"/>
      <c r="AK1" s="700"/>
      <c r="AL1" s="14"/>
      <c r="AM1" s="14"/>
    </row>
    <row r="2" spans="1:56" s="3" customFormat="1" x14ac:dyDescent="0.25">
      <c r="A2" s="187"/>
      <c r="D2" s="258"/>
      <c r="E2" s="135"/>
      <c r="F2" s="258"/>
      <c r="G2" s="258"/>
      <c r="H2" s="258"/>
      <c r="I2" s="135"/>
      <c r="J2" s="93"/>
      <c r="K2" s="93"/>
      <c r="L2" s="188"/>
      <c r="M2" s="188"/>
      <c r="N2" s="188"/>
      <c r="O2" s="136"/>
      <c r="P2" s="136"/>
      <c r="Q2" s="188"/>
      <c r="R2" s="188"/>
      <c r="S2" s="188"/>
      <c r="T2" s="136"/>
      <c r="U2" s="136"/>
      <c r="V2" s="189"/>
      <c r="W2" s="189"/>
      <c r="X2" s="503"/>
      <c r="Y2" s="136"/>
      <c r="Z2" s="188"/>
      <c r="AA2" s="188"/>
      <c r="AB2" s="190"/>
      <c r="AC2" s="137"/>
      <c r="AD2" s="191"/>
      <c r="AE2" s="190"/>
      <c r="AF2" s="188"/>
      <c r="AG2" s="503"/>
      <c r="AH2" s="136"/>
      <c r="AI2" s="136"/>
      <c r="AJ2" s="188"/>
      <c r="AK2" s="188"/>
      <c r="AL2" s="14"/>
      <c r="AM2" s="14"/>
    </row>
    <row r="3" spans="1:56" s="3" customFormat="1" x14ac:dyDescent="0.25">
      <c r="A3" s="187"/>
      <c r="D3" s="258"/>
      <c r="E3" s="135"/>
      <c r="F3" s="258"/>
      <c r="G3" s="258"/>
      <c r="H3" s="258"/>
      <c r="I3" s="135"/>
      <c r="J3" s="93"/>
      <c r="K3" s="93"/>
      <c r="L3" s="188"/>
      <c r="M3" s="188"/>
      <c r="N3" s="188"/>
      <c r="O3" s="136"/>
      <c r="P3" s="136"/>
      <c r="Q3" s="188"/>
      <c r="R3" s="188"/>
      <c r="S3" s="188"/>
      <c r="T3" s="136"/>
      <c r="U3" s="136"/>
      <c r="V3" s="189"/>
      <c r="W3" s="189"/>
      <c r="X3" s="503"/>
      <c r="Y3" s="136"/>
      <c r="Z3" s="188"/>
      <c r="AA3" s="188"/>
      <c r="AB3" s="190"/>
      <c r="AC3" s="137"/>
      <c r="AD3" s="191"/>
      <c r="AE3" s="190"/>
      <c r="AF3" s="188"/>
      <c r="AG3" s="503"/>
      <c r="AH3" s="136"/>
      <c r="AI3" s="136"/>
      <c r="AJ3" s="188"/>
      <c r="AK3" s="188"/>
      <c r="AL3" s="14"/>
      <c r="AM3" s="14"/>
    </row>
    <row r="4" spans="1:56" ht="58.65" customHeight="1" x14ac:dyDescent="0.25">
      <c r="A4" s="192"/>
      <c r="B4" s="193"/>
      <c r="C4" s="193"/>
      <c r="D4" s="259"/>
      <c r="E4" s="193"/>
      <c r="F4" s="259"/>
      <c r="G4" s="259"/>
      <c r="H4" s="259"/>
      <c r="I4" s="193"/>
      <c r="J4" s="193"/>
      <c r="K4" s="193"/>
      <c r="L4" s="193"/>
      <c r="M4" s="193"/>
      <c r="N4" s="193"/>
      <c r="O4" s="193"/>
      <c r="P4" s="193"/>
      <c r="Q4" s="193"/>
      <c r="R4" s="193"/>
      <c r="S4" s="193"/>
      <c r="T4" s="193"/>
      <c r="U4" s="193"/>
      <c r="V4" s="193"/>
      <c r="W4" s="193"/>
      <c r="X4" s="504"/>
      <c r="Y4" s="193"/>
      <c r="Z4" s="193"/>
      <c r="AA4" s="194"/>
      <c r="AB4" s="194"/>
      <c r="AC4" s="194"/>
      <c r="AD4" s="194"/>
      <c r="AE4" s="193"/>
      <c r="AF4" s="701" t="s">
        <v>383</v>
      </c>
      <c r="AG4" s="702"/>
      <c r="AH4" s="702"/>
      <c r="AI4" s="702"/>
      <c r="AJ4" s="702"/>
      <c r="AK4" s="702"/>
      <c r="AL4" s="195"/>
      <c r="AM4" s="195"/>
    </row>
    <row r="5" spans="1:56" ht="21" customHeight="1" x14ac:dyDescent="0.25">
      <c r="A5" s="703"/>
      <c r="B5" s="704"/>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195"/>
      <c r="AM5" s="195"/>
    </row>
    <row r="6" spans="1:56" ht="23.4" customHeight="1" x14ac:dyDescent="0.25">
      <c r="A6" s="705"/>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195"/>
      <c r="AM6" s="195"/>
    </row>
    <row r="7" spans="1:56" ht="40.35" hidden="1" customHeight="1" x14ac:dyDescent="0.25">
      <c r="A7" s="707"/>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195"/>
      <c r="AM7" s="195"/>
    </row>
    <row r="8" spans="1:56" ht="20.100000000000001" customHeight="1" x14ac:dyDescent="0.25">
      <c r="A8" s="709" t="s">
        <v>384</v>
      </c>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195"/>
      <c r="AM8" s="195"/>
    </row>
    <row r="9" spans="1:56" ht="20.100000000000001" customHeight="1" x14ac:dyDescent="0.25">
      <c r="A9" s="196"/>
      <c r="B9" s="197"/>
      <c r="C9" s="197"/>
      <c r="D9" s="260"/>
      <c r="E9" s="197"/>
      <c r="F9" s="260"/>
      <c r="G9" s="260"/>
      <c r="H9" s="260"/>
      <c r="I9" s="197"/>
      <c r="J9" s="197"/>
      <c r="K9" s="197"/>
      <c r="L9" s="197"/>
      <c r="M9" s="197"/>
      <c r="N9" s="197"/>
      <c r="O9" s="197"/>
      <c r="P9" s="197"/>
      <c r="Q9" s="197"/>
      <c r="R9" s="197"/>
      <c r="S9" s="197"/>
      <c r="T9" s="197"/>
      <c r="U9" s="197"/>
      <c r="V9" s="197"/>
      <c r="W9" s="197"/>
      <c r="X9" s="505"/>
      <c r="Y9" s="197"/>
      <c r="Z9" s="197"/>
      <c r="AA9" s="197"/>
      <c r="AB9" s="198"/>
      <c r="AC9" s="198"/>
      <c r="AD9" s="198"/>
      <c r="AE9" s="198"/>
      <c r="AF9" s="197"/>
      <c r="AG9" s="505"/>
      <c r="AH9" s="197"/>
      <c r="AI9" s="197"/>
      <c r="AJ9" s="197"/>
      <c r="AK9" s="197"/>
      <c r="AL9" s="195"/>
      <c r="AM9" s="195"/>
    </row>
    <row r="10" spans="1:56" s="376" customFormat="1" ht="23.4" customHeight="1" x14ac:dyDescent="0.25">
      <c r="A10" s="711" t="s">
        <v>385</v>
      </c>
      <c r="B10" s="712" t="s">
        <v>386</v>
      </c>
      <c r="C10" s="713" t="s">
        <v>387</v>
      </c>
      <c r="D10" s="714" t="s">
        <v>388</v>
      </c>
      <c r="E10" s="690" t="s">
        <v>389</v>
      </c>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375"/>
      <c r="AM10" s="375"/>
    </row>
    <row r="11" spans="1:56" s="378" customFormat="1" ht="27.15" customHeight="1" x14ac:dyDescent="0.25">
      <c r="A11" s="711"/>
      <c r="B11" s="712"/>
      <c r="C11" s="713"/>
      <c r="D11" s="714"/>
      <c r="E11" s="692" t="s">
        <v>390</v>
      </c>
      <c r="F11" s="692"/>
      <c r="G11" s="692"/>
      <c r="H11" s="692"/>
      <c r="I11" s="699" t="s">
        <v>391</v>
      </c>
      <c r="J11" s="699"/>
      <c r="K11" s="699"/>
      <c r="L11" s="699"/>
      <c r="M11" s="699"/>
      <c r="N11" s="699" t="s">
        <v>392</v>
      </c>
      <c r="O11" s="699"/>
      <c r="P11" s="699"/>
      <c r="Q11" s="699"/>
      <c r="R11" s="699"/>
      <c r="S11" s="699" t="s">
        <v>393</v>
      </c>
      <c r="T11" s="699"/>
      <c r="U11" s="699"/>
      <c r="V11" s="699"/>
      <c r="W11" s="699"/>
      <c r="X11" s="699" t="s">
        <v>394</v>
      </c>
      <c r="Y11" s="699"/>
      <c r="Z11" s="699"/>
      <c r="AA11" s="699"/>
      <c r="AB11" s="699" t="s">
        <v>395</v>
      </c>
      <c r="AC11" s="699"/>
      <c r="AD11" s="699"/>
      <c r="AE11" s="699"/>
      <c r="AF11" s="699"/>
      <c r="AG11" s="699" t="s">
        <v>396</v>
      </c>
      <c r="AH11" s="699"/>
      <c r="AI11" s="699"/>
      <c r="AJ11" s="699"/>
      <c r="AK11" s="699"/>
      <c r="AL11" s="377"/>
      <c r="AM11" s="377"/>
    </row>
    <row r="12" spans="1:56" s="378" customFormat="1" ht="78.599999999999994" customHeight="1" x14ac:dyDescent="0.25">
      <c r="A12" s="711"/>
      <c r="B12" s="712"/>
      <c r="C12" s="713"/>
      <c r="D12" s="714"/>
      <c r="E12" s="379" t="s">
        <v>397</v>
      </c>
      <c r="F12" s="380" t="s">
        <v>398</v>
      </c>
      <c r="G12" s="381" t="s">
        <v>399</v>
      </c>
      <c r="H12" s="381" t="s">
        <v>400</v>
      </c>
      <c r="I12" s="379" t="s">
        <v>397</v>
      </c>
      <c r="J12" s="382" t="s">
        <v>398</v>
      </c>
      <c r="K12" s="429" t="s">
        <v>401</v>
      </c>
      <c r="L12" s="428" t="s">
        <v>399</v>
      </c>
      <c r="M12" s="428" t="s">
        <v>400</v>
      </c>
      <c r="N12" s="379" t="s">
        <v>397</v>
      </c>
      <c r="O12" s="382" t="s">
        <v>398</v>
      </c>
      <c r="P12" s="429" t="s">
        <v>402</v>
      </c>
      <c r="Q12" s="428" t="s">
        <v>399</v>
      </c>
      <c r="R12" s="428" t="s">
        <v>400</v>
      </c>
      <c r="S12" s="379" t="s">
        <v>397</v>
      </c>
      <c r="T12" s="382" t="s">
        <v>398</v>
      </c>
      <c r="U12" s="429" t="s">
        <v>403</v>
      </c>
      <c r="V12" s="428" t="s">
        <v>399</v>
      </c>
      <c r="W12" s="428" t="s">
        <v>400</v>
      </c>
      <c r="X12" s="506" t="s">
        <v>397</v>
      </c>
      <c r="Y12" s="383" t="s">
        <v>398</v>
      </c>
      <c r="Z12" s="428" t="s">
        <v>399</v>
      </c>
      <c r="AA12" s="428" t="s">
        <v>400</v>
      </c>
      <c r="AB12" s="379" t="s">
        <v>397</v>
      </c>
      <c r="AC12" s="384" t="s">
        <v>398</v>
      </c>
      <c r="AD12" s="379" t="s">
        <v>401</v>
      </c>
      <c r="AE12" s="385" t="s">
        <v>399</v>
      </c>
      <c r="AF12" s="428" t="s">
        <v>404</v>
      </c>
      <c r="AG12" s="506" t="s">
        <v>397</v>
      </c>
      <c r="AH12" s="382" t="s">
        <v>398</v>
      </c>
      <c r="AI12" s="429" t="s">
        <v>401</v>
      </c>
      <c r="AJ12" s="428" t="s">
        <v>399</v>
      </c>
      <c r="AK12" s="428" t="s">
        <v>400</v>
      </c>
      <c r="AL12" s="377"/>
      <c r="AM12" s="377"/>
    </row>
    <row r="13" spans="1:56" s="392" customFormat="1" ht="22.35" customHeight="1" x14ac:dyDescent="0.25">
      <c r="A13" s="427">
        <v>1</v>
      </c>
      <c r="B13" s="386">
        <v>2</v>
      </c>
      <c r="C13" s="427">
        <v>3</v>
      </c>
      <c r="D13" s="430">
        <v>4</v>
      </c>
      <c r="E13" s="427">
        <v>5</v>
      </c>
      <c r="F13" s="380">
        <v>6</v>
      </c>
      <c r="G13" s="430">
        <v>7</v>
      </c>
      <c r="H13" s="430">
        <v>8</v>
      </c>
      <c r="I13" s="427">
        <v>9</v>
      </c>
      <c r="J13" s="387">
        <v>10</v>
      </c>
      <c r="K13" s="427">
        <v>11</v>
      </c>
      <c r="L13" s="388">
        <v>12</v>
      </c>
      <c r="M13" s="388">
        <v>13</v>
      </c>
      <c r="N13" s="388">
        <v>14</v>
      </c>
      <c r="O13" s="389">
        <v>15</v>
      </c>
      <c r="P13" s="388">
        <v>16</v>
      </c>
      <c r="Q13" s="388">
        <v>17</v>
      </c>
      <c r="R13" s="388">
        <v>18</v>
      </c>
      <c r="S13" s="388">
        <v>19</v>
      </c>
      <c r="T13" s="389">
        <v>20</v>
      </c>
      <c r="U13" s="388">
        <v>21</v>
      </c>
      <c r="V13" s="388">
        <v>22</v>
      </c>
      <c r="W13" s="388">
        <v>23</v>
      </c>
      <c r="X13" s="507">
        <v>24</v>
      </c>
      <c r="Y13" s="390">
        <v>25</v>
      </c>
      <c r="Z13" s="388">
        <v>26</v>
      </c>
      <c r="AA13" s="388">
        <v>27</v>
      </c>
      <c r="AB13" s="388">
        <v>28</v>
      </c>
      <c r="AC13" s="389">
        <v>29</v>
      </c>
      <c r="AD13" s="388"/>
      <c r="AE13" s="388">
        <v>30</v>
      </c>
      <c r="AF13" s="388">
        <v>31</v>
      </c>
      <c r="AG13" s="507">
        <v>32</v>
      </c>
      <c r="AH13" s="389">
        <v>33</v>
      </c>
      <c r="AI13" s="388">
        <v>34</v>
      </c>
      <c r="AJ13" s="388">
        <v>35</v>
      </c>
      <c r="AK13" s="388">
        <v>36</v>
      </c>
      <c r="AL13" s="391"/>
      <c r="AM13" s="391"/>
    </row>
    <row r="14" spans="1:56" s="199" customFormat="1" ht="26.4" customHeight="1" x14ac:dyDescent="0.25">
      <c r="A14" s="695" t="s">
        <v>405</v>
      </c>
      <c r="B14" s="695"/>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195"/>
      <c r="AM14" s="195"/>
      <c r="AN14"/>
      <c r="AO14"/>
      <c r="AP14"/>
      <c r="AQ14"/>
      <c r="AR14"/>
      <c r="AS14"/>
      <c r="AT14"/>
      <c r="AU14"/>
      <c r="AV14"/>
      <c r="AW14"/>
      <c r="AX14"/>
      <c r="AY14"/>
      <c r="AZ14"/>
      <c r="BA14"/>
      <c r="BB14"/>
      <c r="BC14"/>
      <c r="BD14"/>
    </row>
    <row r="15" spans="1:56" s="265" customFormat="1" ht="181.2" customHeight="1" outlineLevel="1" x14ac:dyDescent="0.3">
      <c r="A15" s="431" t="s">
        <v>406</v>
      </c>
      <c r="B15" s="432" t="s">
        <v>1380</v>
      </c>
      <c r="C15" s="431">
        <f>E15+I15+N15+S15+X15+AB15+AG15</f>
        <v>2.2999999999999998</v>
      </c>
      <c r="D15" s="433">
        <f>F15+J15+O15+T15+Y15+AC15+AH15</f>
        <v>506074.93</v>
      </c>
      <c r="E15" s="431">
        <v>1.3</v>
      </c>
      <c r="F15" s="431">
        <f>G15+H15</f>
        <v>225844.68</v>
      </c>
      <c r="G15" s="431">
        <v>213423.22</v>
      </c>
      <c r="H15" s="431">
        <v>12421.46</v>
      </c>
      <c r="I15" s="431">
        <v>1</v>
      </c>
      <c r="J15" s="431">
        <f>K15+L15+M15</f>
        <v>280230.25</v>
      </c>
      <c r="K15" s="297">
        <v>154390.79</v>
      </c>
      <c r="L15" s="297">
        <v>103420.46</v>
      </c>
      <c r="M15" s="297">
        <v>22419</v>
      </c>
      <c r="N15" s="297">
        <v>0</v>
      </c>
      <c r="O15" s="297">
        <v>0</v>
      </c>
      <c r="P15" s="297">
        <v>0</v>
      </c>
      <c r="Q15" s="297">
        <v>0</v>
      </c>
      <c r="R15" s="297">
        <v>0</v>
      </c>
      <c r="S15" s="297">
        <v>0</v>
      </c>
      <c r="T15" s="297">
        <v>0</v>
      </c>
      <c r="U15" s="297">
        <v>0</v>
      </c>
      <c r="V15" s="298">
        <v>0</v>
      </c>
      <c r="W15" s="298">
        <v>0</v>
      </c>
      <c r="X15" s="508">
        <v>0</v>
      </c>
      <c r="Y15" s="298">
        <v>0</v>
      </c>
      <c r="Z15" s="297">
        <v>0</v>
      </c>
      <c r="AA15" s="297">
        <v>0</v>
      </c>
      <c r="AB15" s="297">
        <v>0</v>
      </c>
      <c r="AC15" s="297">
        <v>0</v>
      </c>
      <c r="AD15" s="298">
        <v>0</v>
      </c>
      <c r="AE15" s="297">
        <v>0</v>
      </c>
      <c r="AF15" s="297">
        <v>0</v>
      </c>
      <c r="AG15" s="508">
        <v>0</v>
      </c>
      <c r="AH15" s="297">
        <v>0</v>
      </c>
      <c r="AI15" s="297">
        <v>0</v>
      </c>
      <c r="AJ15" s="297">
        <v>0</v>
      </c>
      <c r="AK15" s="297">
        <v>0</v>
      </c>
      <c r="AL15" s="299"/>
      <c r="AM15" s="206"/>
      <c r="AN15" s="206"/>
      <c r="AO15" s="206"/>
      <c r="AP15" s="206"/>
      <c r="AQ15" s="206"/>
      <c r="AR15" s="206"/>
      <c r="AS15" s="206"/>
      <c r="AT15" s="206"/>
      <c r="AU15" s="206"/>
      <c r="AV15" s="206"/>
      <c r="AW15" s="206"/>
      <c r="AX15" s="206"/>
      <c r="AY15" s="206"/>
      <c r="AZ15" s="206"/>
      <c r="BA15" s="206"/>
      <c r="BB15" s="206"/>
      <c r="BC15" s="206"/>
      <c r="BD15" s="206"/>
    </row>
    <row r="16" spans="1:56" s="265" customFormat="1" ht="52.2" customHeight="1" outlineLevel="1" x14ac:dyDescent="0.3">
      <c r="A16" s="433" t="s">
        <v>407</v>
      </c>
      <c r="B16" s="300" t="s">
        <v>408</v>
      </c>
      <c r="C16" s="433">
        <v>0</v>
      </c>
      <c r="D16" s="433">
        <f t="shared" ref="D16:D79" si="0">F16+J16+O16+T16+Y16+AC16+AH16</f>
        <v>18823</v>
      </c>
      <c r="E16" s="433">
        <v>0</v>
      </c>
      <c r="F16" s="433">
        <v>0</v>
      </c>
      <c r="G16" s="433">
        <v>0</v>
      </c>
      <c r="H16" s="433">
        <v>0</v>
      </c>
      <c r="I16" s="433">
        <v>0</v>
      </c>
      <c r="J16" s="433">
        <v>0</v>
      </c>
      <c r="K16" s="298">
        <v>0</v>
      </c>
      <c r="L16" s="298">
        <v>0</v>
      </c>
      <c r="M16" s="298">
        <v>0</v>
      </c>
      <c r="N16" s="298">
        <v>0</v>
      </c>
      <c r="O16" s="298">
        <f>Q16</f>
        <v>18823</v>
      </c>
      <c r="P16" s="298">
        <v>0</v>
      </c>
      <c r="Q16" s="298">
        <v>18823</v>
      </c>
      <c r="R16" s="298">
        <v>0</v>
      </c>
      <c r="S16" s="298">
        <v>0</v>
      </c>
      <c r="T16" s="298">
        <v>0</v>
      </c>
      <c r="U16" s="298">
        <v>0</v>
      </c>
      <c r="V16" s="298">
        <v>0</v>
      </c>
      <c r="W16" s="298">
        <v>0</v>
      </c>
      <c r="X16" s="509">
        <v>0</v>
      </c>
      <c r="Y16" s="298">
        <v>0</v>
      </c>
      <c r="Z16" s="298">
        <v>0</v>
      </c>
      <c r="AA16" s="298">
        <v>0</v>
      </c>
      <c r="AB16" s="298">
        <v>0</v>
      </c>
      <c r="AC16" s="298">
        <v>0</v>
      </c>
      <c r="AD16" s="298">
        <v>0</v>
      </c>
      <c r="AE16" s="298">
        <v>0</v>
      </c>
      <c r="AF16" s="298">
        <v>0</v>
      </c>
      <c r="AG16" s="509">
        <v>0</v>
      </c>
      <c r="AH16" s="298">
        <v>0</v>
      </c>
      <c r="AI16" s="298">
        <v>0</v>
      </c>
      <c r="AJ16" s="298">
        <v>0</v>
      </c>
      <c r="AK16" s="298">
        <v>0</v>
      </c>
      <c r="AL16" s="299"/>
      <c r="AM16" s="206"/>
      <c r="AN16" s="206"/>
      <c r="AO16" s="206"/>
      <c r="AP16" s="206"/>
      <c r="AQ16" s="206"/>
      <c r="AR16" s="206"/>
      <c r="AS16" s="206"/>
      <c r="AT16" s="206"/>
      <c r="AU16" s="206"/>
      <c r="AV16" s="206"/>
      <c r="AW16" s="206"/>
      <c r="AX16" s="206"/>
      <c r="AY16" s="206"/>
      <c r="AZ16" s="206"/>
      <c r="BA16" s="206"/>
      <c r="BB16" s="206"/>
      <c r="BC16" s="206"/>
      <c r="BD16" s="206"/>
    </row>
    <row r="17" spans="1:65" s="266" customFormat="1" ht="238.2" customHeight="1" outlineLevel="1" x14ac:dyDescent="0.25">
      <c r="A17" s="301" t="s">
        <v>409</v>
      </c>
      <c r="B17" s="302" t="s">
        <v>1381</v>
      </c>
      <c r="C17" s="303">
        <v>0</v>
      </c>
      <c r="D17" s="303">
        <f t="shared" si="0"/>
        <v>9079.8640000000014</v>
      </c>
      <c r="E17" s="303">
        <v>0</v>
      </c>
      <c r="F17" s="304">
        <v>4112.68</v>
      </c>
      <c r="G17" s="303">
        <v>0</v>
      </c>
      <c r="H17" s="303">
        <v>4112.68</v>
      </c>
      <c r="I17" s="303">
        <v>0</v>
      </c>
      <c r="J17" s="304">
        <v>4967.1840000000002</v>
      </c>
      <c r="K17" s="301">
        <v>0</v>
      </c>
      <c r="L17" s="301">
        <v>0</v>
      </c>
      <c r="M17" s="301">
        <v>4967.1840000000002</v>
      </c>
      <c r="N17" s="301">
        <v>0</v>
      </c>
      <c r="O17" s="304">
        <v>0</v>
      </c>
      <c r="P17" s="301">
        <v>0</v>
      </c>
      <c r="Q17" s="301">
        <v>0</v>
      </c>
      <c r="R17" s="301">
        <v>0</v>
      </c>
      <c r="S17" s="301">
        <v>0</v>
      </c>
      <c r="T17" s="304">
        <v>0</v>
      </c>
      <c r="U17" s="301">
        <v>0</v>
      </c>
      <c r="V17" s="301">
        <v>0</v>
      </c>
      <c r="W17" s="301">
        <v>0</v>
      </c>
      <c r="X17" s="510">
        <v>0</v>
      </c>
      <c r="Y17" s="305">
        <v>0</v>
      </c>
      <c r="Z17" s="301">
        <v>0</v>
      </c>
      <c r="AA17" s="301">
        <v>0</v>
      </c>
      <c r="AB17" s="301">
        <v>0</v>
      </c>
      <c r="AC17" s="304">
        <v>0</v>
      </c>
      <c r="AD17" s="301">
        <v>0</v>
      </c>
      <c r="AE17" s="301">
        <v>0</v>
      </c>
      <c r="AF17" s="301">
        <v>0</v>
      </c>
      <c r="AG17" s="510">
        <v>0</v>
      </c>
      <c r="AH17" s="304">
        <v>0</v>
      </c>
      <c r="AI17" s="301">
        <v>0</v>
      </c>
      <c r="AJ17" s="301">
        <v>0</v>
      </c>
      <c r="AK17" s="301">
        <v>0</v>
      </c>
      <c r="AL17" s="306"/>
    </row>
    <row r="18" spans="1:65" s="265" customFormat="1" ht="209.4" customHeight="1" outlineLevel="1" x14ac:dyDescent="0.3">
      <c r="A18" s="431" t="s">
        <v>410</v>
      </c>
      <c r="B18" s="432" t="s">
        <v>411</v>
      </c>
      <c r="C18" s="431">
        <f>E18+I18+N18+S18+X18+AB18+AG18</f>
        <v>0</v>
      </c>
      <c r="D18" s="431">
        <f t="shared" si="0"/>
        <v>3500</v>
      </c>
      <c r="E18" s="431">
        <v>0</v>
      </c>
      <c r="F18" s="431">
        <f>F19+F20</f>
        <v>0</v>
      </c>
      <c r="G18" s="431">
        <f t="shared" ref="G18:AB18" si="1">G19+G20</f>
        <v>0</v>
      </c>
      <c r="H18" s="431">
        <f t="shared" si="1"/>
        <v>0</v>
      </c>
      <c r="I18" s="431">
        <f t="shared" si="1"/>
        <v>0</v>
      </c>
      <c r="J18" s="431">
        <f t="shared" si="1"/>
        <v>0</v>
      </c>
      <c r="K18" s="431">
        <v>0</v>
      </c>
      <c r="L18" s="431">
        <f t="shared" si="1"/>
        <v>0</v>
      </c>
      <c r="M18" s="431">
        <f t="shared" si="1"/>
        <v>0</v>
      </c>
      <c r="N18" s="431">
        <f t="shared" si="1"/>
        <v>0</v>
      </c>
      <c r="O18" s="431">
        <f t="shared" si="1"/>
        <v>0</v>
      </c>
      <c r="P18" s="431">
        <v>0</v>
      </c>
      <c r="Q18" s="431">
        <f t="shared" si="1"/>
        <v>0</v>
      </c>
      <c r="R18" s="431">
        <f t="shared" si="1"/>
        <v>0</v>
      </c>
      <c r="S18" s="431">
        <f t="shared" si="1"/>
        <v>0</v>
      </c>
      <c r="T18" s="431">
        <f t="shared" si="1"/>
        <v>0</v>
      </c>
      <c r="U18" s="431">
        <v>0</v>
      </c>
      <c r="V18" s="433">
        <f t="shared" si="1"/>
        <v>0</v>
      </c>
      <c r="W18" s="433">
        <f t="shared" si="1"/>
        <v>0</v>
      </c>
      <c r="X18" s="481">
        <f t="shared" si="1"/>
        <v>0</v>
      </c>
      <c r="Y18" s="433">
        <f>Y19+Y20+Y21</f>
        <v>0</v>
      </c>
      <c r="Z18" s="431">
        <f t="shared" si="1"/>
        <v>0</v>
      </c>
      <c r="AA18" s="431">
        <f>AA19+AA20+AA21</f>
        <v>0</v>
      </c>
      <c r="AB18" s="431">
        <f t="shared" si="1"/>
        <v>0</v>
      </c>
      <c r="AC18" s="431">
        <f t="shared" ref="AC18:AK18" si="2">AC19+AC20+AC21</f>
        <v>3500</v>
      </c>
      <c r="AD18" s="431">
        <f t="shared" si="2"/>
        <v>0</v>
      </c>
      <c r="AE18" s="431">
        <f t="shared" si="2"/>
        <v>0</v>
      </c>
      <c r="AF18" s="431">
        <f t="shared" si="2"/>
        <v>3500</v>
      </c>
      <c r="AG18" s="481">
        <f t="shared" si="2"/>
        <v>0</v>
      </c>
      <c r="AH18" s="431">
        <f t="shared" si="2"/>
        <v>0</v>
      </c>
      <c r="AI18" s="431">
        <v>0</v>
      </c>
      <c r="AJ18" s="431">
        <f t="shared" si="2"/>
        <v>0</v>
      </c>
      <c r="AK18" s="431">
        <f t="shared" si="2"/>
        <v>0</v>
      </c>
      <c r="AL18" s="299"/>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row>
    <row r="19" spans="1:65" s="206" customFormat="1" ht="189.6" customHeight="1" outlineLevel="1" x14ac:dyDescent="0.3">
      <c r="A19" s="303" t="s">
        <v>412</v>
      </c>
      <c r="B19" s="302" t="s">
        <v>413</v>
      </c>
      <c r="C19" s="303">
        <v>0</v>
      </c>
      <c r="D19" s="303">
        <f t="shared" si="0"/>
        <v>0</v>
      </c>
      <c r="E19" s="303">
        <v>0</v>
      </c>
      <c r="F19" s="307">
        <f>F20+F22+F23+F24+F25+F26</f>
        <v>0</v>
      </c>
      <c r="G19" s="303">
        <v>0</v>
      </c>
      <c r="H19" s="303">
        <v>0</v>
      </c>
      <c r="I19" s="301">
        <v>0</v>
      </c>
      <c r="J19" s="307">
        <f>L19+M19</f>
        <v>0</v>
      </c>
      <c r="K19" s="303">
        <v>0</v>
      </c>
      <c r="L19" s="301">
        <v>0</v>
      </c>
      <c r="M19" s="301">
        <v>0</v>
      </c>
      <c r="N19" s="301">
        <v>0</v>
      </c>
      <c r="O19" s="304">
        <v>0</v>
      </c>
      <c r="P19" s="301">
        <v>0</v>
      </c>
      <c r="Q19" s="301">
        <v>0</v>
      </c>
      <c r="R19" s="301">
        <v>0</v>
      </c>
      <c r="S19" s="301">
        <v>0</v>
      </c>
      <c r="T19" s="304">
        <f>W19</f>
        <v>0</v>
      </c>
      <c r="U19" s="301">
        <v>0</v>
      </c>
      <c r="V19" s="301">
        <v>0</v>
      </c>
      <c r="W19" s="301">
        <v>0</v>
      </c>
      <c r="X19" s="510">
        <v>0</v>
      </c>
      <c r="Y19" s="305">
        <v>0</v>
      </c>
      <c r="Z19" s="301">
        <v>0</v>
      </c>
      <c r="AA19" s="301">
        <v>0</v>
      </c>
      <c r="AB19" s="301">
        <v>0</v>
      </c>
      <c r="AC19" s="304">
        <v>0</v>
      </c>
      <c r="AD19" s="301">
        <v>0</v>
      </c>
      <c r="AE19" s="301">
        <v>0</v>
      </c>
      <c r="AF19" s="301">
        <v>0</v>
      </c>
      <c r="AG19" s="510">
        <v>0</v>
      </c>
      <c r="AH19" s="304">
        <f>AJ19+AK19</f>
        <v>0</v>
      </c>
      <c r="AI19" s="301">
        <v>0</v>
      </c>
      <c r="AJ19" s="301">
        <v>0</v>
      </c>
      <c r="AK19" s="301">
        <v>0</v>
      </c>
      <c r="AL19" s="299"/>
    </row>
    <row r="20" spans="1:65" s="206" customFormat="1" ht="252.6" customHeight="1" outlineLevel="1" x14ac:dyDescent="0.3">
      <c r="A20" s="303" t="s">
        <v>414</v>
      </c>
      <c r="B20" s="302" t="s">
        <v>415</v>
      </c>
      <c r="C20" s="303">
        <v>0</v>
      </c>
      <c r="D20" s="303">
        <f t="shared" si="0"/>
        <v>0</v>
      </c>
      <c r="E20" s="303">
        <v>0</v>
      </c>
      <c r="F20" s="307">
        <v>0</v>
      </c>
      <c r="G20" s="303">
        <v>0</v>
      </c>
      <c r="H20" s="303">
        <v>0</v>
      </c>
      <c r="I20" s="301">
        <v>0</v>
      </c>
      <c r="J20" s="307">
        <v>0</v>
      </c>
      <c r="K20" s="303">
        <v>0</v>
      </c>
      <c r="L20" s="301">
        <v>0</v>
      </c>
      <c r="M20" s="301">
        <v>0</v>
      </c>
      <c r="N20" s="301">
        <v>0</v>
      </c>
      <c r="O20" s="304">
        <v>0</v>
      </c>
      <c r="P20" s="301">
        <v>0</v>
      </c>
      <c r="Q20" s="301">
        <v>0</v>
      </c>
      <c r="R20" s="301">
        <v>0</v>
      </c>
      <c r="S20" s="301">
        <v>0</v>
      </c>
      <c r="T20" s="304">
        <v>0</v>
      </c>
      <c r="U20" s="301">
        <v>0</v>
      </c>
      <c r="V20" s="301">
        <v>0</v>
      </c>
      <c r="W20" s="301">
        <v>0</v>
      </c>
      <c r="X20" s="510">
        <v>0</v>
      </c>
      <c r="Y20" s="305">
        <v>0</v>
      </c>
      <c r="Z20" s="301">
        <v>0</v>
      </c>
      <c r="AA20" s="301">
        <v>0</v>
      </c>
      <c r="AB20" s="301">
        <v>0</v>
      </c>
      <c r="AC20" s="304">
        <v>0</v>
      </c>
      <c r="AD20" s="301">
        <v>0</v>
      </c>
      <c r="AE20" s="301">
        <v>0</v>
      </c>
      <c r="AF20" s="301">
        <v>0</v>
      </c>
      <c r="AG20" s="510">
        <v>0</v>
      </c>
      <c r="AH20" s="304">
        <v>0</v>
      </c>
      <c r="AI20" s="301">
        <v>0</v>
      </c>
      <c r="AJ20" s="301">
        <v>0</v>
      </c>
      <c r="AK20" s="301">
        <v>0</v>
      </c>
      <c r="AL20" s="299"/>
    </row>
    <row r="21" spans="1:65" s="206" customFormat="1" ht="160.19999999999999" customHeight="1" outlineLevel="1" x14ac:dyDescent="0.3">
      <c r="A21" s="303" t="s">
        <v>416</v>
      </c>
      <c r="B21" s="302" t="s">
        <v>417</v>
      </c>
      <c r="C21" s="303">
        <v>0</v>
      </c>
      <c r="D21" s="303">
        <f t="shared" si="0"/>
        <v>3500</v>
      </c>
      <c r="E21" s="303">
        <v>0</v>
      </c>
      <c r="F21" s="307">
        <v>0</v>
      </c>
      <c r="G21" s="303">
        <v>0</v>
      </c>
      <c r="H21" s="303">
        <v>0</v>
      </c>
      <c r="I21" s="301">
        <v>0</v>
      </c>
      <c r="J21" s="307">
        <v>0</v>
      </c>
      <c r="K21" s="303">
        <v>0</v>
      </c>
      <c r="L21" s="301">
        <v>0</v>
      </c>
      <c r="M21" s="301">
        <v>0</v>
      </c>
      <c r="N21" s="301">
        <v>0</v>
      </c>
      <c r="O21" s="304">
        <v>0</v>
      </c>
      <c r="P21" s="301">
        <v>0</v>
      </c>
      <c r="Q21" s="301">
        <v>0</v>
      </c>
      <c r="R21" s="301">
        <v>0</v>
      </c>
      <c r="S21" s="301">
        <v>0</v>
      </c>
      <c r="T21" s="304">
        <v>0</v>
      </c>
      <c r="U21" s="301">
        <v>0</v>
      </c>
      <c r="V21" s="301">
        <v>0</v>
      </c>
      <c r="W21" s="301">
        <v>0</v>
      </c>
      <c r="X21" s="510">
        <v>0</v>
      </c>
      <c r="Y21" s="305">
        <v>0</v>
      </c>
      <c r="Z21" s="301">
        <v>0</v>
      </c>
      <c r="AA21" s="301">
        <v>0</v>
      </c>
      <c r="AB21" s="301">
        <v>0</v>
      </c>
      <c r="AC21" s="304">
        <f>AF21</f>
        <v>3500</v>
      </c>
      <c r="AD21" s="301">
        <v>0</v>
      </c>
      <c r="AE21" s="301">
        <v>0</v>
      </c>
      <c r="AF21" s="301">
        <v>3500</v>
      </c>
      <c r="AG21" s="510">
        <v>0</v>
      </c>
      <c r="AH21" s="304">
        <v>0</v>
      </c>
      <c r="AI21" s="301">
        <v>0</v>
      </c>
      <c r="AJ21" s="301">
        <v>0</v>
      </c>
      <c r="AK21" s="301">
        <v>0</v>
      </c>
      <c r="AL21" s="299"/>
    </row>
    <row r="22" spans="1:65" s="265" customFormat="1" ht="186" customHeight="1" outlineLevel="1" x14ac:dyDescent="0.3">
      <c r="A22" s="431" t="s">
        <v>418</v>
      </c>
      <c r="B22" s="432" t="s">
        <v>419</v>
      </c>
      <c r="C22" s="431">
        <f>E22+I22+N22+S22+X22+AG22</f>
        <v>0</v>
      </c>
      <c r="D22" s="431">
        <f t="shared" si="0"/>
        <v>0</v>
      </c>
      <c r="E22" s="431">
        <v>0</v>
      </c>
      <c r="F22" s="431">
        <f>F23+F24+F25+F26+F27+F28</f>
        <v>0</v>
      </c>
      <c r="G22" s="431">
        <f t="shared" ref="G22:AA22" si="3">G23+G24+G25+G26+G27+G28</f>
        <v>0</v>
      </c>
      <c r="H22" s="431">
        <f t="shared" si="3"/>
        <v>0</v>
      </c>
      <c r="I22" s="431">
        <f t="shared" si="3"/>
        <v>0</v>
      </c>
      <c r="J22" s="431">
        <f t="shared" si="3"/>
        <v>0</v>
      </c>
      <c r="K22" s="431">
        <v>0</v>
      </c>
      <c r="L22" s="431">
        <f t="shared" si="3"/>
        <v>0</v>
      </c>
      <c r="M22" s="431">
        <f t="shared" si="3"/>
        <v>0</v>
      </c>
      <c r="N22" s="431">
        <f t="shared" si="3"/>
        <v>0</v>
      </c>
      <c r="O22" s="431">
        <f t="shared" si="3"/>
        <v>0</v>
      </c>
      <c r="P22" s="431">
        <v>0</v>
      </c>
      <c r="Q22" s="431">
        <f t="shared" si="3"/>
        <v>0</v>
      </c>
      <c r="R22" s="431">
        <f t="shared" si="3"/>
        <v>0</v>
      </c>
      <c r="S22" s="431">
        <f t="shared" si="3"/>
        <v>0</v>
      </c>
      <c r="T22" s="431">
        <f t="shared" si="3"/>
        <v>0</v>
      </c>
      <c r="U22" s="431">
        <v>0</v>
      </c>
      <c r="V22" s="433">
        <f t="shared" si="3"/>
        <v>0</v>
      </c>
      <c r="W22" s="433">
        <f t="shared" si="3"/>
        <v>0</v>
      </c>
      <c r="X22" s="481">
        <f t="shared" si="3"/>
        <v>0</v>
      </c>
      <c r="Y22" s="433">
        <f t="shared" si="3"/>
        <v>0</v>
      </c>
      <c r="Z22" s="431">
        <f t="shared" si="3"/>
        <v>0</v>
      </c>
      <c r="AA22" s="431">
        <f t="shared" si="3"/>
        <v>0</v>
      </c>
      <c r="AB22" s="308">
        <v>0</v>
      </c>
      <c r="AC22" s="308">
        <v>0</v>
      </c>
      <c r="AD22" s="309">
        <v>0</v>
      </c>
      <c r="AE22" s="308">
        <v>0</v>
      </c>
      <c r="AF22" s="308">
        <v>0</v>
      </c>
      <c r="AG22" s="527">
        <f>AG24+AG25+AG26+AG27+AG28</f>
        <v>0</v>
      </c>
      <c r="AH22" s="431">
        <f>AH23+AH24+AH25+AH26+AH27+AH28</f>
        <v>0</v>
      </c>
      <c r="AI22" s="431">
        <v>0</v>
      </c>
      <c r="AJ22" s="431">
        <f t="shared" ref="AJ22:AK22" si="4">AJ23+AJ24+AJ25+AJ26+AJ27+AJ28</f>
        <v>0</v>
      </c>
      <c r="AK22" s="431">
        <f t="shared" si="4"/>
        <v>0</v>
      </c>
      <c r="AL22" s="299"/>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row>
    <row r="23" spans="1:65" s="266" customFormat="1" ht="162" customHeight="1" outlineLevel="1" x14ac:dyDescent="0.25">
      <c r="A23" s="303" t="s">
        <v>420</v>
      </c>
      <c r="B23" s="302" t="s">
        <v>421</v>
      </c>
      <c r="C23" s="303">
        <v>0</v>
      </c>
      <c r="D23" s="310">
        <f t="shared" si="0"/>
        <v>0</v>
      </c>
      <c r="E23" s="303">
        <v>0</v>
      </c>
      <c r="F23" s="307">
        <v>0</v>
      </c>
      <c r="G23" s="303">
        <v>0</v>
      </c>
      <c r="H23" s="303">
        <v>0</v>
      </c>
      <c r="I23" s="303">
        <v>0</v>
      </c>
      <c r="J23" s="307">
        <v>0</v>
      </c>
      <c r="K23" s="303">
        <v>0</v>
      </c>
      <c r="L23" s="301">
        <v>0</v>
      </c>
      <c r="M23" s="301">
        <v>0</v>
      </c>
      <c r="N23" s="301">
        <v>0</v>
      </c>
      <c r="O23" s="304">
        <v>0</v>
      </c>
      <c r="P23" s="301">
        <v>0</v>
      </c>
      <c r="Q23" s="301">
        <v>0</v>
      </c>
      <c r="R23" s="301">
        <v>0</v>
      </c>
      <c r="S23" s="301">
        <v>0</v>
      </c>
      <c r="T23" s="304">
        <v>0</v>
      </c>
      <c r="U23" s="301">
        <v>0</v>
      </c>
      <c r="V23" s="301">
        <v>0</v>
      </c>
      <c r="W23" s="301">
        <v>0</v>
      </c>
      <c r="X23" s="510">
        <v>0</v>
      </c>
      <c r="Y23" s="305">
        <v>0</v>
      </c>
      <c r="Z23" s="301">
        <v>0</v>
      </c>
      <c r="AA23" s="301">
        <v>0</v>
      </c>
      <c r="AB23" s="301">
        <v>0</v>
      </c>
      <c r="AC23" s="304">
        <v>0</v>
      </c>
      <c r="AD23" s="301">
        <v>0</v>
      </c>
      <c r="AE23" s="301">
        <v>0</v>
      </c>
      <c r="AF23" s="301">
        <v>0</v>
      </c>
      <c r="AG23" s="510">
        <v>0</v>
      </c>
      <c r="AH23" s="304">
        <v>0</v>
      </c>
      <c r="AI23" s="301">
        <v>0</v>
      </c>
      <c r="AJ23" s="301">
        <v>0</v>
      </c>
      <c r="AK23" s="301">
        <v>0</v>
      </c>
      <c r="AL23" s="306"/>
    </row>
    <row r="24" spans="1:65" s="266" customFormat="1" ht="228.6" customHeight="1" outlineLevel="1" x14ac:dyDescent="0.25">
      <c r="A24" s="303" t="s">
        <v>422</v>
      </c>
      <c r="B24" s="302" t="s">
        <v>423</v>
      </c>
      <c r="C24" s="303">
        <v>0</v>
      </c>
      <c r="D24" s="310">
        <f t="shared" si="0"/>
        <v>0</v>
      </c>
      <c r="E24" s="303">
        <v>0</v>
      </c>
      <c r="F24" s="307">
        <v>0</v>
      </c>
      <c r="G24" s="303">
        <v>0</v>
      </c>
      <c r="H24" s="303">
        <v>0</v>
      </c>
      <c r="I24" s="303">
        <v>0</v>
      </c>
      <c r="J24" s="307">
        <v>0</v>
      </c>
      <c r="K24" s="303">
        <v>0</v>
      </c>
      <c r="L24" s="301">
        <v>0</v>
      </c>
      <c r="M24" s="301">
        <v>0</v>
      </c>
      <c r="N24" s="301">
        <v>0</v>
      </c>
      <c r="O24" s="304">
        <v>0</v>
      </c>
      <c r="P24" s="301">
        <v>0</v>
      </c>
      <c r="Q24" s="301">
        <v>0</v>
      </c>
      <c r="R24" s="301">
        <v>0</v>
      </c>
      <c r="S24" s="301">
        <v>0</v>
      </c>
      <c r="T24" s="304">
        <v>0</v>
      </c>
      <c r="U24" s="301">
        <v>0</v>
      </c>
      <c r="V24" s="301">
        <v>0</v>
      </c>
      <c r="W24" s="301">
        <v>0</v>
      </c>
      <c r="X24" s="510">
        <v>0</v>
      </c>
      <c r="Y24" s="305">
        <v>0</v>
      </c>
      <c r="Z24" s="301">
        <v>0</v>
      </c>
      <c r="AA24" s="301">
        <v>0</v>
      </c>
      <c r="AB24" s="301">
        <v>0</v>
      </c>
      <c r="AC24" s="304">
        <v>0</v>
      </c>
      <c r="AD24" s="301">
        <v>0</v>
      </c>
      <c r="AE24" s="301">
        <v>0</v>
      </c>
      <c r="AF24" s="301">
        <v>0</v>
      </c>
      <c r="AG24" s="510">
        <v>0</v>
      </c>
      <c r="AH24" s="304">
        <v>0</v>
      </c>
      <c r="AI24" s="301">
        <v>0</v>
      </c>
      <c r="AJ24" s="301">
        <v>0</v>
      </c>
      <c r="AK24" s="301">
        <v>0</v>
      </c>
      <c r="AL24" s="306"/>
    </row>
    <row r="25" spans="1:65" s="266" customFormat="1" ht="95.4" customHeight="1" outlineLevel="1" x14ac:dyDescent="0.25">
      <c r="A25" s="303" t="s">
        <v>424</v>
      </c>
      <c r="B25" s="302" t="s">
        <v>1382</v>
      </c>
      <c r="C25" s="303">
        <v>0</v>
      </c>
      <c r="D25" s="310">
        <f t="shared" si="0"/>
        <v>0</v>
      </c>
      <c r="E25" s="303">
        <v>0</v>
      </c>
      <c r="F25" s="307">
        <v>0</v>
      </c>
      <c r="G25" s="303">
        <v>0</v>
      </c>
      <c r="H25" s="303">
        <v>0</v>
      </c>
      <c r="I25" s="303">
        <v>0</v>
      </c>
      <c r="J25" s="307">
        <v>0</v>
      </c>
      <c r="K25" s="303">
        <v>0</v>
      </c>
      <c r="L25" s="301">
        <v>0</v>
      </c>
      <c r="M25" s="301">
        <v>0</v>
      </c>
      <c r="N25" s="301">
        <v>0</v>
      </c>
      <c r="O25" s="304">
        <v>0</v>
      </c>
      <c r="P25" s="301">
        <v>0</v>
      </c>
      <c r="Q25" s="301">
        <v>0</v>
      </c>
      <c r="R25" s="301">
        <v>0</v>
      </c>
      <c r="S25" s="301">
        <v>0</v>
      </c>
      <c r="T25" s="304">
        <v>0</v>
      </c>
      <c r="U25" s="301">
        <v>0</v>
      </c>
      <c r="V25" s="301">
        <v>0</v>
      </c>
      <c r="W25" s="301">
        <v>0</v>
      </c>
      <c r="X25" s="510">
        <v>0</v>
      </c>
      <c r="Y25" s="305">
        <f>AA25</f>
        <v>0</v>
      </c>
      <c r="Z25" s="301">
        <v>0</v>
      </c>
      <c r="AA25" s="301">
        <v>0</v>
      </c>
      <c r="AB25" s="301">
        <v>0</v>
      </c>
      <c r="AC25" s="304">
        <v>0</v>
      </c>
      <c r="AD25" s="301">
        <v>0</v>
      </c>
      <c r="AE25" s="311">
        <v>0</v>
      </c>
      <c r="AF25" s="311">
        <v>0</v>
      </c>
      <c r="AG25" s="510">
        <v>0</v>
      </c>
      <c r="AH25" s="304">
        <v>0</v>
      </c>
      <c r="AI25" s="301">
        <v>0</v>
      </c>
      <c r="AJ25" s="301">
        <v>0</v>
      </c>
      <c r="AK25" s="301">
        <v>0</v>
      </c>
      <c r="AL25" s="306"/>
    </row>
    <row r="26" spans="1:65" s="266" customFormat="1" ht="43.95" customHeight="1" outlineLevel="1" x14ac:dyDescent="0.25">
      <c r="A26" s="303"/>
      <c r="B26" s="302" t="s">
        <v>425</v>
      </c>
      <c r="C26" s="303">
        <v>0</v>
      </c>
      <c r="D26" s="310">
        <f t="shared" si="0"/>
        <v>0</v>
      </c>
      <c r="E26" s="303">
        <v>0</v>
      </c>
      <c r="F26" s="307">
        <v>0</v>
      </c>
      <c r="G26" s="303">
        <v>0</v>
      </c>
      <c r="H26" s="303">
        <v>0</v>
      </c>
      <c r="I26" s="303">
        <v>0</v>
      </c>
      <c r="J26" s="307">
        <v>0</v>
      </c>
      <c r="K26" s="303">
        <v>0</v>
      </c>
      <c r="L26" s="301">
        <v>0</v>
      </c>
      <c r="M26" s="301">
        <v>0</v>
      </c>
      <c r="N26" s="301">
        <v>0</v>
      </c>
      <c r="O26" s="304">
        <v>0</v>
      </c>
      <c r="P26" s="301">
        <v>0</v>
      </c>
      <c r="Q26" s="301">
        <v>0</v>
      </c>
      <c r="R26" s="301">
        <v>0</v>
      </c>
      <c r="S26" s="301">
        <v>0</v>
      </c>
      <c r="T26" s="304">
        <v>0</v>
      </c>
      <c r="U26" s="301">
        <v>0</v>
      </c>
      <c r="V26" s="301">
        <v>0</v>
      </c>
      <c r="W26" s="301">
        <v>0</v>
      </c>
      <c r="X26" s="510">
        <v>0</v>
      </c>
      <c r="Y26" s="305">
        <v>0</v>
      </c>
      <c r="Z26" s="301">
        <v>0</v>
      </c>
      <c r="AA26" s="301">
        <v>0</v>
      </c>
      <c r="AB26" s="301">
        <v>0</v>
      </c>
      <c r="AC26" s="304">
        <v>0</v>
      </c>
      <c r="AD26" s="301">
        <v>0</v>
      </c>
      <c r="AE26" s="301">
        <v>0</v>
      </c>
      <c r="AF26" s="301">
        <v>0</v>
      </c>
      <c r="AG26" s="510">
        <v>0</v>
      </c>
      <c r="AH26" s="304">
        <v>0</v>
      </c>
      <c r="AI26" s="301">
        <v>0</v>
      </c>
      <c r="AJ26" s="301">
        <v>0</v>
      </c>
      <c r="AK26" s="301">
        <v>0</v>
      </c>
      <c r="AL26" s="306"/>
    </row>
    <row r="27" spans="1:65" s="266" customFormat="1" ht="50.4" customHeight="1" outlineLevel="1" x14ac:dyDescent="0.25">
      <c r="A27" s="303" t="s">
        <v>426</v>
      </c>
      <c r="B27" s="302" t="s">
        <v>427</v>
      </c>
      <c r="C27" s="303">
        <v>0.56000000000000005</v>
      </c>
      <c r="D27" s="310">
        <f t="shared" si="0"/>
        <v>0</v>
      </c>
      <c r="E27" s="303">
        <v>0</v>
      </c>
      <c r="F27" s="307">
        <v>0</v>
      </c>
      <c r="G27" s="303">
        <v>0</v>
      </c>
      <c r="H27" s="303">
        <v>0</v>
      </c>
      <c r="I27" s="303">
        <v>0</v>
      </c>
      <c r="J27" s="307">
        <v>0</v>
      </c>
      <c r="K27" s="303">
        <v>0</v>
      </c>
      <c r="L27" s="301">
        <v>0</v>
      </c>
      <c r="M27" s="301">
        <v>0</v>
      </c>
      <c r="N27" s="301">
        <v>0</v>
      </c>
      <c r="O27" s="304">
        <v>0</v>
      </c>
      <c r="P27" s="301">
        <v>0</v>
      </c>
      <c r="Q27" s="301">
        <v>0</v>
      </c>
      <c r="R27" s="301">
        <v>0</v>
      </c>
      <c r="S27" s="301">
        <v>0</v>
      </c>
      <c r="T27" s="304">
        <v>0</v>
      </c>
      <c r="U27" s="301">
        <v>0</v>
      </c>
      <c r="V27" s="301">
        <v>0</v>
      </c>
      <c r="W27" s="301">
        <v>0</v>
      </c>
      <c r="X27" s="510">
        <v>0</v>
      </c>
      <c r="Y27" s="305">
        <v>0</v>
      </c>
      <c r="Z27" s="301">
        <v>0</v>
      </c>
      <c r="AA27" s="301">
        <v>0</v>
      </c>
      <c r="AB27" s="301">
        <v>0</v>
      </c>
      <c r="AC27" s="304">
        <v>0</v>
      </c>
      <c r="AD27" s="301">
        <v>0</v>
      </c>
      <c r="AE27" s="301">
        <v>0</v>
      </c>
      <c r="AF27" s="301">
        <v>0</v>
      </c>
      <c r="AG27" s="510">
        <v>0</v>
      </c>
      <c r="AH27" s="304">
        <v>0</v>
      </c>
      <c r="AI27" s="301">
        <v>0</v>
      </c>
      <c r="AJ27" s="301">
        <v>0</v>
      </c>
      <c r="AK27" s="301">
        <v>0</v>
      </c>
      <c r="AL27" s="306"/>
    </row>
    <row r="28" spans="1:65" s="266" customFormat="1" ht="76.2" customHeight="1" outlineLevel="1" x14ac:dyDescent="0.25">
      <c r="A28" s="303" t="s">
        <v>428</v>
      </c>
      <c r="B28" s="302" t="s">
        <v>429</v>
      </c>
      <c r="C28" s="303">
        <v>0</v>
      </c>
      <c r="D28" s="310">
        <f t="shared" si="0"/>
        <v>0</v>
      </c>
      <c r="E28" s="303">
        <v>0</v>
      </c>
      <c r="F28" s="307">
        <v>0</v>
      </c>
      <c r="G28" s="303">
        <v>0</v>
      </c>
      <c r="H28" s="303">
        <v>0</v>
      </c>
      <c r="I28" s="303">
        <v>0</v>
      </c>
      <c r="J28" s="307">
        <v>0</v>
      </c>
      <c r="K28" s="303">
        <v>0</v>
      </c>
      <c r="L28" s="301">
        <v>0</v>
      </c>
      <c r="M28" s="301">
        <v>0</v>
      </c>
      <c r="N28" s="301">
        <v>0</v>
      </c>
      <c r="O28" s="304">
        <v>0</v>
      </c>
      <c r="P28" s="301">
        <v>0</v>
      </c>
      <c r="Q28" s="301">
        <v>0</v>
      </c>
      <c r="R28" s="301">
        <v>0</v>
      </c>
      <c r="S28" s="301">
        <v>0</v>
      </c>
      <c r="T28" s="304">
        <v>0</v>
      </c>
      <c r="U28" s="301">
        <v>0</v>
      </c>
      <c r="V28" s="301">
        <v>0</v>
      </c>
      <c r="W28" s="301">
        <v>0</v>
      </c>
      <c r="X28" s="510">
        <v>0</v>
      </c>
      <c r="Y28" s="305">
        <v>0</v>
      </c>
      <c r="Z28" s="301">
        <v>0</v>
      </c>
      <c r="AA28" s="301">
        <v>0</v>
      </c>
      <c r="AB28" s="301">
        <v>0</v>
      </c>
      <c r="AC28" s="304">
        <v>0</v>
      </c>
      <c r="AD28" s="301">
        <v>0</v>
      </c>
      <c r="AE28" s="301">
        <v>0</v>
      </c>
      <c r="AF28" s="301">
        <v>0</v>
      </c>
      <c r="AG28" s="510">
        <v>0</v>
      </c>
      <c r="AH28" s="304">
        <v>0</v>
      </c>
      <c r="AI28" s="301">
        <v>0</v>
      </c>
      <c r="AJ28" s="301">
        <v>0</v>
      </c>
      <c r="AK28" s="301">
        <v>0</v>
      </c>
      <c r="AL28" s="306"/>
    </row>
    <row r="29" spans="1:65" s="265" customFormat="1" ht="116.4" customHeight="1" outlineLevel="1" x14ac:dyDescent="0.3">
      <c r="A29" s="431" t="s">
        <v>430</v>
      </c>
      <c r="B29" s="432" t="s">
        <v>1383</v>
      </c>
      <c r="C29" s="431">
        <f>E29+I29+N29+S29+X29+AB29+AG29</f>
        <v>0</v>
      </c>
      <c r="D29" s="431">
        <f t="shared" si="0"/>
        <v>0</v>
      </c>
      <c r="E29" s="431">
        <v>0</v>
      </c>
      <c r="F29" s="431">
        <f>F30++F31+F32+F33+F34</f>
        <v>0</v>
      </c>
      <c r="G29" s="431">
        <f t="shared" ref="G29:AA29" si="5">G30++G31+G32+G33+G34</f>
        <v>0</v>
      </c>
      <c r="H29" s="431">
        <f t="shared" si="5"/>
        <v>0</v>
      </c>
      <c r="I29" s="431">
        <f t="shared" si="5"/>
        <v>0</v>
      </c>
      <c r="J29" s="431">
        <f t="shared" si="5"/>
        <v>0</v>
      </c>
      <c r="K29" s="431">
        <v>0</v>
      </c>
      <c r="L29" s="431">
        <f t="shared" si="5"/>
        <v>0</v>
      </c>
      <c r="M29" s="431">
        <f t="shared" si="5"/>
        <v>0</v>
      </c>
      <c r="N29" s="431">
        <f t="shared" si="5"/>
        <v>0</v>
      </c>
      <c r="O29" s="431">
        <f t="shared" si="5"/>
        <v>0</v>
      </c>
      <c r="P29" s="431">
        <v>0</v>
      </c>
      <c r="Q29" s="431">
        <f t="shared" si="5"/>
        <v>0</v>
      </c>
      <c r="R29" s="431">
        <f t="shared" si="5"/>
        <v>0</v>
      </c>
      <c r="S29" s="431">
        <f t="shared" si="5"/>
        <v>0</v>
      </c>
      <c r="T29" s="431">
        <f t="shared" si="5"/>
        <v>0</v>
      </c>
      <c r="U29" s="431">
        <v>0</v>
      </c>
      <c r="V29" s="433">
        <f t="shared" si="5"/>
        <v>0</v>
      </c>
      <c r="W29" s="433">
        <f t="shared" si="5"/>
        <v>0</v>
      </c>
      <c r="X29" s="481">
        <f t="shared" si="5"/>
        <v>0</v>
      </c>
      <c r="Y29" s="433">
        <f t="shared" si="5"/>
        <v>0</v>
      </c>
      <c r="Z29" s="431">
        <f t="shared" si="5"/>
        <v>0</v>
      </c>
      <c r="AA29" s="431">
        <f t="shared" si="5"/>
        <v>0</v>
      </c>
      <c r="AB29" s="431">
        <v>0</v>
      </c>
      <c r="AC29" s="431">
        <v>0</v>
      </c>
      <c r="AD29" s="433">
        <v>0</v>
      </c>
      <c r="AE29" s="431">
        <v>0</v>
      </c>
      <c r="AF29" s="431">
        <v>0</v>
      </c>
      <c r="AG29" s="481">
        <v>0</v>
      </c>
      <c r="AH29" s="431">
        <f t="shared" ref="AH29:AK29" si="6">AH30++AH31+AH32+AH33+AH34</f>
        <v>0</v>
      </c>
      <c r="AI29" s="431">
        <v>0</v>
      </c>
      <c r="AJ29" s="431">
        <f t="shared" si="6"/>
        <v>0</v>
      </c>
      <c r="AK29" s="431">
        <f t="shared" si="6"/>
        <v>0</v>
      </c>
      <c r="AL29" s="299"/>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row>
    <row r="30" spans="1:65" s="266" customFormat="1" ht="189" customHeight="1" outlineLevel="1" x14ac:dyDescent="0.25">
      <c r="A30" s="303" t="s">
        <v>431</v>
      </c>
      <c r="B30" s="302" t="s">
        <v>432</v>
      </c>
      <c r="C30" s="303">
        <v>0</v>
      </c>
      <c r="D30" s="303">
        <f t="shared" si="0"/>
        <v>0</v>
      </c>
      <c r="E30" s="303">
        <v>0</v>
      </c>
      <c r="F30" s="307">
        <v>0</v>
      </c>
      <c r="G30" s="303">
        <v>0</v>
      </c>
      <c r="H30" s="303">
        <v>0</v>
      </c>
      <c r="I30" s="303">
        <v>0</v>
      </c>
      <c r="J30" s="307">
        <v>0</v>
      </c>
      <c r="K30" s="303">
        <v>0</v>
      </c>
      <c r="L30" s="311">
        <v>0</v>
      </c>
      <c r="M30" s="311">
        <v>0</v>
      </c>
      <c r="N30" s="301">
        <v>0</v>
      </c>
      <c r="O30" s="304">
        <v>0</v>
      </c>
      <c r="P30" s="301">
        <v>0</v>
      </c>
      <c r="Q30" s="301">
        <v>0</v>
      </c>
      <c r="R30" s="301">
        <v>0</v>
      </c>
      <c r="S30" s="301">
        <v>0</v>
      </c>
      <c r="T30" s="304">
        <v>0</v>
      </c>
      <c r="U30" s="301">
        <v>0</v>
      </c>
      <c r="V30" s="301">
        <v>0</v>
      </c>
      <c r="W30" s="301">
        <v>0</v>
      </c>
      <c r="X30" s="510">
        <v>0</v>
      </c>
      <c r="Y30" s="312">
        <v>0</v>
      </c>
      <c r="Z30" s="301">
        <v>0</v>
      </c>
      <c r="AA30" s="301">
        <v>0</v>
      </c>
      <c r="AB30" s="301">
        <v>0</v>
      </c>
      <c r="AC30" s="304">
        <v>0</v>
      </c>
      <c r="AD30" s="301">
        <v>0</v>
      </c>
      <c r="AE30" s="301">
        <v>0</v>
      </c>
      <c r="AF30" s="301">
        <v>0</v>
      </c>
      <c r="AG30" s="510">
        <v>0</v>
      </c>
      <c r="AH30" s="304">
        <v>0</v>
      </c>
      <c r="AI30" s="301">
        <v>0</v>
      </c>
      <c r="AJ30" s="301">
        <v>0</v>
      </c>
      <c r="AK30" s="301">
        <v>0</v>
      </c>
      <c r="AL30" s="306"/>
    </row>
    <row r="31" spans="1:65" s="266" customFormat="1" ht="218.4" customHeight="1" outlineLevel="1" x14ac:dyDescent="0.25">
      <c r="A31" s="303" t="s">
        <v>433</v>
      </c>
      <c r="B31" s="302" t="s">
        <v>423</v>
      </c>
      <c r="C31" s="303">
        <v>0</v>
      </c>
      <c r="D31" s="303">
        <f t="shared" si="0"/>
        <v>0</v>
      </c>
      <c r="E31" s="303">
        <v>0</v>
      </c>
      <c r="F31" s="307">
        <v>0</v>
      </c>
      <c r="G31" s="303">
        <v>0</v>
      </c>
      <c r="H31" s="303">
        <v>0</v>
      </c>
      <c r="I31" s="303">
        <v>0</v>
      </c>
      <c r="J31" s="307">
        <v>0</v>
      </c>
      <c r="K31" s="303">
        <v>0</v>
      </c>
      <c r="L31" s="301">
        <v>0</v>
      </c>
      <c r="M31" s="301">
        <v>0</v>
      </c>
      <c r="N31" s="301">
        <v>0</v>
      </c>
      <c r="O31" s="313">
        <v>0</v>
      </c>
      <c r="P31" s="314">
        <v>0</v>
      </c>
      <c r="Q31" s="314">
        <v>0</v>
      </c>
      <c r="R31" s="314">
        <v>0</v>
      </c>
      <c r="S31" s="314">
        <v>0</v>
      </c>
      <c r="T31" s="304">
        <v>0</v>
      </c>
      <c r="U31" s="301">
        <v>0</v>
      </c>
      <c r="V31" s="301">
        <v>0</v>
      </c>
      <c r="W31" s="301">
        <v>0</v>
      </c>
      <c r="X31" s="510">
        <v>0</v>
      </c>
      <c r="Y31" s="305">
        <v>0</v>
      </c>
      <c r="Z31" s="301">
        <v>0</v>
      </c>
      <c r="AA31" s="301">
        <v>0</v>
      </c>
      <c r="AB31" s="301">
        <v>0</v>
      </c>
      <c r="AC31" s="304">
        <v>0</v>
      </c>
      <c r="AD31" s="301">
        <v>0</v>
      </c>
      <c r="AE31" s="301">
        <v>0</v>
      </c>
      <c r="AF31" s="301">
        <v>0</v>
      </c>
      <c r="AG31" s="510">
        <v>0</v>
      </c>
      <c r="AH31" s="304">
        <v>0</v>
      </c>
      <c r="AI31" s="301">
        <v>0</v>
      </c>
      <c r="AJ31" s="301">
        <v>0</v>
      </c>
      <c r="AK31" s="301">
        <v>0</v>
      </c>
      <c r="AL31" s="306"/>
    </row>
    <row r="32" spans="1:65" s="266" customFormat="1" ht="46.65" customHeight="1" outlineLevel="1" x14ac:dyDescent="0.25">
      <c r="A32" s="303" t="s">
        <v>434</v>
      </c>
      <c r="B32" s="302" t="s">
        <v>435</v>
      </c>
      <c r="C32" s="303">
        <v>0</v>
      </c>
      <c r="D32" s="303">
        <f t="shared" si="0"/>
        <v>0</v>
      </c>
      <c r="E32" s="303">
        <v>0</v>
      </c>
      <c r="F32" s="307">
        <v>0</v>
      </c>
      <c r="G32" s="303">
        <v>0</v>
      </c>
      <c r="H32" s="303">
        <v>0</v>
      </c>
      <c r="I32" s="303">
        <v>0</v>
      </c>
      <c r="J32" s="307">
        <v>0</v>
      </c>
      <c r="K32" s="303">
        <v>0</v>
      </c>
      <c r="L32" s="301">
        <v>0</v>
      </c>
      <c r="M32" s="301">
        <v>0</v>
      </c>
      <c r="N32" s="301">
        <v>0</v>
      </c>
      <c r="O32" s="313">
        <v>0</v>
      </c>
      <c r="P32" s="314">
        <v>0</v>
      </c>
      <c r="Q32" s="314">
        <v>0</v>
      </c>
      <c r="R32" s="314">
        <v>0</v>
      </c>
      <c r="S32" s="314">
        <v>0</v>
      </c>
      <c r="T32" s="304">
        <v>0</v>
      </c>
      <c r="U32" s="301">
        <v>0</v>
      </c>
      <c r="V32" s="301">
        <v>0</v>
      </c>
      <c r="W32" s="301">
        <v>0</v>
      </c>
      <c r="X32" s="510"/>
      <c r="Y32" s="305">
        <f>AA32</f>
        <v>0</v>
      </c>
      <c r="Z32" s="301">
        <v>0</v>
      </c>
      <c r="AA32" s="301">
        <v>0</v>
      </c>
      <c r="AB32" s="301"/>
      <c r="AC32" s="304">
        <v>0</v>
      </c>
      <c r="AD32" s="301"/>
      <c r="AE32" s="301">
        <v>0</v>
      </c>
      <c r="AF32" s="301">
        <v>0</v>
      </c>
      <c r="AG32" s="510">
        <v>0</v>
      </c>
      <c r="AH32" s="304">
        <v>0</v>
      </c>
      <c r="AI32" s="301">
        <v>0</v>
      </c>
      <c r="AJ32" s="301">
        <v>0</v>
      </c>
      <c r="AK32" s="301">
        <v>0</v>
      </c>
      <c r="AL32" s="306"/>
    </row>
    <row r="33" spans="1:59" s="266" customFormat="1" ht="97.95" customHeight="1" outlineLevel="1" x14ac:dyDescent="0.25">
      <c r="A33" s="303" t="s">
        <v>436</v>
      </c>
      <c r="B33" s="302" t="s">
        <v>1382</v>
      </c>
      <c r="C33" s="303">
        <v>0</v>
      </c>
      <c r="D33" s="303">
        <f t="shared" si="0"/>
        <v>0</v>
      </c>
      <c r="E33" s="303">
        <v>0</v>
      </c>
      <c r="F33" s="307">
        <v>0</v>
      </c>
      <c r="G33" s="303">
        <v>0</v>
      </c>
      <c r="H33" s="303">
        <v>0</v>
      </c>
      <c r="I33" s="303">
        <v>0</v>
      </c>
      <c r="J33" s="307">
        <v>0</v>
      </c>
      <c r="K33" s="303">
        <v>0</v>
      </c>
      <c r="L33" s="301">
        <v>0</v>
      </c>
      <c r="M33" s="301">
        <v>0</v>
      </c>
      <c r="N33" s="301">
        <v>0</v>
      </c>
      <c r="O33" s="313">
        <v>0</v>
      </c>
      <c r="P33" s="314">
        <v>0</v>
      </c>
      <c r="Q33" s="314">
        <v>0</v>
      </c>
      <c r="R33" s="314">
        <v>0</v>
      </c>
      <c r="S33" s="314">
        <v>0</v>
      </c>
      <c r="T33" s="304">
        <v>0</v>
      </c>
      <c r="U33" s="301">
        <v>0</v>
      </c>
      <c r="V33" s="301">
        <v>0</v>
      </c>
      <c r="W33" s="301">
        <v>0</v>
      </c>
      <c r="X33" s="510">
        <v>0</v>
      </c>
      <c r="Y33" s="305">
        <f>AA33</f>
        <v>0</v>
      </c>
      <c r="Z33" s="301">
        <v>0</v>
      </c>
      <c r="AA33" s="301">
        <v>0</v>
      </c>
      <c r="AB33" s="301">
        <v>0</v>
      </c>
      <c r="AC33" s="304">
        <v>0</v>
      </c>
      <c r="AD33" s="301">
        <v>0</v>
      </c>
      <c r="AE33" s="301">
        <v>0</v>
      </c>
      <c r="AF33" s="301">
        <v>0</v>
      </c>
      <c r="AG33" s="510">
        <v>0</v>
      </c>
      <c r="AH33" s="304">
        <v>0</v>
      </c>
      <c r="AI33" s="301">
        <v>0</v>
      </c>
      <c r="AJ33" s="301">
        <v>0</v>
      </c>
      <c r="AK33" s="301">
        <v>0</v>
      </c>
      <c r="AL33" s="306"/>
    </row>
    <row r="34" spans="1:59" s="267" customFormat="1" ht="45" customHeight="1" outlineLevel="1" x14ac:dyDescent="0.25">
      <c r="A34" s="303" t="s">
        <v>437</v>
      </c>
      <c r="B34" s="302" t="s">
        <v>425</v>
      </c>
      <c r="C34" s="303">
        <v>0</v>
      </c>
      <c r="D34" s="303">
        <f t="shared" si="0"/>
        <v>0</v>
      </c>
      <c r="E34" s="303">
        <v>0</v>
      </c>
      <c r="F34" s="307">
        <v>0</v>
      </c>
      <c r="G34" s="303">
        <v>0</v>
      </c>
      <c r="H34" s="303">
        <v>0</v>
      </c>
      <c r="I34" s="303">
        <v>0</v>
      </c>
      <c r="J34" s="307">
        <v>0</v>
      </c>
      <c r="K34" s="303">
        <v>0</v>
      </c>
      <c r="L34" s="301">
        <v>0</v>
      </c>
      <c r="M34" s="301">
        <v>0</v>
      </c>
      <c r="N34" s="301">
        <v>0</v>
      </c>
      <c r="O34" s="313">
        <v>0</v>
      </c>
      <c r="P34" s="314">
        <v>0</v>
      </c>
      <c r="Q34" s="314">
        <v>0</v>
      </c>
      <c r="R34" s="314">
        <v>0</v>
      </c>
      <c r="S34" s="314">
        <v>0</v>
      </c>
      <c r="T34" s="304">
        <v>0</v>
      </c>
      <c r="U34" s="301">
        <v>0</v>
      </c>
      <c r="V34" s="301">
        <v>0</v>
      </c>
      <c r="W34" s="301">
        <v>0</v>
      </c>
      <c r="X34" s="510">
        <v>0</v>
      </c>
      <c r="Y34" s="315">
        <f>Z34+AA34</f>
        <v>0</v>
      </c>
      <c r="Z34" s="314">
        <v>0</v>
      </c>
      <c r="AA34" s="314">
        <v>0</v>
      </c>
      <c r="AB34" s="301">
        <v>0</v>
      </c>
      <c r="AC34" s="304">
        <v>0</v>
      </c>
      <c r="AD34" s="301">
        <v>0</v>
      </c>
      <c r="AE34" s="301">
        <v>0</v>
      </c>
      <c r="AF34" s="301">
        <v>0</v>
      </c>
      <c r="AG34" s="510">
        <v>0</v>
      </c>
      <c r="AH34" s="304">
        <v>0</v>
      </c>
      <c r="AI34" s="301">
        <v>0</v>
      </c>
      <c r="AJ34" s="301">
        <v>0</v>
      </c>
      <c r="AK34" s="301">
        <v>0</v>
      </c>
      <c r="AL34" s="316"/>
    </row>
    <row r="35" spans="1:59" s="265" customFormat="1" ht="73.95" customHeight="1" outlineLevel="1" x14ac:dyDescent="0.3">
      <c r="A35" s="431" t="s">
        <v>438</v>
      </c>
      <c r="B35" s="432" t="s">
        <v>439</v>
      </c>
      <c r="C35" s="431"/>
      <c r="D35" s="431">
        <f t="shared" si="0"/>
        <v>0</v>
      </c>
      <c r="E35" s="431"/>
      <c r="F35" s="431">
        <f>F36+F37+F38+F39+F40</f>
        <v>0</v>
      </c>
      <c r="G35" s="431">
        <f t="shared" ref="G35:AG35" si="7">G36+G37+G38+G39+G40</f>
        <v>0</v>
      </c>
      <c r="H35" s="431">
        <f t="shared" si="7"/>
        <v>0</v>
      </c>
      <c r="I35" s="431">
        <f t="shared" si="7"/>
        <v>0</v>
      </c>
      <c r="J35" s="431">
        <f t="shared" si="7"/>
        <v>0</v>
      </c>
      <c r="K35" s="431">
        <v>0</v>
      </c>
      <c r="L35" s="431">
        <f t="shared" si="7"/>
        <v>0</v>
      </c>
      <c r="M35" s="431">
        <f t="shared" si="7"/>
        <v>0</v>
      </c>
      <c r="N35" s="431">
        <f t="shared" si="7"/>
        <v>0</v>
      </c>
      <c r="O35" s="431">
        <f t="shared" si="7"/>
        <v>0</v>
      </c>
      <c r="P35" s="431">
        <v>0</v>
      </c>
      <c r="Q35" s="431">
        <f t="shared" si="7"/>
        <v>0</v>
      </c>
      <c r="R35" s="431">
        <f t="shared" si="7"/>
        <v>0</v>
      </c>
      <c r="S35" s="431">
        <f t="shared" si="7"/>
        <v>0</v>
      </c>
      <c r="T35" s="431">
        <f t="shared" si="7"/>
        <v>0</v>
      </c>
      <c r="U35" s="431">
        <v>0</v>
      </c>
      <c r="V35" s="433">
        <f t="shared" si="7"/>
        <v>0</v>
      </c>
      <c r="W35" s="433">
        <f t="shared" si="7"/>
        <v>0</v>
      </c>
      <c r="X35" s="481">
        <f t="shared" si="7"/>
        <v>0</v>
      </c>
      <c r="Y35" s="433">
        <f t="shared" si="7"/>
        <v>0</v>
      </c>
      <c r="Z35" s="431">
        <f t="shared" si="7"/>
        <v>0</v>
      </c>
      <c r="AA35" s="431">
        <f t="shared" si="7"/>
        <v>0</v>
      </c>
      <c r="AB35" s="431">
        <f t="shared" si="7"/>
        <v>0</v>
      </c>
      <c r="AC35" s="431">
        <f t="shared" si="7"/>
        <v>0</v>
      </c>
      <c r="AD35" s="433">
        <v>0</v>
      </c>
      <c r="AE35" s="431">
        <f t="shared" si="7"/>
        <v>0</v>
      </c>
      <c r="AF35" s="431">
        <f t="shared" si="7"/>
        <v>0</v>
      </c>
      <c r="AG35" s="481">
        <f t="shared" si="7"/>
        <v>0</v>
      </c>
      <c r="AH35" s="431">
        <v>0</v>
      </c>
      <c r="AI35" s="431">
        <v>0</v>
      </c>
      <c r="AJ35" s="431">
        <v>0</v>
      </c>
      <c r="AK35" s="431">
        <v>0</v>
      </c>
      <c r="AL35" s="299"/>
      <c r="AM35" s="206"/>
      <c r="AN35" s="206"/>
      <c r="AO35" s="206"/>
      <c r="AP35" s="206"/>
      <c r="AQ35" s="206"/>
      <c r="AR35" s="206"/>
      <c r="AS35" s="206"/>
      <c r="AT35" s="206"/>
      <c r="AU35" s="206"/>
      <c r="AV35" s="206"/>
      <c r="AW35" s="206"/>
      <c r="AX35" s="206"/>
      <c r="AY35" s="206"/>
      <c r="AZ35" s="206"/>
      <c r="BA35" s="206"/>
      <c r="BB35" s="206"/>
      <c r="BC35" s="206"/>
      <c r="BD35" s="206"/>
      <c r="BE35" s="206"/>
    </row>
    <row r="36" spans="1:59" s="266" customFormat="1" ht="168.6" customHeight="1" outlineLevel="1" x14ac:dyDescent="0.25">
      <c r="A36" s="303" t="s">
        <v>440</v>
      </c>
      <c r="B36" s="302" t="s">
        <v>500</v>
      </c>
      <c r="C36" s="303">
        <v>0</v>
      </c>
      <c r="D36" s="310">
        <f t="shared" si="0"/>
        <v>0</v>
      </c>
      <c r="E36" s="303">
        <v>0</v>
      </c>
      <c r="F36" s="307">
        <v>0</v>
      </c>
      <c r="G36" s="303">
        <v>0</v>
      </c>
      <c r="H36" s="303">
        <v>0</v>
      </c>
      <c r="I36" s="303">
        <v>0</v>
      </c>
      <c r="J36" s="307">
        <v>0</v>
      </c>
      <c r="K36" s="303">
        <v>0</v>
      </c>
      <c r="L36" s="301">
        <v>0</v>
      </c>
      <c r="M36" s="301">
        <v>0</v>
      </c>
      <c r="N36" s="301">
        <v>0</v>
      </c>
      <c r="O36" s="304">
        <v>0</v>
      </c>
      <c r="P36" s="301">
        <v>0</v>
      </c>
      <c r="Q36" s="301">
        <v>0</v>
      </c>
      <c r="R36" s="301">
        <v>0</v>
      </c>
      <c r="S36" s="301">
        <v>0</v>
      </c>
      <c r="T36" s="304">
        <v>0</v>
      </c>
      <c r="U36" s="301">
        <v>0</v>
      </c>
      <c r="V36" s="301">
        <v>0</v>
      </c>
      <c r="W36" s="301">
        <v>0</v>
      </c>
      <c r="X36" s="510">
        <v>0</v>
      </c>
      <c r="Y36" s="305">
        <v>0</v>
      </c>
      <c r="Z36" s="301">
        <v>0</v>
      </c>
      <c r="AA36" s="301">
        <v>0</v>
      </c>
      <c r="AB36" s="301">
        <v>0</v>
      </c>
      <c r="AC36" s="304">
        <v>0</v>
      </c>
      <c r="AD36" s="301">
        <v>0</v>
      </c>
      <c r="AE36" s="301">
        <v>0</v>
      </c>
      <c r="AF36" s="301">
        <v>0</v>
      </c>
      <c r="AG36" s="510">
        <v>0</v>
      </c>
      <c r="AH36" s="304">
        <v>0</v>
      </c>
      <c r="AI36" s="301">
        <v>0</v>
      </c>
      <c r="AJ36" s="301">
        <v>0</v>
      </c>
      <c r="AK36" s="301">
        <v>0</v>
      </c>
      <c r="AL36" s="306"/>
    </row>
    <row r="37" spans="1:59" s="266" customFormat="1" ht="230.4" customHeight="1" outlineLevel="1" x14ac:dyDescent="0.25">
      <c r="A37" s="303" t="s">
        <v>441</v>
      </c>
      <c r="B37" s="302" t="s">
        <v>423</v>
      </c>
      <c r="C37" s="303">
        <v>0</v>
      </c>
      <c r="D37" s="310">
        <f t="shared" si="0"/>
        <v>0</v>
      </c>
      <c r="E37" s="303">
        <v>0</v>
      </c>
      <c r="F37" s="307">
        <v>0</v>
      </c>
      <c r="G37" s="303">
        <v>0</v>
      </c>
      <c r="H37" s="303">
        <v>0</v>
      </c>
      <c r="I37" s="303">
        <v>0</v>
      </c>
      <c r="J37" s="307">
        <v>0</v>
      </c>
      <c r="K37" s="303">
        <v>0</v>
      </c>
      <c r="L37" s="301">
        <v>0</v>
      </c>
      <c r="M37" s="301">
        <v>0</v>
      </c>
      <c r="N37" s="301">
        <v>0</v>
      </c>
      <c r="O37" s="304">
        <v>0</v>
      </c>
      <c r="P37" s="301">
        <v>0</v>
      </c>
      <c r="Q37" s="301">
        <v>0</v>
      </c>
      <c r="R37" s="301">
        <v>0</v>
      </c>
      <c r="S37" s="301">
        <v>0</v>
      </c>
      <c r="T37" s="304">
        <v>0</v>
      </c>
      <c r="U37" s="301">
        <v>0</v>
      </c>
      <c r="V37" s="301">
        <v>0</v>
      </c>
      <c r="W37" s="301">
        <v>0</v>
      </c>
      <c r="X37" s="510">
        <v>0</v>
      </c>
      <c r="Y37" s="305">
        <v>0</v>
      </c>
      <c r="Z37" s="301">
        <v>0</v>
      </c>
      <c r="AA37" s="301">
        <v>0</v>
      </c>
      <c r="AB37" s="301">
        <v>0</v>
      </c>
      <c r="AC37" s="304">
        <f>AF37</f>
        <v>0</v>
      </c>
      <c r="AD37" s="301">
        <v>0</v>
      </c>
      <c r="AE37" s="301">
        <v>0</v>
      </c>
      <c r="AF37" s="301">
        <v>0</v>
      </c>
      <c r="AG37" s="510">
        <v>0</v>
      </c>
      <c r="AH37" s="304">
        <v>0</v>
      </c>
      <c r="AI37" s="301">
        <v>0</v>
      </c>
      <c r="AJ37" s="301">
        <v>0</v>
      </c>
      <c r="AK37" s="301">
        <v>0</v>
      </c>
      <c r="AL37" s="306"/>
    </row>
    <row r="38" spans="1:59" s="266" customFormat="1" ht="39.9" customHeight="1" outlineLevel="1" x14ac:dyDescent="0.25">
      <c r="A38" s="303" t="s">
        <v>442</v>
      </c>
      <c r="B38" s="302" t="s">
        <v>435</v>
      </c>
      <c r="C38" s="303">
        <v>0</v>
      </c>
      <c r="D38" s="310">
        <f t="shared" si="0"/>
        <v>0</v>
      </c>
      <c r="E38" s="303">
        <v>0</v>
      </c>
      <c r="F38" s="307">
        <v>0</v>
      </c>
      <c r="G38" s="303">
        <v>0</v>
      </c>
      <c r="H38" s="303">
        <v>0</v>
      </c>
      <c r="I38" s="303">
        <v>0</v>
      </c>
      <c r="J38" s="307">
        <v>0</v>
      </c>
      <c r="K38" s="303">
        <v>0</v>
      </c>
      <c r="L38" s="301">
        <v>0</v>
      </c>
      <c r="M38" s="301">
        <v>0</v>
      </c>
      <c r="N38" s="301">
        <v>0</v>
      </c>
      <c r="O38" s="304">
        <v>0</v>
      </c>
      <c r="P38" s="301">
        <v>0</v>
      </c>
      <c r="Q38" s="301">
        <v>0</v>
      </c>
      <c r="R38" s="301">
        <v>0</v>
      </c>
      <c r="S38" s="301">
        <v>0</v>
      </c>
      <c r="T38" s="304">
        <v>0</v>
      </c>
      <c r="U38" s="301">
        <v>0</v>
      </c>
      <c r="V38" s="301">
        <v>0</v>
      </c>
      <c r="W38" s="301">
        <v>0</v>
      </c>
      <c r="X38" s="510">
        <v>0</v>
      </c>
      <c r="Y38" s="305">
        <v>0</v>
      </c>
      <c r="Z38" s="301">
        <v>0</v>
      </c>
      <c r="AA38" s="301">
        <v>0</v>
      </c>
      <c r="AB38" s="301">
        <v>0</v>
      </c>
      <c r="AC38" s="304">
        <v>0</v>
      </c>
      <c r="AD38" s="301"/>
      <c r="AE38" s="301">
        <v>0</v>
      </c>
      <c r="AF38" s="301">
        <v>0</v>
      </c>
      <c r="AG38" s="510">
        <v>0</v>
      </c>
      <c r="AH38" s="304">
        <v>0</v>
      </c>
      <c r="AI38" s="301">
        <v>0</v>
      </c>
      <c r="AJ38" s="301">
        <v>0</v>
      </c>
      <c r="AK38" s="301">
        <v>0</v>
      </c>
      <c r="AL38" s="306"/>
    </row>
    <row r="39" spans="1:59" s="266" customFormat="1" ht="100.95" customHeight="1" outlineLevel="1" x14ac:dyDescent="0.25">
      <c r="A39" s="303" t="s">
        <v>443</v>
      </c>
      <c r="B39" s="302" t="s">
        <v>1382</v>
      </c>
      <c r="C39" s="317"/>
      <c r="D39" s="310">
        <f t="shared" si="0"/>
        <v>0</v>
      </c>
      <c r="E39" s="303">
        <v>0</v>
      </c>
      <c r="F39" s="307">
        <v>0</v>
      </c>
      <c r="G39" s="303">
        <v>0</v>
      </c>
      <c r="H39" s="303">
        <v>0</v>
      </c>
      <c r="I39" s="303">
        <v>0</v>
      </c>
      <c r="J39" s="307">
        <v>0</v>
      </c>
      <c r="K39" s="303">
        <v>0</v>
      </c>
      <c r="L39" s="301">
        <v>0</v>
      </c>
      <c r="M39" s="301">
        <v>0</v>
      </c>
      <c r="N39" s="301">
        <v>0</v>
      </c>
      <c r="O39" s="304">
        <v>0</v>
      </c>
      <c r="P39" s="301">
        <v>0</v>
      </c>
      <c r="Q39" s="301">
        <v>0</v>
      </c>
      <c r="R39" s="301">
        <v>0</v>
      </c>
      <c r="S39" s="301">
        <v>0</v>
      </c>
      <c r="T39" s="304">
        <v>0</v>
      </c>
      <c r="U39" s="301">
        <v>0</v>
      </c>
      <c r="V39" s="301">
        <v>0</v>
      </c>
      <c r="W39" s="301">
        <v>0</v>
      </c>
      <c r="X39" s="510">
        <v>0</v>
      </c>
      <c r="Y39" s="305">
        <v>0</v>
      </c>
      <c r="Z39" s="301">
        <v>0</v>
      </c>
      <c r="AA39" s="301">
        <v>0</v>
      </c>
      <c r="AB39" s="301">
        <v>0</v>
      </c>
      <c r="AC39" s="304">
        <v>0</v>
      </c>
      <c r="AD39" s="301">
        <v>0</v>
      </c>
      <c r="AE39" s="301">
        <v>0</v>
      </c>
      <c r="AF39" s="301">
        <v>0</v>
      </c>
      <c r="AG39" s="510">
        <v>0</v>
      </c>
      <c r="AH39" s="304">
        <v>0</v>
      </c>
      <c r="AI39" s="301">
        <v>0</v>
      </c>
      <c r="AJ39" s="301">
        <v>0</v>
      </c>
      <c r="AK39" s="301">
        <v>0</v>
      </c>
      <c r="AL39" s="306"/>
    </row>
    <row r="40" spans="1:59" s="266" customFormat="1" ht="47.4" customHeight="1" outlineLevel="1" x14ac:dyDescent="0.25">
      <c r="A40" s="303" t="s">
        <v>444</v>
      </c>
      <c r="B40" s="302" t="s">
        <v>425</v>
      </c>
      <c r="C40" s="303"/>
      <c r="D40" s="310">
        <f t="shared" si="0"/>
        <v>0</v>
      </c>
      <c r="E40" s="303">
        <v>0</v>
      </c>
      <c r="F40" s="307">
        <v>0</v>
      </c>
      <c r="G40" s="303">
        <v>0</v>
      </c>
      <c r="H40" s="303">
        <v>0</v>
      </c>
      <c r="I40" s="303">
        <v>0</v>
      </c>
      <c r="J40" s="307">
        <v>0</v>
      </c>
      <c r="K40" s="303">
        <v>0</v>
      </c>
      <c r="L40" s="301">
        <v>0</v>
      </c>
      <c r="M40" s="301">
        <v>0</v>
      </c>
      <c r="N40" s="301">
        <v>0</v>
      </c>
      <c r="O40" s="304">
        <v>0</v>
      </c>
      <c r="P40" s="301">
        <v>0</v>
      </c>
      <c r="Q40" s="301">
        <v>0</v>
      </c>
      <c r="R40" s="301">
        <v>0</v>
      </c>
      <c r="S40" s="301">
        <v>0</v>
      </c>
      <c r="T40" s="304">
        <v>0</v>
      </c>
      <c r="U40" s="301">
        <v>0</v>
      </c>
      <c r="V40" s="301">
        <v>0</v>
      </c>
      <c r="W40" s="301">
        <v>0</v>
      </c>
      <c r="X40" s="510"/>
      <c r="Y40" s="305">
        <v>0</v>
      </c>
      <c r="Z40" s="301">
        <v>0</v>
      </c>
      <c r="AA40" s="301">
        <v>0</v>
      </c>
      <c r="AB40" s="301">
        <v>0</v>
      </c>
      <c r="AC40" s="304">
        <v>0</v>
      </c>
      <c r="AD40" s="301">
        <v>0</v>
      </c>
      <c r="AE40" s="301">
        <v>0</v>
      </c>
      <c r="AF40" s="301">
        <v>0</v>
      </c>
      <c r="AG40" s="510">
        <v>0</v>
      </c>
      <c r="AH40" s="304">
        <v>0</v>
      </c>
      <c r="AI40" s="301">
        <v>0</v>
      </c>
      <c r="AJ40" s="301">
        <v>0</v>
      </c>
      <c r="AK40" s="301">
        <v>0</v>
      </c>
      <c r="AL40" s="306"/>
    </row>
    <row r="41" spans="1:59" s="265" customFormat="1" ht="67.349999999999994" customHeight="1" outlineLevel="1" x14ac:dyDescent="0.3">
      <c r="A41" s="431" t="s">
        <v>445</v>
      </c>
      <c r="B41" s="432" t="s">
        <v>446</v>
      </c>
      <c r="C41" s="431">
        <v>0</v>
      </c>
      <c r="D41" s="431">
        <f t="shared" si="0"/>
        <v>0</v>
      </c>
      <c r="E41" s="431">
        <v>0</v>
      </c>
      <c r="F41" s="431">
        <f>F42+F43+F44+F45+F46</f>
        <v>0</v>
      </c>
      <c r="G41" s="431">
        <f t="shared" ref="G41:AG41" si="8">G42+G43+G44+G45+G46</f>
        <v>0</v>
      </c>
      <c r="H41" s="431">
        <f t="shared" si="8"/>
        <v>0</v>
      </c>
      <c r="I41" s="431">
        <f t="shared" si="8"/>
        <v>0</v>
      </c>
      <c r="J41" s="431">
        <f t="shared" si="8"/>
        <v>0</v>
      </c>
      <c r="K41" s="431">
        <v>0</v>
      </c>
      <c r="L41" s="431">
        <f t="shared" si="8"/>
        <v>0</v>
      </c>
      <c r="M41" s="431">
        <f t="shared" si="8"/>
        <v>0</v>
      </c>
      <c r="N41" s="431">
        <f t="shared" si="8"/>
        <v>0</v>
      </c>
      <c r="O41" s="431">
        <f t="shared" si="8"/>
        <v>0</v>
      </c>
      <c r="P41" s="431">
        <v>0</v>
      </c>
      <c r="Q41" s="431">
        <f t="shared" si="8"/>
        <v>0</v>
      </c>
      <c r="R41" s="431">
        <f t="shared" si="8"/>
        <v>0</v>
      </c>
      <c r="S41" s="431">
        <f t="shared" si="8"/>
        <v>0</v>
      </c>
      <c r="T41" s="431">
        <f t="shared" si="8"/>
        <v>0</v>
      </c>
      <c r="U41" s="431">
        <v>0</v>
      </c>
      <c r="V41" s="433">
        <f t="shared" si="8"/>
        <v>0</v>
      </c>
      <c r="W41" s="433">
        <f t="shared" si="8"/>
        <v>0</v>
      </c>
      <c r="X41" s="481">
        <f t="shared" si="8"/>
        <v>0</v>
      </c>
      <c r="Y41" s="433">
        <f t="shared" si="8"/>
        <v>0</v>
      </c>
      <c r="Z41" s="431">
        <f t="shared" si="8"/>
        <v>0</v>
      </c>
      <c r="AA41" s="431">
        <f t="shared" si="8"/>
        <v>0</v>
      </c>
      <c r="AB41" s="431">
        <f t="shared" si="8"/>
        <v>0</v>
      </c>
      <c r="AC41" s="431">
        <f t="shared" si="8"/>
        <v>0</v>
      </c>
      <c r="AD41" s="433">
        <v>0</v>
      </c>
      <c r="AE41" s="431">
        <f t="shared" si="8"/>
        <v>0</v>
      </c>
      <c r="AF41" s="431">
        <f t="shared" si="8"/>
        <v>0</v>
      </c>
      <c r="AG41" s="481">
        <f t="shared" si="8"/>
        <v>0</v>
      </c>
      <c r="AH41" s="431">
        <v>0</v>
      </c>
      <c r="AI41" s="431">
        <v>0</v>
      </c>
      <c r="AJ41" s="431">
        <v>0</v>
      </c>
      <c r="AK41" s="431">
        <v>0</v>
      </c>
      <c r="AL41" s="299"/>
      <c r="AM41" s="206"/>
      <c r="AN41" s="206"/>
      <c r="AO41" s="206"/>
      <c r="AP41" s="206"/>
      <c r="AQ41" s="206"/>
      <c r="AR41" s="206"/>
      <c r="AS41" s="206"/>
      <c r="AT41" s="206"/>
      <c r="AU41" s="206"/>
      <c r="AV41" s="206"/>
      <c r="AW41" s="206"/>
      <c r="AX41" s="206"/>
      <c r="AY41" s="206"/>
      <c r="AZ41" s="206"/>
      <c r="BA41" s="206"/>
      <c r="BB41" s="206"/>
      <c r="BC41" s="206"/>
      <c r="BD41" s="206"/>
    </row>
    <row r="42" spans="1:59" s="266" customFormat="1" ht="188.4" customHeight="1" outlineLevel="1" x14ac:dyDescent="0.25">
      <c r="A42" s="303" t="s">
        <v>447</v>
      </c>
      <c r="B42" s="302" t="s">
        <v>448</v>
      </c>
      <c r="C42" s="303">
        <v>0</v>
      </c>
      <c r="D42" s="310">
        <f t="shared" si="0"/>
        <v>0</v>
      </c>
      <c r="E42" s="303">
        <v>0</v>
      </c>
      <c r="F42" s="307">
        <v>0</v>
      </c>
      <c r="G42" s="303">
        <v>0</v>
      </c>
      <c r="H42" s="303">
        <v>0</v>
      </c>
      <c r="I42" s="303">
        <v>0</v>
      </c>
      <c r="J42" s="307">
        <v>0</v>
      </c>
      <c r="K42" s="303">
        <v>0</v>
      </c>
      <c r="L42" s="301">
        <v>0</v>
      </c>
      <c r="M42" s="303">
        <v>0</v>
      </c>
      <c r="N42" s="303">
        <v>0</v>
      </c>
      <c r="O42" s="307">
        <v>0</v>
      </c>
      <c r="P42" s="303">
        <v>0</v>
      </c>
      <c r="Q42" s="301">
        <v>0</v>
      </c>
      <c r="R42" s="301">
        <v>0</v>
      </c>
      <c r="S42" s="301">
        <v>0</v>
      </c>
      <c r="T42" s="304">
        <v>0</v>
      </c>
      <c r="U42" s="301">
        <v>0</v>
      </c>
      <c r="V42" s="301">
        <v>0</v>
      </c>
      <c r="W42" s="301">
        <v>0</v>
      </c>
      <c r="X42" s="510">
        <v>0</v>
      </c>
      <c r="Y42" s="312">
        <f>AA42</f>
        <v>0</v>
      </c>
      <c r="Z42" s="301">
        <v>0</v>
      </c>
      <c r="AA42" s="303">
        <v>0</v>
      </c>
      <c r="AB42" s="301">
        <v>0</v>
      </c>
      <c r="AC42" s="304">
        <f>AF42</f>
        <v>0</v>
      </c>
      <c r="AD42" s="301">
        <v>0</v>
      </c>
      <c r="AE42" s="301">
        <v>0</v>
      </c>
      <c r="AF42" s="301">
        <v>0</v>
      </c>
      <c r="AG42" s="510">
        <v>0</v>
      </c>
      <c r="AH42" s="304">
        <v>0</v>
      </c>
      <c r="AI42" s="301">
        <v>0</v>
      </c>
      <c r="AJ42" s="301">
        <v>0</v>
      </c>
      <c r="AK42" s="301">
        <v>0</v>
      </c>
      <c r="AL42" s="306"/>
    </row>
    <row r="43" spans="1:59" s="266" customFormat="1" ht="220.2" customHeight="1" outlineLevel="1" x14ac:dyDescent="0.25">
      <c r="A43" s="303" t="s">
        <v>449</v>
      </c>
      <c r="B43" s="302" t="s">
        <v>423</v>
      </c>
      <c r="C43" s="303">
        <v>0</v>
      </c>
      <c r="D43" s="310">
        <f t="shared" si="0"/>
        <v>0</v>
      </c>
      <c r="E43" s="303">
        <v>0</v>
      </c>
      <c r="F43" s="307">
        <v>0</v>
      </c>
      <c r="G43" s="303">
        <v>0</v>
      </c>
      <c r="H43" s="303">
        <v>0</v>
      </c>
      <c r="I43" s="303">
        <v>0</v>
      </c>
      <c r="J43" s="307">
        <v>0</v>
      </c>
      <c r="K43" s="303">
        <v>0</v>
      </c>
      <c r="L43" s="301">
        <v>0</v>
      </c>
      <c r="M43" s="301">
        <v>0</v>
      </c>
      <c r="N43" s="301">
        <v>0</v>
      </c>
      <c r="O43" s="318">
        <v>0</v>
      </c>
      <c r="P43" s="311">
        <v>0</v>
      </c>
      <c r="Q43" s="311">
        <v>0</v>
      </c>
      <c r="R43" s="311">
        <v>0</v>
      </c>
      <c r="S43" s="311">
        <v>0</v>
      </c>
      <c r="T43" s="304">
        <v>0</v>
      </c>
      <c r="U43" s="301">
        <v>0</v>
      </c>
      <c r="V43" s="301">
        <v>0</v>
      </c>
      <c r="W43" s="301">
        <v>0</v>
      </c>
      <c r="X43" s="510">
        <v>0</v>
      </c>
      <c r="Y43" s="305">
        <v>0</v>
      </c>
      <c r="Z43" s="301">
        <v>0</v>
      </c>
      <c r="AA43" s="301">
        <v>0</v>
      </c>
      <c r="AB43" s="301">
        <v>0</v>
      </c>
      <c r="AC43" s="304">
        <f>AF43</f>
        <v>0</v>
      </c>
      <c r="AD43" s="301">
        <v>0</v>
      </c>
      <c r="AE43" s="301">
        <v>0</v>
      </c>
      <c r="AF43" s="301">
        <v>0</v>
      </c>
      <c r="AG43" s="510">
        <v>0</v>
      </c>
      <c r="AH43" s="304">
        <v>0</v>
      </c>
      <c r="AI43" s="301">
        <v>0</v>
      </c>
      <c r="AJ43" s="301">
        <v>0</v>
      </c>
      <c r="AK43" s="301">
        <v>0</v>
      </c>
      <c r="AL43" s="306"/>
    </row>
    <row r="44" spans="1:59" s="266" customFormat="1" ht="43.5" customHeight="1" outlineLevel="1" x14ac:dyDescent="0.25">
      <c r="A44" s="303" t="s">
        <v>450</v>
      </c>
      <c r="B44" s="302" t="s">
        <v>435</v>
      </c>
      <c r="C44" s="303">
        <v>0</v>
      </c>
      <c r="D44" s="310">
        <f t="shared" si="0"/>
        <v>0</v>
      </c>
      <c r="E44" s="303">
        <v>0</v>
      </c>
      <c r="F44" s="307">
        <v>0</v>
      </c>
      <c r="G44" s="303">
        <v>0</v>
      </c>
      <c r="H44" s="303">
        <v>0</v>
      </c>
      <c r="I44" s="303">
        <v>0</v>
      </c>
      <c r="J44" s="307">
        <v>0</v>
      </c>
      <c r="K44" s="303">
        <v>0</v>
      </c>
      <c r="L44" s="301">
        <v>0</v>
      </c>
      <c r="M44" s="301">
        <v>0</v>
      </c>
      <c r="N44" s="301">
        <v>0</v>
      </c>
      <c r="O44" s="318">
        <v>0</v>
      </c>
      <c r="P44" s="311">
        <v>0</v>
      </c>
      <c r="Q44" s="311">
        <v>0</v>
      </c>
      <c r="R44" s="311">
        <v>0</v>
      </c>
      <c r="S44" s="311">
        <v>0</v>
      </c>
      <c r="T44" s="304">
        <v>0</v>
      </c>
      <c r="U44" s="301">
        <v>0</v>
      </c>
      <c r="V44" s="301">
        <v>0</v>
      </c>
      <c r="W44" s="301">
        <v>0</v>
      </c>
      <c r="X44" s="510">
        <v>0</v>
      </c>
      <c r="Y44" s="305">
        <v>0</v>
      </c>
      <c r="Z44" s="301">
        <v>0</v>
      </c>
      <c r="AA44" s="301">
        <v>0</v>
      </c>
      <c r="AB44" s="301">
        <v>0</v>
      </c>
      <c r="AC44" s="304">
        <f>AF44</f>
        <v>0</v>
      </c>
      <c r="AD44" s="301">
        <v>0</v>
      </c>
      <c r="AE44" s="301">
        <v>0</v>
      </c>
      <c r="AF44" s="301">
        <v>0</v>
      </c>
      <c r="AG44" s="510">
        <v>0</v>
      </c>
      <c r="AH44" s="304">
        <v>0</v>
      </c>
      <c r="AI44" s="301">
        <v>0</v>
      </c>
      <c r="AJ44" s="301">
        <v>0</v>
      </c>
      <c r="AK44" s="301">
        <v>0</v>
      </c>
      <c r="AL44" s="306"/>
    </row>
    <row r="45" spans="1:59" s="266" customFormat="1" ht="49.35" customHeight="1" outlineLevel="1" x14ac:dyDescent="0.25">
      <c r="A45" s="303" t="s">
        <v>451</v>
      </c>
      <c r="B45" s="302" t="s">
        <v>452</v>
      </c>
      <c r="C45" s="303">
        <v>0</v>
      </c>
      <c r="D45" s="310">
        <f t="shared" si="0"/>
        <v>0</v>
      </c>
      <c r="E45" s="303">
        <v>0</v>
      </c>
      <c r="F45" s="307">
        <v>0</v>
      </c>
      <c r="G45" s="303">
        <v>0</v>
      </c>
      <c r="H45" s="303">
        <v>0</v>
      </c>
      <c r="I45" s="303">
        <v>0</v>
      </c>
      <c r="J45" s="307">
        <v>0</v>
      </c>
      <c r="K45" s="303">
        <v>0</v>
      </c>
      <c r="L45" s="301">
        <v>0</v>
      </c>
      <c r="M45" s="301">
        <v>0</v>
      </c>
      <c r="N45" s="301">
        <v>0</v>
      </c>
      <c r="O45" s="304">
        <v>0</v>
      </c>
      <c r="P45" s="301">
        <v>0</v>
      </c>
      <c r="Q45" s="301">
        <v>0</v>
      </c>
      <c r="R45" s="301">
        <v>0</v>
      </c>
      <c r="S45" s="301">
        <v>0</v>
      </c>
      <c r="T45" s="304">
        <v>0</v>
      </c>
      <c r="U45" s="301">
        <v>0</v>
      </c>
      <c r="V45" s="301">
        <v>0</v>
      </c>
      <c r="W45" s="301">
        <v>0</v>
      </c>
      <c r="X45" s="510">
        <v>0</v>
      </c>
      <c r="Y45" s="305">
        <v>0</v>
      </c>
      <c r="Z45" s="301">
        <v>0</v>
      </c>
      <c r="AA45" s="301">
        <v>0</v>
      </c>
      <c r="AB45" s="301">
        <v>0</v>
      </c>
      <c r="AC45" s="304">
        <f>AF45</f>
        <v>0</v>
      </c>
      <c r="AD45" s="301">
        <v>0</v>
      </c>
      <c r="AE45" s="301">
        <v>0</v>
      </c>
      <c r="AF45" s="301">
        <v>0</v>
      </c>
      <c r="AG45" s="510">
        <v>0</v>
      </c>
      <c r="AH45" s="304">
        <v>0</v>
      </c>
      <c r="AI45" s="301">
        <v>0</v>
      </c>
      <c r="AJ45" s="301">
        <v>0</v>
      </c>
      <c r="AK45" s="301">
        <v>0</v>
      </c>
      <c r="AL45" s="306"/>
    </row>
    <row r="46" spans="1:59" s="266" customFormat="1" ht="36.9" customHeight="1" outlineLevel="1" x14ac:dyDescent="0.25">
      <c r="A46" s="303" t="s">
        <v>453</v>
      </c>
      <c r="B46" s="302" t="s">
        <v>454</v>
      </c>
      <c r="C46" s="303">
        <v>0</v>
      </c>
      <c r="D46" s="310">
        <f t="shared" si="0"/>
        <v>0</v>
      </c>
      <c r="E46" s="303">
        <v>0</v>
      </c>
      <c r="F46" s="307">
        <v>0</v>
      </c>
      <c r="G46" s="303">
        <v>0</v>
      </c>
      <c r="H46" s="303">
        <v>0</v>
      </c>
      <c r="I46" s="303">
        <v>0</v>
      </c>
      <c r="J46" s="307">
        <v>0</v>
      </c>
      <c r="K46" s="303">
        <v>0</v>
      </c>
      <c r="L46" s="301">
        <v>0</v>
      </c>
      <c r="M46" s="301">
        <v>0</v>
      </c>
      <c r="N46" s="301">
        <v>0</v>
      </c>
      <c r="O46" s="304">
        <v>0</v>
      </c>
      <c r="P46" s="301">
        <v>0</v>
      </c>
      <c r="Q46" s="301">
        <v>0</v>
      </c>
      <c r="R46" s="301">
        <v>0</v>
      </c>
      <c r="S46" s="301">
        <v>0</v>
      </c>
      <c r="T46" s="304">
        <v>0</v>
      </c>
      <c r="U46" s="301">
        <v>0</v>
      </c>
      <c r="V46" s="301">
        <v>0</v>
      </c>
      <c r="W46" s="301">
        <v>0</v>
      </c>
      <c r="X46" s="510">
        <v>0</v>
      </c>
      <c r="Y46" s="305">
        <v>0</v>
      </c>
      <c r="Z46" s="301">
        <v>0</v>
      </c>
      <c r="AA46" s="301">
        <v>0</v>
      </c>
      <c r="AB46" s="301">
        <v>0</v>
      </c>
      <c r="AC46" s="304">
        <v>0</v>
      </c>
      <c r="AD46" s="301">
        <v>0</v>
      </c>
      <c r="AE46" s="301">
        <v>0</v>
      </c>
      <c r="AF46" s="301">
        <v>0</v>
      </c>
      <c r="AG46" s="510">
        <v>0</v>
      </c>
      <c r="AH46" s="304">
        <v>0</v>
      </c>
      <c r="AI46" s="301">
        <v>0</v>
      </c>
      <c r="AJ46" s="301">
        <v>0</v>
      </c>
      <c r="AK46" s="301">
        <v>0</v>
      </c>
      <c r="AL46" s="306"/>
    </row>
    <row r="47" spans="1:59" s="265" customFormat="1" ht="181.2" customHeight="1" outlineLevel="1" x14ac:dyDescent="0.3">
      <c r="A47" s="431" t="s">
        <v>455</v>
      </c>
      <c r="B47" s="432" t="s">
        <v>456</v>
      </c>
      <c r="C47" s="431">
        <v>0</v>
      </c>
      <c r="D47" s="431">
        <f t="shared" si="0"/>
        <v>0</v>
      </c>
      <c r="E47" s="431">
        <f>G47+L47+Q47+V47+Z47+AE47+AJ47</f>
        <v>0</v>
      </c>
      <c r="F47" s="431">
        <f>F48++F49+F50+F51+F52</f>
        <v>0</v>
      </c>
      <c r="G47" s="431">
        <f t="shared" ref="G47:AJ47" si="9">G48++G49+G50+G51+G52</f>
        <v>0</v>
      </c>
      <c r="H47" s="431">
        <f t="shared" si="9"/>
        <v>0</v>
      </c>
      <c r="I47" s="431">
        <f t="shared" si="9"/>
        <v>0</v>
      </c>
      <c r="J47" s="431">
        <f t="shared" si="9"/>
        <v>0</v>
      </c>
      <c r="K47" s="431">
        <v>0</v>
      </c>
      <c r="L47" s="431">
        <f t="shared" si="9"/>
        <v>0</v>
      </c>
      <c r="M47" s="431">
        <f t="shared" si="9"/>
        <v>0</v>
      </c>
      <c r="N47" s="431">
        <f t="shared" si="9"/>
        <v>0</v>
      </c>
      <c r="O47" s="431">
        <f t="shared" si="9"/>
        <v>0</v>
      </c>
      <c r="P47" s="431">
        <v>0</v>
      </c>
      <c r="Q47" s="431">
        <f t="shared" si="9"/>
        <v>0</v>
      </c>
      <c r="R47" s="431">
        <f t="shared" si="9"/>
        <v>0</v>
      </c>
      <c r="S47" s="431">
        <f t="shared" si="9"/>
        <v>0</v>
      </c>
      <c r="T47" s="431">
        <f t="shared" si="9"/>
        <v>0</v>
      </c>
      <c r="U47" s="431">
        <v>0</v>
      </c>
      <c r="V47" s="433">
        <f t="shared" si="9"/>
        <v>0</v>
      </c>
      <c r="W47" s="433">
        <f t="shared" si="9"/>
        <v>0</v>
      </c>
      <c r="X47" s="481">
        <f t="shared" si="9"/>
        <v>0</v>
      </c>
      <c r="Y47" s="433">
        <f t="shared" si="9"/>
        <v>0</v>
      </c>
      <c r="Z47" s="431">
        <f t="shared" si="9"/>
        <v>0</v>
      </c>
      <c r="AA47" s="431">
        <f t="shared" si="9"/>
        <v>0</v>
      </c>
      <c r="AB47" s="431">
        <f t="shared" si="9"/>
        <v>0</v>
      </c>
      <c r="AC47" s="431">
        <f t="shared" si="9"/>
        <v>0</v>
      </c>
      <c r="AD47" s="433">
        <v>0</v>
      </c>
      <c r="AE47" s="431">
        <f t="shared" si="9"/>
        <v>0</v>
      </c>
      <c r="AF47" s="431">
        <f t="shared" si="9"/>
        <v>0</v>
      </c>
      <c r="AG47" s="481">
        <f t="shared" si="9"/>
        <v>0</v>
      </c>
      <c r="AH47" s="431">
        <v>0</v>
      </c>
      <c r="AI47" s="431">
        <v>0</v>
      </c>
      <c r="AJ47" s="431">
        <f t="shared" si="9"/>
        <v>0</v>
      </c>
      <c r="AK47" s="431">
        <v>0</v>
      </c>
      <c r="AL47" s="299"/>
      <c r="AM47" s="206"/>
      <c r="AN47" s="206"/>
      <c r="AO47" s="206"/>
      <c r="AP47" s="206"/>
      <c r="AQ47" s="206"/>
      <c r="AR47" s="206"/>
      <c r="AS47" s="206"/>
      <c r="AT47" s="206"/>
      <c r="AU47" s="206"/>
      <c r="AV47" s="206"/>
      <c r="AW47" s="206"/>
      <c r="AX47" s="206"/>
      <c r="AY47" s="206"/>
      <c r="AZ47" s="206"/>
      <c r="BA47" s="206"/>
      <c r="BB47" s="206"/>
      <c r="BC47" s="206"/>
      <c r="BD47" s="206"/>
      <c r="BE47" s="206"/>
      <c r="BF47" s="206"/>
      <c r="BG47" s="206"/>
    </row>
    <row r="48" spans="1:59" s="266" customFormat="1" ht="182.4" customHeight="1" outlineLevel="1" x14ac:dyDescent="0.25">
      <c r="A48" s="303" t="s">
        <v>457</v>
      </c>
      <c r="B48" s="302" t="s">
        <v>458</v>
      </c>
      <c r="C48" s="303">
        <v>0</v>
      </c>
      <c r="D48" s="310">
        <f t="shared" si="0"/>
        <v>0</v>
      </c>
      <c r="E48" s="303">
        <v>0</v>
      </c>
      <c r="F48" s="307">
        <v>0</v>
      </c>
      <c r="G48" s="303">
        <v>0</v>
      </c>
      <c r="H48" s="303">
        <v>0</v>
      </c>
      <c r="I48" s="303">
        <v>0</v>
      </c>
      <c r="J48" s="304">
        <v>0</v>
      </c>
      <c r="K48" s="303">
        <v>0</v>
      </c>
      <c r="L48" s="301">
        <v>0</v>
      </c>
      <c r="M48" s="301">
        <v>0</v>
      </c>
      <c r="N48" s="301">
        <v>0</v>
      </c>
      <c r="O48" s="304">
        <v>0</v>
      </c>
      <c r="P48" s="301">
        <v>0</v>
      </c>
      <c r="Q48" s="301">
        <v>0</v>
      </c>
      <c r="R48" s="301">
        <v>0</v>
      </c>
      <c r="S48" s="301">
        <v>0</v>
      </c>
      <c r="T48" s="304">
        <v>0</v>
      </c>
      <c r="U48" s="301">
        <v>0</v>
      </c>
      <c r="V48" s="301">
        <v>0</v>
      </c>
      <c r="W48" s="301">
        <v>0</v>
      </c>
      <c r="X48" s="510">
        <v>0</v>
      </c>
      <c r="Y48" s="305">
        <f>AA48</f>
        <v>0</v>
      </c>
      <c r="Z48" s="301">
        <v>0</v>
      </c>
      <c r="AA48" s="301">
        <v>0</v>
      </c>
      <c r="AB48" s="301">
        <v>0</v>
      </c>
      <c r="AC48" s="304">
        <f>AF48</f>
        <v>0</v>
      </c>
      <c r="AD48" s="301">
        <v>0</v>
      </c>
      <c r="AE48" s="301">
        <v>0</v>
      </c>
      <c r="AF48" s="301">
        <v>0</v>
      </c>
      <c r="AG48" s="510">
        <v>0</v>
      </c>
      <c r="AH48" s="304">
        <v>0</v>
      </c>
      <c r="AI48" s="301">
        <v>0</v>
      </c>
      <c r="AJ48" s="301">
        <v>0</v>
      </c>
      <c r="AK48" s="301">
        <v>0</v>
      </c>
      <c r="AL48" s="306"/>
    </row>
    <row r="49" spans="1:65" s="266" customFormat="1" ht="230.4" customHeight="1" outlineLevel="1" x14ac:dyDescent="0.25">
      <c r="A49" s="303" t="s">
        <v>459</v>
      </c>
      <c r="B49" s="302" t="s">
        <v>423</v>
      </c>
      <c r="C49" s="303">
        <v>0</v>
      </c>
      <c r="D49" s="310">
        <f t="shared" si="0"/>
        <v>0</v>
      </c>
      <c r="E49" s="303">
        <v>0</v>
      </c>
      <c r="F49" s="307">
        <v>0</v>
      </c>
      <c r="G49" s="303">
        <v>0</v>
      </c>
      <c r="H49" s="303">
        <v>0</v>
      </c>
      <c r="I49" s="303">
        <v>0</v>
      </c>
      <c r="J49" s="304">
        <v>0</v>
      </c>
      <c r="K49" s="301">
        <v>0</v>
      </c>
      <c r="L49" s="301">
        <v>0</v>
      </c>
      <c r="M49" s="301">
        <v>0</v>
      </c>
      <c r="N49" s="301">
        <v>0</v>
      </c>
      <c r="O49" s="304">
        <v>0</v>
      </c>
      <c r="P49" s="301">
        <v>0</v>
      </c>
      <c r="Q49" s="301">
        <v>0</v>
      </c>
      <c r="R49" s="301">
        <v>0</v>
      </c>
      <c r="S49" s="301">
        <v>0</v>
      </c>
      <c r="T49" s="304">
        <v>0</v>
      </c>
      <c r="U49" s="301">
        <v>0</v>
      </c>
      <c r="V49" s="301">
        <v>0</v>
      </c>
      <c r="W49" s="301">
        <v>0</v>
      </c>
      <c r="X49" s="510">
        <v>0</v>
      </c>
      <c r="Y49" s="305">
        <v>0</v>
      </c>
      <c r="Z49" s="301">
        <v>0</v>
      </c>
      <c r="AA49" s="301">
        <v>0</v>
      </c>
      <c r="AB49" s="301">
        <v>0</v>
      </c>
      <c r="AC49" s="318">
        <v>0</v>
      </c>
      <c r="AD49" s="311">
        <v>0</v>
      </c>
      <c r="AE49" s="311">
        <v>0</v>
      </c>
      <c r="AF49" s="311">
        <v>0</v>
      </c>
      <c r="AG49" s="493">
        <v>0</v>
      </c>
      <c r="AH49" s="304">
        <v>0</v>
      </c>
      <c r="AI49" s="301">
        <v>0</v>
      </c>
      <c r="AJ49" s="301">
        <v>0</v>
      </c>
      <c r="AK49" s="301">
        <v>0</v>
      </c>
      <c r="AL49" s="306"/>
    </row>
    <row r="50" spans="1:65" s="266" customFormat="1" ht="40.35" customHeight="1" outlineLevel="1" x14ac:dyDescent="0.25">
      <c r="A50" s="303" t="s">
        <v>459</v>
      </c>
      <c r="B50" s="302" t="s">
        <v>435</v>
      </c>
      <c r="C50" s="303">
        <v>0</v>
      </c>
      <c r="D50" s="310">
        <f t="shared" si="0"/>
        <v>0</v>
      </c>
      <c r="E50" s="303">
        <v>0</v>
      </c>
      <c r="F50" s="307">
        <v>0</v>
      </c>
      <c r="G50" s="303">
        <v>0</v>
      </c>
      <c r="H50" s="303">
        <v>0</v>
      </c>
      <c r="I50" s="303">
        <v>0</v>
      </c>
      <c r="J50" s="304">
        <v>0</v>
      </c>
      <c r="K50" s="301">
        <v>0</v>
      </c>
      <c r="L50" s="301">
        <v>0</v>
      </c>
      <c r="M50" s="301">
        <v>0</v>
      </c>
      <c r="N50" s="301">
        <v>0</v>
      </c>
      <c r="O50" s="304">
        <v>0</v>
      </c>
      <c r="P50" s="301">
        <v>0</v>
      </c>
      <c r="Q50" s="301">
        <v>0</v>
      </c>
      <c r="R50" s="301">
        <v>0</v>
      </c>
      <c r="S50" s="301">
        <v>0</v>
      </c>
      <c r="T50" s="304">
        <v>0</v>
      </c>
      <c r="U50" s="301">
        <v>0</v>
      </c>
      <c r="V50" s="301">
        <v>0</v>
      </c>
      <c r="W50" s="301">
        <v>0</v>
      </c>
      <c r="X50" s="510">
        <v>0</v>
      </c>
      <c r="Y50" s="305">
        <v>0</v>
      </c>
      <c r="Z50" s="301">
        <v>0</v>
      </c>
      <c r="AA50" s="301">
        <v>0</v>
      </c>
      <c r="AB50" s="301">
        <v>0</v>
      </c>
      <c r="AC50" s="318">
        <v>0</v>
      </c>
      <c r="AD50" s="311">
        <v>0</v>
      </c>
      <c r="AE50" s="311">
        <v>0</v>
      </c>
      <c r="AF50" s="311">
        <v>0</v>
      </c>
      <c r="AG50" s="493">
        <v>0</v>
      </c>
      <c r="AH50" s="304">
        <v>0</v>
      </c>
      <c r="AI50" s="301">
        <v>0</v>
      </c>
      <c r="AJ50" s="301">
        <v>0</v>
      </c>
      <c r="AK50" s="301">
        <v>0</v>
      </c>
      <c r="AL50" s="306"/>
    </row>
    <row r="51" spans="1:65" s="266" customFormat="1" ht="107.4" customHeight="1" outlineLevel="1" x14ac:dyDescent="0.25">
      <c r="A51" s="303" t="s">
        <v>460</v>
      </c>
      <c r="B51" s="302" t="s">
        <v>1382</v>
      </c>
      <c r="C51" s="303">
        <v>0</v>
      </c>
      <c r="D51" s="310">
        <f t="shared" si="0"/>
        <v>0</v>
      </c>
      <c r="E51" s="303">
        <v>0</v>
      </c>
      <c r="F51" s="307">
        <v>0</v>
      </c>
      <c r="G51" s="303">
        <v>0</v>
      </c>
      <c r="H51" s="303">
        <v>0</v>
      </c>
      <c r="I51" s="303">
        <v>0</v>
      </c>
      <c r="J51" s="304">
        <v>0</v>
      </c>
      <c r="K51" s="301">
        <v>0</v>
      </c>
      <c r="L51" s="301">
        <v>0</v>
      </c>
      <c r="M51" s="301">
        <v>0</v>
      </c>
      <c r="N51" s="301">
        <v>0</v>
      </c>
      <c r="O51" s="304">
        <v>0</v>
      </c>
      <c r="P51" s="301">
        <v>0</v>
      </c>
      <c r="Q51" s="301">
        <v>0</v>
      </c>
      <c r="R51" s="301">
        <v>0</v>
      </c>
      <c r="S51" s="301">
        <v>0</v>
      </c>
      <c r="T51" s="304">
        <v>0</v>
      </c>
      <c r="U51" s="301">
        <v>0</v>
      </c>
      <c r="V51" s="301">
        <v>0</v>
      </c>
      <c r="W51" s="301">
        <v>0</v>
      </c>
      <c r="X51" s="510">
        <v>0</v>
      </c>
      <c r="Y51" s="305">
        <v>0</v>
      </c>
      <c r="Z51" s="301">
        <v>0</v>
      </c>
      <c r="AA51" s="301">
        <v>0</v>
      </c>
      <c r="AB51" s="301">
        <v>0</v>
      </c>
      <c r="AC51" s="313">
        <v>0</v>
      </c>
      <c r="AD51" s="314">
        <v>0</v>
      </c>
      <c r="AE51" s="314">
        <v>0</v>
      </c>
      <c r="AF51" s="314">
        <v>0</v>
      </c>
      <c r="AG51" s="511">
        <v>0</v>
      </c>
      <c r="AH51" s="304">
        <v>0</v>
      </c>
      <c r="AI51" s="301">
        <v>0</v>
      </c>
      <c r="AJ51" s="301">
        <v>0</v>
      </c>
      <c r="AK51" s="301">
        <v>0</v>
      </c>
      <c r="AL51" s="306"/>
    </row>
    <row r="52" spans="1:65" s="266" customFormat="1" ht="40.35" customHeight="1" outlineLevel="1" x14ac:dyDescent="0.25">
      <c r="A52" s="303" t="s">
        <v>461</v>
      </c>
      <c r="B52" s="302" t="s">
        <v>425</v>
      </c>
      <c r="C52" s="303">
        <v>0</v>
      </c>
      <c r="D52" s="310">
        <f t="shared" si="0"/>
        <v>0</v>
      </c>
      <c r="E52" s="303">
        <v>0</v>
      </c>
      <c r="F52" s="307">
        <v>0</v>
      </c>
      <c r="G52" s="303">
        <v>0</v>
      </c>
      <c r="H52" s="303">
        <v>0</v>
      </c>
      <c r="I52" s="303">
        <v>0</v>
      </c>
      <c r="J52" s="307">
        <v>0</v>
      </c>
      <c r="K52" s="303">
        <v>0</v>
      </c>
      <c r="L52" s="301">
        <v>0</v>
      </c>
      <c r="M52" s="301">
        <v>0</v>
      </c>
      <c r="N52" s="301">
        <v>0</v>
      </c>
      <c r="O52" s="304">
        <v>0</v>
      </c>
      <c r="P52" s="301">
        <v>0</v>
      </c>
      <c r="Q52" s="301">
        <v>0</v>
      </c>
      <c r="R52" s="301">
        <v>0</v>
      </c>
      <c r="S52" s="301">
        <v>0</v>
      </c>
      <c r="T52" s="304">
        <v>0</v>
      </c>
      <c r="U52" s="301">
        <v>0</v>
      </c>
      <c r="V52" s="301">
        <v>0</v>
      </c>
      <c r="W52" s="301">
        <v>0</v>
      </c>
      <c r="X52" s="510">
        <v>0</v>
      </c>
      <c r="Y52" s="305">
        <v>0</v>
      </c>
      <c r="Z52" s="301">
        <v>0</v>
      </c>
      <c r="AA52" s="301">
        <v>0</v>
      </c>
      <c r="AB52" s="301">
        <v>0</v>
      </c>
      <c r="AC52" s="313">
        <v>0</v>
      </c>
      <c r="AD52" s="314">
        <v>0</v>
      </c>
      <c r="AE52" s="314">
        <v>0</v>
      </c>
      <c r="AF52" s="314">
        <v>0</v>
      </c>
      <c r="AG52" s="511">
        <v>0</v>
      </c>
      <c r="AH52" s="304">
        <v>0</v>
      </c>
      <c r="AI52" s="301">
        <v>0</v>
      </c>
      <c r="AJ52" s="301">
        <v>0</v>
      </c>
      <c r="AK52" s="301">
        <v>0</v>
      </c>
      <c r="AL52" s="306"/>
    </row>
    <row r="53" spans="1:65" s="265" customFormat="1" ht="178.2" customHeight="1" outlineLevel="1" x14ac:dyDescent="0.3">
      <c r="A53" s="431" t="s">
        <v>462</v>
      </c>
      <c r="B53" s="480" t="s">
        <v>1481</v>
      </c>
      <c r="C53" s="431">
        <v>0</v>
      </c>
      <c r="D53" s="431">
        <f t="shared" si="0"/>
        <v>0</v>
      </c>
      <c r="E53" s="431">
        <v>0</v>
      </c>
      <c r="F53" s="431">
        <f>F54+F55+F56+F57+F58</f>
        <v>0</v>
      </c>
      <c r="G53" s="431">
        <f t="shared" ref="G53:AG53" si="10">G54+G55+G56+G57+G58</f>
        <v>0</v>
      </c>
      <c r="H53" s="431">
        <f t="shared" si="10"/>
        <v>0</v>
      </c>
      <c r="I53" s="431">
        <f t="shared" si="10"/>
        <v>0</v>
      </c>
      <c r="J53" s="431">
        <f t="shared" si="10"/>
        <v>0</v>
      </c>
      <c r="K53" s="431">
        <v>0</v>
      </c>
      <c r="L53" s="431">
        <f t="shared" si="10"/>
        <v>0</v>
      </c>
      <c r="M53" s="431">
        <f t="shared" si="10"/>
        <v>0</v>
      </c>
      <c r="N53" s="431">
        <f t="shared" si="10"/>
        <v>0</v>
      </c>
      <c r="O53" s="431">
        <f t="shared" si="10"/>
        <v>0</v>
      </c>
      <c r="P53" s="431">
        <v>0</v>
      </c>
      <c r="Q53" s="431">
        <f t="shared" si="10"/>
        <v>0</v>
      </c>
      <c r="R53" s="431">
        <f t="shared" si="10"/>
        <v>0</v>
      </c>
      <c r="S53" s="431">
        <f t="shared" si="10"/>
        <v>0</v>
      </c>
      <c r="T53" s="431">
        <f t="shared" si="10"/>
        <v>0</v>
      </c>
      <c r="U53" s="431">
        <v>0</v>
      </c>
      <c r="V53" s="433">
        <f t="shared" si="10"/>
        <v>0</v>
      </c>
      <c r="W53" s="433">
        <f t="shared" si="10"/>
        <v>0</v>
      </c>
      <c r="X53" s="481">
        <f t="shared" si="10"/>
        <v>0</v>
      </c>
      <c r="Y53" s="433">
        <f t="shared" si="10"/>
        <v>0</v>
      </c>
      <c r="Z53" s="431">
        <f t="shared" si="10"/>
        <v>0</v>
      </c>
      <c r="AA53" s="431">
        <f t="shared" si="10"/>
        <v>0</v>
      </c>
      <c r="AB53" s="431">
        <f t="shared" si="10"/>
        <v>0</v>
      </c>
      <c r="AC53" s="431">
        <f t="shared" si="10"/>
        <v>0</v>
      </c>
      <c r="AD53" s="433">
        <v>0</v>
      </c>
      <c r="AE53" s="431">
        <f t="shared" si="10"/>
        <v>0</v>
      </c>
      <c r="AF53" s="431">
        <f t="shared" si="10"/>
        <v>0</v>
      </c>
      <c r="AG53" s="481">
        <f t="shared" si="10"/>
        <v>0</v>
      </c>
      <c r="AH53" s="431">
        <v>0</v>
      </c>
      <c r="AI53" s="431">
        <v>0</v>
      </c>
      <c r="AJ53" s="431">
        <f t="shared" ref="AJ53" si="11">AJ54+AJ55+AJ56+AJ57+AJ58</f>
        <v>0</v>
      </c>
      <c r="AK53" s="431">
        <v>0</v>
      </c>
      <c r="AL53" s="299"/>
      <c r="AM53" s="206"/>
      <c r="AN53" s="206"/>
      <c r="AO53" s="206"/>
      <c r="AP53" s="206"/>
      <c r="AQ53" s="206"/>
      <c r="AR53" s="206"/>
      <c r="AS53" s="206"/>
      <c r="AT53" s="206"/>
      <c r="AU53" s="206"/>
      <c r="AV53" s="206"/>
      <c r="AW53" s="206"/>
      <c r="AX53" s="206"/>
      <c r="AY53" s="206"/>
      <c r="AZ53" s="206"/>
      <c r="BA53" s="206"/>
      <c r="BB53" s="206"/>
      <c r="BC53" s="206"/>
      <c r="BD53" s="206"/>
    </row>
    <row r="54" spans="1:65" s="266" customFormat="1" ht="187.95" customHeight="1" outlineLevel="1" x14ac:dyDescent="0.25">
      <c r="A54" s="303" t="s">
        <v>463</v>
      </c>
      <c r="B54" s="302" t="s">
        <v>464</v>
      </c>
      <c r="C54" s="303">
        <v>0</v>
      </c>
      <c r="D54" s="310">
        <f t="shared" si="0"/>
        <v>0</v>
      </c>
      <c r="E54" s="303">
        <v>0</v>
      </c>
      <c r="F54" s="307">
        <v>0</v>
      </c>
      <c r="G54" s="303">
        <v>0</v>
      </c>
      <c r="H54" s="303">
        <v>0</v>
      </c>
      <c r="I54" s="303">
        <v>0</v>
      </c>
      <c r="J54" s="307">
        <v>0</v>
      </c>
      <c r="K54" s="303">
        <v>0</v>
      </c>
      <c r="L54" s="301">
        <v>0</v>
      </c>
      <c r="M54" s="301">
        <v>0</v>
      </c>
      <c r="N54" s="301">
        <v>0</v>
      </c>
      <c r="O54" s="304">
        <v>0</v>
      </c>
      <c r="P54" s="301">
        <v>0</v>
      </c>
      <c r="Q54" s="301">
        <v>0</v>
      </c>
      <c r="R54" s="301">
        <v>0</v>
      </c>
      <c r="S54" s="301">
        <v>0</v>
      </c>
      <c r="T54" s="304">
        <v>0</v>
      </c>
      <c r="U54" s="301">
        <v>0</v>
      </c>
      <c r="V54" s="301">
        <v>0</v>
      </c>
      <c r="W54" s="301">
        <v>0</v>
      </c>
      <c r="X54" s="510">
        <v>0</v>
      </c>
      <c r="Y54" s="305">
        <f>AA54</f>
        <v>0</v>
      </c>
      <c r="Z54" s="301">
        <v>0</v>
      </c>
      <c r="AA54" s="301">
        <v>0</v>
      </c>
      <c r="AB54" s="301">
        <v>0</v>
      </c>
      <c r="AC54" s="304">
        <f>AF54</f>
        <v>0</v>
      </c>
      <c r="AD54" s="301">
        <v>0</v>
      </c>
      <c r="AE54" s="301">
        <v>0</v>
      </c>
      <c r="AF54" s="301">
        <v>0</v>
      </c>
      <c r="AG54" s="510">
        <v>0</v>
      </c>
      <c r="AH54" s="304">
        <v>0</v>
      </c>
      <c r="AI54" s="301">
        <v>0</v>
      </c>
      <c r="AJ54" s="301">
        <v>0</v>
      </c>
      <c r="AK54" s="301">
        <v>0</v>
      </c>
      <c r="AL54" s="306"/>
    </row>
    <row r="55" spans="1:65" s="266" customFormat="1" ht="225.6" customHeight="1" outlineLevel="1" x14ac:dyDescent="0.25">
      <c r="A55" s="303" t="s">
        <v>465</v>
      </c>
      <c r="B55" s="302" t="s">
        <v>423</v>
      </c>
      <c r="C55" s="303">
        <v>0</v>
      </c>
      <c r="D55" s="310">
        <f t="shared" si="0"/>
        <v>0</v>
      </c>
      <c r="E55" s="303">
        <v>0</v>
      </c>
      <c r="F55" s="307">
        <v>0</v>
      </c>
      <c r="G55" s="303">
        <v>0</v>
      </c>
      <c r="H55" s="303">
        <v>0</v>
      </c>
      <c r="I55" s="303">
        <v>0</v>
      </c>
      <c r="J55" s="307">
        <v>0</v>
      </c>
      <c r="K55" s="303">
        <v>0</v>
      </c>
      <c r="L55" s="301">
        <v>0</v>
      </c>
      <c r="M55" s="301">
        <v>0</v>
      </c>
      <c r="N55" s="301">
        <v>0</v>
      </c>
      <c r="O55" s="304">
        <v>0</v>
      </c>
      <c r="P55" s="301">
        <v>0</v>
      </c>
      <c r="Q55" s="301">
        <v>0</v>
      </c>
      <c r="R55" s="301">
        <v>0</v>
      </c>
      <c r="S55" s="301">
        <v>0</v>
      </c>
      <c r="T55" s="313">
        <v>0</v>
      </c>
      <c r="U55" s="314">
        <v>0</v>
      </c>
      <c r="V55" s="314">
        <v>0</v>
      </c>
      <c r="W55" s="301">
        <v>0</v>
      </c>
      <c r="X55" s="510">
        <v>0</v>
      </c>
      <c r="Y55" s="305">
        <v>0</v>
      </c>
      <c r="Z55" s="301">
        <v>0</v>
      </c>
      <c r="AA55" s="301">
        <v>0</v>
      </c>
      <c r="AB55" s="301">
        <v>0</v>
      </c>
      <c r="AC55" s="304">
        <f>AF55</f>
        <v>0</v>
      </c>
      <c r="AD55" s="301">
        <v>0</v>
      </c>
      <c r="AE55" s="301">
        <v>0</v>
      </c>
      <c r="AF55" s="301">
        <v>0</v>
      </c>
      <c r="AG55" s="510">
        <v>0</v>
      </c>
      <c r="AH55" s="304">
        <v>0</v>
      </c>
      <c r="AI55" s="301">
        <v>0</v>
      </c>
      <c r="AJ55" s="301">
        <v>0</v>
      </c>
      <c r="AK55" s="301">
        <v>0</v>
      </c>
      <c r="AL55" s="306"/>
    </row>
    <row r="56" spans="1:65" s="266" customFormat="1" ht="44.4" customHeight="1" outlineLevel="1" x14ac:dyDescent="0.25">
      <c r="A56" s="303" t="s">
        <v>466</v>
      </c>
      <c r="B56" s="302" t="s">
        <v>435</v>
      </c>
      <c r="C56" s="303">
        <v>0</v>
      </c>
      <c r="D56" s="310">
        <f t="shared" si="0"/>
        <v>0</v>
      </c>
      <c r="E56" s="303">
        <v>0</v>
      </c>
      <c r="F56" s="307">
        <v>0</v>
      </c>
      <c r="G56" s="303">
        <v>0</v>
      </c>
      <c r="H56" s="303">
        <v>0</v>
      </c>
      <c r="I56" s="303">
        <v>0</v>
      </c>
      <c r="J56" s="307">
        <v>0</v>
      </c>
      <c r="K56" s="303">
        <v>0</v>
      </c>
      <c r="L56" s="301">
        <v>0</v>
      </c>
      <c r="M56" s="301">
        <v>0</v>
      </c>
      <c r="N56" s="301">
        <v>0</v>
      </c>
      <c r="O56" s="304">
        <v>0</v>
      </c>
      <c r="P56" s="301">
        <v>0</v>
      </c>
      <c r="Q56" s="301">
        <v>0</v>
      </c>
      <c r="R56" s="301">
        <v>0</v>
      </c>
      <c r="S56" s="301">
        <v>0</v>
      </c>
      <c r="T56" s="313">
        <v>0</v>
      </c>
      <c r="U56" s="314">
        <v>0</v>
      </c>
      <c r="V56" s="314">
        <v>0</v>
      </c>
      <c r="W56" s="301">
        <v>0</v>
      </c>
      <c r="X56" s="510">
        <v>0</v>
      </c>
      <c r="Y56" s="305">
        <v>0</v>
      </c>
      <c r="Z56" s="301">
        <v>0</v>
      </c>
      <c r="AA56" s="301">
        <v>0</v>
      </c>
      <c r="AB56" s="301">
        <v>0</v>
      </c>
      <c r="AC56" s="304">
        <v>0</v>
      </c>
      <c r="AD56" s="301">
        <v>0</v>
      </c>
      <c r="AE56" s="301">
        <v>0</v>
      </c>
      <c r="AF56" s="301">
        <v>0</v>
      </c>
      <c r="AG56" s="510">
        <v>0</v>
      </c>
      <c r="AH56" s="304">
        <v>0</v>
      </c>
      <c r="AI56" s="301">
        <v>0</v>
      </c>
      <c r="AJ56" s="301">
        <v>0</v>
      </c>
      <c r="AK56" s="301">
        <v>0</v>
      </c>
      <c r="AL56" s="306"/>
    </row>
    <row r="57" spans="1:65" s="266" customFormat="1" ht="118.2" customHeight="1" outlineLevel="1" x14ac:dyDescent="0.25">
      <c r="A57" s="303" t="s">
        <v>467</v>
      </c>
      <c r="B57" s="302" t="s">
        <v>1384</v>
      </c>
      <c r="C57" s="303">
        <v>0</v>
      </c>
      <c r="D57" s="310">
        <f t="shared" si="0"/>
        <v>0</v>
      </c>
      <c r="E57" s="303">
        <v>0</v>
      </c>
      <c r="F57" s="307">
        <v>0</v>
      </c>
      <c r="G57" s="303">
        <v>0</v>
      </c>
      <c r="H57" s="303">
        <v>0</v>
      </c>
      <c r="I57" s="303">
        <v>0</v>
      </c>
      <c r="J57" s="307">
        <v>0</v>
      </c>
      <c r="K57" s="303">
        <v>0</v>
      </c>
      <c r="L57" s="301">
        <v>0</v>
      </c>
      <c r="M57" s="301">
        <v>0</v>
      </c>
      <c r="N57" s="301">
        <v>0</v>
      </c>
      <c r="O57" s="304">
        <v>0</v>
      </c>
      <c r="P57" s="301">
        <v>0</v>
      </c>
      <c r="Q57" s="301">
        <v>0</v>
      </c>
      <c r="R57" s="301">
        <v>0</v>
      </c>
      <c r="S57" s="301">
        <v>0</v>
      </c>
      <c r="T57" s="313">
        <v>0</v>
      </c>
      <c r="U57" s="314">
        <v>0</v>
      </c>
      <c r="V57" s="314">
        <v>0</v>
      </c>
      <c r="W57" s="301">
        <v>0</v>
      </c>
      <c r="X57" s="510">
        <v>0</v>
      </c>
      <c r="Y57" s="305">
        <f>AA57</f>
        <v>0</v>
      </c>
      <c r="Z57" s="301">
        <v>0</v>
      </c>
      <c r="AA57" s="301">
        <v>0</v>
      </c>
      <c r="AB57" s="301">
        <v>0</v>
      </c>
      <c r="AC57" s="304">
        <f>AF57</f>
        <v>0</v>
      </c>
      <c r="AD57" s="301">
        <v>0</v>
      </c>
      <c r="AE57" s="301">
        <v>0</v>
      </c>
      <c r="AF57" s="301">
        <v>0</v>
      </c>
      <c r="AG57" s="510">
        <v>0</v>
      </c>
      <c r="AH57" s="304">
        <v>0</v>
      </c>
      <c r="AI57" s="301">
        <v>0</v>
      </c>
      <c r="AJ57" s="301">
        <v>0</v>
      </c>
      <c r="AK57" s="301">
        <v>0</v>
      </c>
      <c r="AL57" s="306"/>
    </row>
    <row r="58" spans="1:65" s="266" customFormat="1" ht="44.4" customHeight="1" outlineLevel="1" x14ac:dyDescent="0.25">
      <c r="A58" s="303" t="s">
        <v>468</v>
      </c>
      <c r="B58" s="302" t="s">
        <v>425</v>
      </c>
      <c r="C58" s="303">
        <v>0</v>
      </c>
      <c r="D58" s="310">
        <f t="shared" si="0"/>
        <v>0</v>
      </c>
      <c r="E58" s="303">
        <v>0</v>
      </c>
      <c r="F58" s="307">
        <v>0</v>
      </c>
      <c r="G58" s="303">
        <v>0</v>
      </c>
      <c r="H58" s="303">
        <v>0</v>
      </c>
      <c r="I58" s="303">
        <v>0</v>
      </c>
      <c r="J58" s="307">
        <v>0</v>
      </c>
      <c r="K58" s="303"/>
      <c r="L58" s="301">
        <v>0</v>
      </c>
      <c r="M58" s="301">
        <v>0</v>
      </c>
      <c r="N58" s="301">
        <v>0</v>
      </c>
      <c r="O58" s="304">
        <v>0</v>
      </c>
      <c r="P58" s="301">
        <v>0</v>
      </c>
      <c r="Q58" s="301">
        <v>0</v>
      </c>
      <c r="R58" s="301">
        <v>0</v>
      </c>
      <c r="S58" s="301">
        <v>0</v>
      </c>
      <c r="T58" s="313">
        <v>0</v>
      </c>
      <c r="U58" s="314">
        <v>0</v>
      </c>
      <c r="V58" s="314">
        <v>0</v>
      </c>
      <c r="W58" s="301">
        <v>0</v>
      </c>
      <c r="X58" s="510">
        <v>0</v>
      </c>
      <c r="Y58" s="305">
        <v>0</v>
      </c>
      <c r="Z58" s="301">
        <v>0</v>
      </c>
      <c r="AA58" s="301">
        <v>0</v>
      </c>
      <c r="AB58" s="301">
        <v>0</v>
      </c>
      <c r="AC58" s="304">
        <v>0</v>
      </c>
      <c r="AD58" s="301">
        <v>0</v>
      </c>
      <c r="AE58" s="301">
        <v>0</v>
      </c>
      <c r="AF58" s="301">
        <v>0</v>
      </c>
      <c r="AG58" s="510">
        <v>0</v>
      </c>
      <c r="AH58" s="304">
        <v>0</v>
      </c>
      <c r="AI58" s="301">
        <v>0</v>
      </c>
      <c r="AJ58" s="301">
        <v>0</v>
      </c>
      <c r="AK58" s="301">
        <v>0</v>
      </c>
      <c r="AL58" s="306"/>
    </row>
    <row r="59" spans="1:65" s="265" customFormat="1" ht="165" customHeight="1" outlineLevel="1" x14ac:dyDescent="0.3">
      <c r="A59" s="431" t="s">
        <v>469</v>
      </c>
      <c r="B59" s="432" t="s">
        <v>470</v>
      </c>
      <c r="C59" s="431">
        <f>E59+I59+N59+S59+X59+AB59+AG59</f>
        <v>0</v>
      </c>
      <c r="D59" s="431">
        <f t="shared" si="0"/>
        <v>0</v>
      </c>
      <c r="E59" s="431">
        <v>0</v>
      </c>
      <c r="F59" s="431">
        <f>F60+F61+F62+F63+F64+F65+F66+F67+F68+F69</f>
        <v>0</v>
      </c>
      <c r="G59" s="431">
        <f t="shared" ref="G59:AJ59" si="12">G60+G61+G62+G63+G64+G65+G66+G67+G68+G69</f>
        <v>0</v>
      </c>
      <c r="H59" s="431">
        <f t="shared" si="12"/>
        <v>0</v>
      </c>
      <c r="I59" s="431">
        <f t="shared" si="12"/>
        <v>0</v>
      </c>
      <c r="J59" s="431">
        <f t="shared" si="12"/>
        <v>0</v>
      </c>
      <c r="K59" s="431">
        <v>0</v>
      </c>
      <c r="L59" s="431">
        <f t="shared" si="12"/>
        <v>0</v>
      </c>
      <c r="M59" s="431">
        <f t="shared" si="12"/>
        <v>0</v>
      </c>
      <c r="N59" s="431">
        <v>0</v>
      </c>
      <c r="O59" s="431">
        <f t="shared" si="12"/>
        <v>0</v>
      </c>
      <c r="P59" s="431">
        <v>0</v>
      </c>
      <c r="Q59" s="431">
        <f t="shared" si="12"/>
        <v>0</v>
      </c>
      <c r="R59" s="431">
        <f t="shared" si="12"/>
        <v>0</v>
      </c>
      <c r="S59" s="431">
        <f t="shared" si="12"/>
        <v>0</v>
      </c>
      <c r="T59" s="431">
        <f t="shared" si="12"/>
        <v>0</v>
      </c>
      <c r="U59" s="431">
        <v>0</v>
      </c>
      <c r="V59" s="433">
        <f t="shared" si="12"/>
        <v>0</v>
      </c>
      <c r="W59" s="433">
        <f t="shared" si="12"/>
        <v>0</v>
      </c>
      <c r="X59" s="481">
        <f t="shared" si="12"/>
        <v>0</v>
      </c>
      <c r="Y59" s="433">
        <f t="shared" si="12"/>
        <v>0</v>
      </c>
      <c r="Z59" s="431">
        <f t="shared" si="12"/>
        <v>0</v>
      </c>
      <c r="AA59" s="431">
        <f t="shared" si="12"/>
        <v>0</v>
      </c>
      <c r="AB59" s="431">
        <f t="shared" si="12"/>
        <v>0</v>
      </c>
      <c r="AC59" s="431">
        <f t="shared" si="12"/>
        <v>0</v>
      </c>
      <c r="AD59" s="433">
        <v>0</v>
      </c>
      <c r="AE59" s="431">
        <f t="shared" si="12"/>
        <v>0</v>
      </c>
      <c r="AF59" s="431">
        <f t="shared" si="12"/>
        <v>0</v>
      </c>
      <c r="AG59" s="481">
        <f t="shared" si="12"/>
        <v>0</v>
      </c>
      <c r="AH59" s="431">
        <v>0</v>
      </c>
      <c r="AI59" s="431">
        <v>0</v>
      </c>
      <c r="AJ59" s="431">
        <f t="shared" si="12"/>
        <v>0</v>
      </c>
      <c r="AK59" s="431">
        <v>0</v>
      </c>
      <c r="AL59" s="299"/>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row>
    <row r="60" spans="1:65" s="266" customFormat="1" ht="174.6" customHeight="1" outlineLevel="1" x14ac:dyDescent="0.25">
      <c r="A60" s="303" t="s">
        <v>471</v>
      </c>
      <c r="B60" s="302" t="s">
        <v>472</v>
      </c>
      <c r="C60" s="303">
        <v>0</v>
      </c>
      <c r="D60" s="310">
        <f t="shared" si="0"/>
        <v>0</v>
      </c>
      <c r="E60" s="303">
        <v>0</v>
      </c>
      <c r="F60" s="307">
        <v>0</v>
      </c>
      <c r="G60" s="303">
        <v>0</v>
      </c>
      <c r="H60" s="303">
        <v>0</v>
      </c>
      <c r="I60" s="303">
        <v>0</v>
      </c>
      <c r="J60" s="307">
        <v>0</v>
      </c>
      <c r="K60" s="303">
        <v>0</v>
      </c>
      <c r="L60" s="301">
        <v>0</v>
      </c>
      <c r="M60" s="301">
        <v>0</v>
      </c>
      <c r="N60" s="301">
        <v>0</v>
      </c>
      <c r="O60" s="304">
        <v>0</v>
      </c>
      <c r="P60" s="301">
        <v>0</v>
      </c>
      <c r="Q60" s="301">
        <v>0</v>
      </c>
      <c r="R60" s="301">
        <v>0</v>
      </c>
      <c r="S60" s="301">
        <v>0</v>
      </c>
      <c r="T60" s="304">
        <v>0</v>
      </c>
      <c r="U60" s="301">
        <v>0</v>
      </c>
      <c r="V60" s="301">
        <v>0</v>
      </c>
      <c r="W60" s="301">
        <v>0</v>
      </c>
      <c r="X60" s="510">
        <v>0</v>
      </c>
      <c r="Y60" s="305">
        <v>0</v>
      </c>
      <c r="Z60" s="301">
        <v>0</v>
      </c>
      <c r="AA60" s="301">
        <v>0</v>
      </c>
      <c r="AB60" s="301">
        <v>0</v>
      </c>
      <c r="AC60" s="304">
        <f>AF60</f>
        <v>0</v>
      </c>
      <c r="AD60" s="301">
        <v>0</v>
      </c>
      <c r="AE60" s="301">
        <v>0</v>
      </c>
      <c r="AF60" s="301">
        <v>0</v>
      </c>
      <c r="AG60" s="510">
        <v>0</v>
      </c>
      <c r="AH60" s="304">
        <v>0</v>
      </c>
      <c r="AI60" s="301">
        <v>0</v>
      </c>
      <c r="AJ60" s="301">
        <v>0</v>
      </c>
      <c r="AK60" s="301">
        <v>0</v>
      </c>
      <c r="AL60" s="306"/>
    </row>
    <row r="61" spans="1:65" s="266" customFormat="1" ht="230.4" customHeight="1" outlineLevel="1" x14ac:dyDescent="0.25">
      <c r="A61" s="303" t="s">
        <v>473</v>
      </c>
      <c r="B61" s="302" t="s">
        <v>423</v>
      </c>
      <c r="C61" s="303">
        <v>0</v>
      </c>
      <c r="D61" s="310">
        <f t="shared" si="0"/>
        <v>0</v>
      </c>
      <c r="E61" s="303">
        <v>0</v>
      </c>
      <c r="F61" s="307">
        <v>0</v>
      </c>
      <c r="G61" s="303">
        <v>0</v>
      </c>
      <c r="H61" s="303">
        <v>0</v>
      </c>
      <c r="I61" s="303">
        <v>0</v>
      </c>
      <c r="J61" s="307">
        <v>0</v>
      </c>
      <c r="K61" s="303">
        <v>0</v>
      </c>
      <c r="L61" s="301">
        <v>0</v>
      </c>
      <c r="M61" s="301">
        <v>0</v>
      </c>
      <c r="N61" s="301">
        <v>0</v>
      </c>
      <c r="O61" s="304">
        <v>0</v>
      </c>
      <c r="P61" s="301">
        <v>0</v>
      </c>
      <c r="Q61" s="301">
        <v>0</v>
      </c>
      <c r="R61" s="301">
        <v>0</v>
      </c>
      <c r="S61" s="301">
        <v>0</v>
      </c>
      <c r="T61" s="313">
        <v>0</v>
      </c>
      <c r="U61" s="314">
        <v>0</v>
      </c>
      <c r="V61" s="314">
        <v>0</v>
      </c>
      <c r="W61" s="314">
        <v>0</v>
      </c>
      <c r="X61" s="511">
        <v>0</v>
      </c>
      <c r="Y61" s="305">
        <v>0</v>
      </c>
      <c r="Z61" s="301">
        <v>0</v>
      </c>
      <c r="AA61" s="301">
        <v>0</v>
      </c>
      <c r="AB61" s="301">
        <v>0</v>
      </c>
      <c r="AC61" s="304">
        <f>AF61</f>
        <v>0</v>
      </c>
      <c r="AD61" s="301">
        <v>0</v>
      </c>
      <c r="AE61" s="301">
        <v>0</v>
      </c>
      <c r="AF61" s="301">
        <v>0</v>
      </c>
      <c r="AG61" s="510">
        <v>0</v>
      </c>
      <c r="AH61" s="304">
        <v>0</v>
      </c>
      <c r="AI61" s="301">
        <v>0</v>
      </c>
      <c r="AJ61" s="301">
        <v>0</v>
      </c>
      <c r="AK61" s="301">
        <v>0</v>
      </c>
      <c r="AL61" s="306"/>
    </row>
    <row r="62" spans="1:65" s="266" customFormat="1" ht="36" customHeight="1" outlineLevel="1" x14ac:dyDescent="0.25">
      <c r="A62" s="303" t="s">
        <v>474</v>
      </c>
      <c r="B62" s="302" t="s">
        <v>435</v>
      </c>
      <c r="C62" s="303">
        <v>0</v>
      </c>
      <c r="D62" s="310">
        <f t="shared" si="0"/>
        <v>0</v>
      </c>
      <c r="E62" s="303">
        <v>0</v>
      </c>
      <c r="F62" s="307">
        <v>0</v>
      </c>
      <c r="G62" s="303">
        <v>0</v>
      </c>
      <c r="H62" s="303">
        <v>0</v>
      </c>
      <c r="I62" s="303">
        <v>0</v>
      </c>
      <c r="J62" s="307">
        <v>0</v>
      </c>
      <c r="K62" s="303">
        <v>0</v>
      </c>
      <c r="L62" s="301">
        <v>0</v>
      </c>
      <c r="M62" s="301">
        <v>0</v>
      </c>
      <c r="N62" s="301">
        <v>0</v>
      </c>
      <c r="O62" s="304">
        <v>0</v>
      </c>
      <c r="P62" s="301">
        <v>0</v>
      </c>
      <c r="Q62" s="301">
        <v>0</v>
      </c>
      <c r="R62" s="301">
        <v>0</v>
      </c>
      <c r="S62" s="301">
        <v>0</v>
      </c>
      <c r="T62" s="313">
        <v>0</v>
      </c>
      <c r="U62" s="314">
        <v>0</v>
      </c>
      <c r="V62" s="314">
        <v>0</v>
      </c>
      <c r="W62" s="314">
        <v>0</v>
      </c>
      <c r="X62" s="511">
        <v>0</v>
      </c>
      <c r="Y62" s="305">
        <v>0</v>
      </c>
      <c r="Z62" s="301">
        <v>0</v>
      </c>
      <c r="AA62" s="301">
        <v>0</v>
      </c>
      <c r="AB62" s="301">
        <v>0</v>
      </c>
      <c r="AC62" s="304">
        <f>AF62</f>
        <v>0</v>
      </c>
      <c r="AD62" s="301">
        <v>0</v>
      </c>
      <c r="AE62" s="301">
        <v>0</v>
      </c>
      <c r="AF62" s="301">
        <v>0</v>
      </c>
      <c r="AG62" s="510">
        <v>0</v>
      </c>
      <c r="AH62" s="304">
        <v>0</v>
      </c>
      <c r="AI62" s="301">
        <v>0</v>
      </c>
      <c r="AJ62" s="301">
        <v>0</v>
      </c>
      <c r="AK62" s="301">
        <v>0</v>
      </c>
      <c r="AL62" s="306"/>
    </row>
    <row r="63" spans="1:65" s="266" customFormat="1" ht="109.2" customHeight="1" outlineLevel="1" x14ac:dyDescent="0.25">
      <c r="A63" s="303" t="s">
        <v>475</v>
      </c>
      <c r="B63" s="302" t="s">
        <v>1382</v>
      </c>
      <c r="C63" s="303">
        <v>0</v>
      </c>
      <c r="D63" s="310">
        <f t="shared" si="0"/>
        <v>0</v>
      </c>
      <c r="E63" s="303">
        <v>0</v>
      </c>
      <c r="F63" s="307">
        <v>0</v>
      </c>
      <c r="G63" s="303">
        <v>0</v>
      </c>
      <c r="H63" s="303">
        <v>0</v>
      </c>
      <c r="I63" s="303">
        <v>0</v>
      </c>
      <c r="J63" s="307">
        <v>0</v>
      </c>
      <c r="K63" s="303">
        <v>0</v>
      </c>
      <c r="L63" s="301">
        <v>0</v>
      </c>
      <c r="M63" s="301">
        <v>0</v>
      </c>
      <c r="N63" s="301">
        <v>0</v>
      </c>
      <c r="O63" s="304">
        <v>0</v>
      </c>
      <c r="P63" s="301">
        <v>0</v>
      </c>
      <c r="Q63" s="301">
        <v>0</v>
      </c>
      <c r="R63" s="301">
        <v>0</v>
      </c>
      <c r="S63" s="301">
        <v>0</v>
      </c>
      <c r="T63" s="313">
        <v>0</v>
      </c>
      <c r="U63" s="314">
        <v>0</v>
      </c>
      <c r="V63" s="314">
        <v>0</v>
      </c>
      <c r="W63" s="314">
        <v>0</v>
      </c>
      <c r="X63" s="511">
        <v>0</v>
      </c>
      <c r="Y63" s="305">
        <v>0</v>
      </c>
      <c r="Z63" s="301">
        <v>0</v>
      </c>
      <c r="AA63" s="303">
        <v>0</v>
      </c>
      <c r="AB63" s="303">
        <v>0</v>
      </c>
      <c r="AC63" s="307">
        <f>AF63</f>
        <v>0</v>
      </c>
      <c r="AD63" s="303">
        <v>0</v>
      </c>
      <c r="AE63" s="301">
        <v>0</v>
      </c>
      <c r="AF63" s="301"/>
      <c r="AG63" s="510">
        <v>0</v>
      </c>
      <c r="AH63" s="304">
        <v>0</v>
      </c>
      <c r="AI63" s="301">
        <v>0</v>
      </c>
      <c r="AJ63" s="301">
        <v>0</v>
      </c>
      <c r="AK63" s="301">
        <v>0</v>
      </c>
      <c r="AL63" s="306"/>
    </row>
    <row r="64" spans="1:65" s="266" customFormat="1" ht="179.4" customHeight="1" outlineLevel="1" x14ac:dyDescent="0.25">
      <c r="A64" s="303" t="s">
        <v>476</v>
      </c>
      <c r="B64" s="302" t="s">
        <v>477</v>
      </c>
      <c r="C64" s="303">
        <v>0</v>
      </c>
      <c r="D64" s="310">
        <f t="shared" si="0"/>
        <v>0</v>
      </c>
      <c r="E64" s="303">
        <v>0</v>
      </c>
      <c r="F64" s="307">
        <v>0</v>
      </c>
      <c r="G64" s="303">
        <v>0</v>
      </c>
      <c r="H64" s="303">
        <v>0</v>
      </c>
      <c r="I64" s="303">
        <v>0</v>
      </c>
      <c r="J64" s="307">
        <v>0</v>
      </c>
      <c r="K64" s="303">
        <v>0</v>
      </c>
      <c r="L64" s="301">
        <v>0</v>
      </c>
      <c r="M64" s="301">
        <v>0</v>
      </c>
      <c r="N64" s="301">
        <v>0</v>
      </c>
      <c r="O64" s="304">
        <v>0</v>
      </c>
      <c r="P64" s="301">
        <v>0</v>
      </c>
      <c r="Q64" s="301">
        <v>0</v>
      </c>
      <c r="R64" s="301">
        <v>0</v>
      </c>
      <c r="S64" s="301">
        <v>0</v>
      </c>
      <c r="T64" s="313">
        <v>0</v>
      </c>
      <c r="U64" s="314">
        <v>0</v>
      </c>
      <c r="V64" s="314">
        <v>0</v>
      </c>
      <c r="W64" s="314">
        <v>0</v>
      </c>
      <c r="X64" s="511">
        <v>0</v>
      </c>
      <c r="Y64" s="305">
        <v>0</v>
      </c>
      <c r="Z64" s="301">
        <v>0</v>
      </c>
      <c r="AA64" s="303">
        <v>0</v>
      </c>
      <c r="AB64" s="303">
        <v>0</v>
      </c>
      <c r="AC64" s="307">
        <v>0</v>
      </c>
      <c r="AD64" s="303">
        <v>0</v>
      </c>
      <c r="AE64" s="301">
        <v>0</v>
      </c>
      <c r="AF64" s="301">
        <v>0</v>
      </c>
      <c r="AG64" s="510">
        <v>0</v>
      </c>
      <c r="AH64" s="304">
        <v>0</v>
      </c>
      <c r="AI64" s="301">
        <v>0</v>
      </c>
      <c r="AJ64" s="301">
        <v>0</v>
      </c>
      <c r="AK64" s="301">
        <v>0</v>
      </c>
      <c r="AL64" s="306"/>
    </row>
    <row r="65" spans="1:57" s="266" customFormat="1" ht="50.1" customHeight="1" outlineLevel="1" x14ac:dyDescent="0.25">
      <c r="A65" s="303"/>
      <c r="B65" s="302" t="s">
        <v>478</v>
      </c>
      <c r="C65" s="303">
        <v>0</v>
      </c>
      <c r="D65" s="310">
        <f t="shared" si="0"/>
        <v>0</v>
      </c>
      <c r="E65" s="303">
        <v>0</v>
      </c>
      <c r="F65" s="307">
        <v>0</v>
      </c>
      <c r="G65" s="303">
        <v>0</v>
      </c>
      <c r="H65" s="303">
        <v>0</v>
      </c>
      <c r="I65" s="303">
        <v>0</v>
      </c>
      <c r="J65" s="307">
        <v>0</v>
      </c>
      <c r="K65" s="303">
        <v>0</v>
      </c>
      <c r="L65" s="301">
        <v>0</v>
      </c>
      <c r="M65" s="301">
        <v>0</v>
      </c>
      <c r="N65" s="301">
        <v>0</v>
      </c>
      <c r="O65" s="304">
        <v>0</v>
      </c>
      <c r="P65" s="301">
        <v>0</v>
      </c>
      <c r="Q65" s="301">
        <v>0</v>
      </c>
      <c r="R65" s="301">
        <v>0</v>
      </c>
      <c r="S65" s="301">
        <v>0</v>
      </c>
      <c r="T65" s="313">
        <v>0</v>
      </c>
      <c r="U65" s="314">
        <v>0</v>
      </c>
      <c r="V65" s="314">
        <v>0</v>
      </c>
      <c r="W65" s="314">
        <v>0</v>
      </c>
      <c r="X65" s="511">
        <v>0</v>
      </c>
      <c r="Y65" s="305">
        <v>0</v>
      </c>
      <c r="Z65" s="301">
        <v>0</v>
      </c>
      <c r="AA65" s="303">
        <v>0</v>
      </c>
      <c r="AB65" s="303">
        <v>0</v>
      </c>
      <c r="AC65" s="307">
        <v>0</v>
      </c>
      <c r="AD65" s="303">
        <v>0</v>
      </c>
      <c r="AE65" s="301">
        <v>0</v>
      </c>
      <c r="AF65" s="301">
        <v>0</v>
      </c>
      <c r="AG65" s="510">
        <v>0</v>
      </c>
      <c r="AH65" s="304">
        <v>0</v>
      </c>
      <c r="AI65" s="301">
        <v>0</v>
      </c>
      <c r="AJ65" s="301">
        <v>0</v>
      </c>
      <c r="AK65" s="301">
        <v>0</v>
      </c>
      <c r="AL65" s="306"/>
    </row>
    <row r="66" spans="1:57" s="266" customFormat="1" ht="153" customHeight="1" outlineLevel="1" x14ac:dyDescent="0.25">
      <c r="A66" s="303" t="s">
        <v>479</v>
      </c>
      <c r="B66" s="302" t="s">
        <v>480</v>
      </c>
      <c r="C66" s="303">
        <v>0</v>
      </c>
      <c r="D66" s="310">
        <f t="shared" si="0"/>
        <v>0</v>
      </c>
      <c r="E66" s="303">
        <v>0</v>
      </c>
      <c r="F66" s="307">
        <v>0</v>
      </c>
      <c r="G66" s="303">
        <v>0</v>
      </c>
      <c r="H66" s="303">
        <v>0</v>
      </c>
      <c r="I66" s="303">
        <v>0</v>
      </c>
      <c r="J66" s="307">
        <v>0</v>
      </c>
      <c r="K66" s="303">
        <v>0</v>
      </c>
      <c r="L66" s="301">
        <v>0</v>
      </c>
      <c r="M66" s="301">
        <v>0</v>
      </c>
      <c r="N66" s="301">
        <v>0</v>
      </c>
      <c r="O66" s="304">
        <v>0</v>
      </c>
      <c r="P66" s="301">
        <v>0</v>
      </c>
      <c r="Q66" s="301">
        <v>0</v>
      </c>
      <c r="R66" s="301">
        <v>0</v>
      </c>
      <c r="S66" s="301">
        <v>0</v>
      </c>
      <c r="T66" s="313">
        <v>0</v>
      </c>
      <c r="U66" s="314">
        <v>0</v>
      </c>
      <c r="V66" s="314">
        <v>0</v>
      </c>
      <c r="W66" s="314">
        <v>0</v>
      </c>
      <c r="X66" s="511">
        <v>0</v>
      </c>
      <c r="Y66" s="305">
        <v>0</v>
      </c>
      <c r="Z66" s="301">
        <v>0</v>
      </c>
      <c r="AA66" s="303">
        <v>0</v>
      </c>
      <c r="AB66" s="303">
        <v>0</v>
      </c>
      <c r="AC66" s="307">
        <v>0</v>
      </c>
      <c r="AD66" s="303">
        <v>0</v>
      </c>
      <c r="AE66" s="301">
        <v>0</v>
      </c>
      <c r="AF66" s="301">
        <v>0</v>
      </c>
      <c r="AG66" s="510">
        <v>0</v>
      </c>
      <c r="AH66" s="307">
        <v>0</v>
      </c>
      <c r="AI66" s="303">
        <v>0</v>
      </c>
      <c r="AJ66" s="301">
        <v>0</v>
      </c>
      <c r="AK66" s="301">
        <v>0</v>
      </c>
      <c r="AL66" s="306"/>
    </row>
    <row r="67" spans="1:57" s="266" customFormat="1" ht="71.400000000000006" customHeight="1" outlineLevel="1" x14ac:dyDescent="0.25">
      <c r="A67" s="303" t="s">
        <v>481</v>
      </c>
      <c r="B67" s="302" t="s">
        <v>482</v>
      </c>
      <c r="C67" s="303">
        <v>0</v>
      </c>
      <c r="D67" s="310">
        <f t="shared" si="0"/>
        <v>0</v>
      </c>
      <c r="E67" s="303">
        <v>0</v>
      </c>
      <c r="F67" s="307">
        <v>0</v>
      </c>
      <c r="G67" s="303">
        <v>0</v>
      </c>
      <c r="H67" s="303">
        <v>0</v>
      </c>
      <c r="I67" s="303">
        <v>0</v>
      </c>
      <c r="J67" s="307">
        <v>0</v>
      </c>
      <c r="K67" s="303">
        <v>0</v>
      </c>
      <c r="L67" s="301">
        <v>0</v>
      </c>
      <c r="M67" s="301">
        <v>0</v>
      </c>
      <c r="N67" s="301">
        <v>0</v>
      </c>
      <c r="O67" s="304">
        <v>0</v>
      </c>
      <c r="P67" s="301">
        <v>0</v>
      </c>
      <c r="Q67" s="301">
        <v>0</v>
      </c>
      <c r="R67" s="301">
        <v>0</v>
      </c>
      <c r="S67" s="301">
        <v>0</v>
      </c>
      <c r="T67" s="313">
        <v>0</v>
      </c>
      <c r="U67" s="314">
        <v>0</v>
      </c>
      <c r="V67" s="314">
        <v>0</v>
      </c>
      <c r="W67" s="314">
        <v>0</v>
      </c>
      <c r="X67" s="511">
        <v>0</v>
      </c>
      <c r="Y67" s="305">
        <v>0</v>
      </c>
      <c r="Z67" s="301">
        <v>0</v>
      </c>
      <c r="AA67" s="301">
        <v>0</v>
      </c>
      <c r="AB67" s="303">
        <v>0</v>
      </c>
      <c r="AC67" s="304">
        <v>0</v>
      </c>
      <c r="AD67" s="301">
        <v>0</v>
      </c>
      <c r="AE67" s="301">
        <v>0</v>
      </c>
      <c r="AF67" s="301">
        <v>0</v>
      </c>
      <c r="AG67" s="510">
        <v>0</v>
      </c>
      <c r="AH67" s="313">
        <v>0</v>
      </c>
      <c r="AI67" s="314">
        <v>0</v>
      </c>
      <c r="AJ67" s="314">
        <v>0</v>
      </c>
      <c r="AK67" s="314">
        <v>0</v>
      </c>
      <c r="AL67" s="306"/>
    </row>
    <row r="68" spans="1:57" s="266" customFormat="1" ht="63.6" customHeight="1" outlineLevel="1" x14ac:dyDescent="0.25">
      <c r="A68" s="303" t="s">
        <v>483</v>
      </c>
      <c r="B68" s="302" t="s">
        <v>484</v>
      </c>
      <c r="C68" s="303">
        <v>0</v>
      </c>
      <c r="D68" s="310">
        <f t="shared" si="0"/>
        <v>0</v>
      </c>
      <c r="E68" s="303">
        <v>0</v>
      </c>
      <c r="F68" s="307">
        <v>0</v>
      </c>
      <c r="G68" s="303">
        <v>0</v>
      </c>
      <c r="H68" s="303">
        <v>0</v>
      </c>
      <c r="I68" s="303">
        <v>0</v>
      </c>
      <c r="J68" s="307">
        <v>0</v>
      </c>
      <c r="K68" s="303">
        <v>0</v>
      </c>
      <c r="L68" s="301">
        <v>0</v>
      </c>
      <c r="M68" s="301">
        <v>0</v>
      </c>
      <c r="N68" s="301">
        <v>0</v>
      </c>
      <c r="O68" s="304">
        <v>0</v>
      </c>
      <c r="P68" s="301">
        <v>0</v>
      </c>
      <c r="Q68" s="301">
        <v>0</v>
      </c>
      <c r="R68" s="301">
        <v>0</v>
      </c>
      <c r="S68" s="301">
        <v>0</v>
      </c>
      <c r="T68" s="304">
        <v>0</v>
      </c>
      <c r="U68" s="301">
        <v>0</v>
      </c>
      <c r="V68" s="301">
        <v>0</v>
      </c>
      <c r="W68" s="303">
        <v>0</v>
      </c>
      <c r="X68" s="511">
        <v>0</v>
      </c>
      <c r="Y68" s="312">
        <v>0</v>
      </c>
      <c r="Z68" s="301">
        <v>0</v>
      </c>
      <c r="AA68" s="301">
        <v>0</v>
      </c>
      <c r="AB68" s="303">
        <v>0</v>
      </c>
      <c r="AC68" s="304">
        <v>0</v>
      </c>
      <c r="AD68" s="301">
        <v>0</v>
      </c>
      <c r="AE68" s="301">
        <v>0</v>
      </c>
      <c r="AF68" s="301">
        <v>0</v>
      </c>
      <c r="AG68" s="510">
        <v>0</v>
      </c>
      <c r="AH68" s="313">
        <v>0</v>
      </c>
      <c r="AI68" s="314">
        <v>0</v>
      </c>
      <c r="AJ68" s="314">
        <v>0</v>
      </c>
      <c r="AK68" s="314">
        <v>0</v>
      </c>
      <c r="AL68" s="306"/>
    </row>
    <row r="69" spans="1:57" s="266" customFormat="1" ht="162.6" customHeight="1" outlineLevel="1" x14ac:dyDescent="0.25">
      <c r="A69" s="303" t="s">
        <v>485</v>
      </c>
      <c r="B69" s="302" t="s">
        <v>486</v>
      </c>
      <c r="C69" s="303">
        <v>0</v>
      </c>
      <c r="D69" s="303">
        <f t="shared" si="0"/>
        <v>0</v>
      </c>
      <c r="E69" s="303">
        <v>0</v>
      </c>
      <c r="F69" s="307">
        <v>0</v>
      </c>
      <c r="G69" s="303">
        <v>0</v>
      </c>
      <c r="H69" s="303">
        <v>0</v>
      </c>
      <c r="I69" s="303">
        <v>0</v>
      </c>
      <c r="J69" s="307">
        <v>0</v>
      </c>
      <c r="K69" s="303">
        <v>0</v>
      </c>
      <c r="L69" s="301">
        <v>0</v>
      </c>
      <c r="M69" s="301">
        <v>0</v>
      </c>
      <c r="N69" s="301">
        <v>0</v>
      </c>
      <c r="O69" s="307">
        <v>0</v>
      </c>
      <c r="P69" s="303">
        <v>0</v>
      </c>
      <c r="Q69" s="301">
        <v>0</v>
      </c>
      <c r="R69" s="301">
        <v>0</v>
      </c>
      <c r="S69" s="301">
        <v>0</v>
      </c>
      <c r="T69" s="307">
        <v>0</v>
      </c>
      <c r="U69" s="303">
        <v>0</v>
      </c>
      <c r="V69" s="301">
        <v>0</v>
      </c>
      <c r="W69" s="303">
        <v>0</v>
      </c>
      <c r="X69" s="496">
        <v>0</v>
      </c>
      <c r="Y69" s="312">
        <v>0</v>
      </c>
      <c r="Z69" s="301">
        <v>0</v>
      </c>
      <c r="AA69" s="301">
        <v>0</v>
      </c>
      <c r="AB69" s="301">
        <v>0</v>
      </c>
      <c r="AC69" s="307">
        <v>0</v>
      </c>
      <c r="AD69" s="303">
        <v>0</v>
      </c>
      <c r="AE69" s="301">
        <v>0</v>
      </c>
      <c r="AF69" s="301">
        <v>0</v>
      </c>
      <c r="AG69" s="510">
        <v>0</v>
      </c>
      <c r="AH69" s="307">
        <v>0</v>
      </c>
      <c r="AI69" s="303">
        <v>0</v>
      </c>
      <c r="AJ69" s="314">
        <v>0</v>
      </c>
      <c r="AK69" s="314">
        <v>0</v>
      </c>
      <c r="AL69" s="306"/>
    </row>
    <row r="70" spans="1:57" s="265" customFormat="1" ht="106.2" customHeight="1" outlineLevel="1" x14ac:dyDescent="0.3">
      <c r="A70" s="431" t="s">
        <v>487</v>
      </c>
      <c r="B70" s="432" t="s">
        <v>488</v>
      </c>
      <c r="C70" s="431">
        <f>E70+I70+N70+S70+X70+AB70+AG70</f>
        <v>0</v>
      </c>
      <c r="D70" s="431">
        <f t="shared" si="0"/>
        <v>0</v>
      </c>
      <c r="E70" s="431">
        <v>0</v>
      </c>
      <c r="F70" s="431">
        <f>F71++F72+F73+F74+F75+F76+F77</f>
        <v>0</v>
      </c>
      <c r="G70" s="431">
        <f t="shared" ref="G70:AG70" si="13">G71++G72+G73+G74+G75+G76+G77</f>
        <v>0</v>
      </c>
      <c r="H70" s="431">
        <f t="shared" si="13"/>
        <v>0</v>
      </c>
      <c r="I70" s="431">
        <f t="shared" si="13"/>
        <v>0</v>
      </c>
      <c r="J70" s="431">
        <f t="shared" si="13"/>
        <v>0</v>
      </c>
      <c r="K70" s="431">
        <v>0</v>
      </c>
      <c r="L70" s="431">
        <f t="shared" si="13"/>
        <v>0</v>
      </c>
      <c r="M70" s="431">
        <f t="shared" si="13"/>
        <v>0</v>
      </c>
      <c r="N70" s="431">
        <f t="shared" si="13"/>
        <v>0</v>
      </c>
      <c r="O70" s="431">
        <f t="shared" si="13"/>
        <v>0</v>
      </c>
      <c r="P70" s="431">
        <v>0</v>
      </c>
      <c r="Q70" s="431">
        <f t="shared" si="13"/>
        <v>0</v>
      </c>
      <c r="R70" s="431">
        <v>0</v>
      </c>
      <c r="S70" s="431">
        <f t="shared" si="13"/>
        <v>0</v>
      </c>
      <c r="T70" s="431">
        <f t="shared" si="13"/>
        <v>0</v>
      </c>
      <c r="U70" s="431">
        <v>0</v>
      </c>
      <c r="V70" s="433">
        <f t="shared" si="13"/>
        <v>0</v>
      </c>
      <c r="W70" s="433">
        <f t="shared" si="13"/>
        <v>0</v>
      </c>
      <c r="X70" s="481">
        <f t="shared" si="13"/>
        <v>0</v>
      </c>
      <c r="Y70" s="433">
        <f t="shared" si="13"/>
        <v>0</v>
      </c>
      <c r="Z70" s="431">
        <f t="shared" si="13"/>
        <v>0</v>
      </c>
      <c r="AA70" s="431">
        <f t="shared" si="13"/>
        <v>0</v>
      </c>
      <c r="AB70" s="431">
        <v>0</v>
      </c>
      <c r="AC70" s="431">
        <f t="shared" si="13"/>
        <v>0</v>
      </c>
      <c r="AD70" s="433">
        <v>0</v>
      </c>
      <c r="AE70" s="431">
        <f t="shared" si="13"/>
        <v>0</v>
      </c>
      <c r="AF70" s="431">
        <f t="shared" si="13"/>
        <v>0</v>
      </c>
      <c r="AG70" s="481">
        <f t="shared" si="13"/>
        <v>0</v>
      </c>
      <c r="AH70" s="431">
        <v>0</v>
      </c>
      <c r="AI70" s="431">
        <v>0</v>
      </c>
      <c r="AJ70" s="431">
        <v>0</v>
      </c>
      <c r="AK70" s="431">
        <v>0</v>
      </c>
      <c r="AL70" s="299"/>
      <c r="AM70" s="206"/>
      <c r="AN70" s="206"/>
      <c r="AO70" s="206"/>
      <c r="AP70" s="206"/>
      <c r="AQ70" s="206"/>
      <c r="AR70" s="206"/>
      <c r="AS70" s="206"/>
      <c r="AT70" s="206"/>
      <c r="AU70" s="206"/>
      <c r="AV70" s="206"/>
      <c r="AW70" s="206"/>
      <c r="AX70" s="206"/>
      <c r="AY70" s="206"/>
      <c r="AZ70" s="206"/>
      <c r="BA70" s="206"/>
      <c r="BB70" s="206"/>
      <c r="BC70" s="206"/>
    </row>
    <row r="71" spans="1:57" s="266" customFormat="1" ht="172.2" customHeight="1" outlineLevel="1" x14ac:dyDescent="0.25">
      <c r="A71" s="303" t="s">
        <v>489</v>
      </c>
      <c r="B71" s="302" t="s">
        <v>472</v>
      </c>
      <c r="C71" s="303">
        <v>0</v>
      </c>
      <c r="D71" s="310">
        <f t="shared" si="0"/>
        <v>0</v>
      </c>
      <c r="E71" s="303">
        <v>0</v>
      </c>
      <c r="F71" s="307">
        <v>0</v>
      </c>
      <c r="G71" s="303">
        <v>0</v>
      </c>
      <c r="H71" s="303">
        <v>0</v>
      </c>
      <c r="I71" s="303">
        <v>0</v>
      </c>
      <c r="J71" s="307">
        <v>0</v>
      </c>
      <c r="K71" s="303">
        <v>0</v>
      </c>
      <c r="L71" s="301">
        <v>0</v>
      </c>
      <c r="M71" s="301">
        <v>0</v>
      </c>
      <c r="N71" s="301">
        <v>0</v>
      </c>
      <c r="O71" s="304">
        <v>0</v>
      </c>
      <c r="P71" s="301">
        <v>0</v>
      </c>
      <c r="Q71" s="301">
        <v>0</v>
      </c>
      <c r="R71" s="301">
        <v>0</v>
      </c>
      <c r="S71" s="301">
        <v>0</v>
      </c>
      <c r="T71" s="304">
        <v>0</v>
      </c>
      <c r="U71" s="301">
        <v>0</v>
      </c>
      <c r="V71" s="301">
        <v>0</v>
      </c>
      <c r="W71" s="301">
        <v>0</v>
      </c>
      <c r="X71" s="510">
        <v>0</v>
      </c>
      <c r="Y71" s="305">
        <v>0</v>
      </c>
      <c r="Z71" s="301">
        <v>0</v>
      </c>
      <c r="AA71" s="301">
        <v>0</v>
      </c>
      <c r="AB71" s="301">
        <v>0</v>
      </c>
      <c r="AC71" s="304">
        <f>AF71</f>
        <v>0</v>
      </c>
      <c r="AD71" s="301">
        <v>0</v>
      </c>
      <c r="AE71" s="301">
        <v>0</v>
      </c>
      <c r="AF71" s="301">
        <v>0</v>
      </c>
      <c r="AG71" s="510">
        <v>0</v>
      </c>
      <c r="AH71" s="304">
        <v>0</v>
      </c>
      <c r="AI71" s="301">
        <v>0</v>
      </c>
      <c r="AJ71" s="301">
        <v>0</v>
      </c>
      <c r="AK71" s="301">
        <v>0</v>
      </c>
      <c r="AL71" s="306"/>
    </row>
    <row r="72" spans="1:57" s="266" customFormat="1" ht="224.4" customHeight="1" outlineLevel="1" x14ac:dyDescent="0.25">
      <c r="A72" s="303" t="s">
        <v>490</v>
      </c>
      <c r="B72" s="302" t="s">
        <v>423</v>
      </c>
      <c r="C72" s="303">
        <v>0</v>
      </c>
      <c r="D72" s="310">
        <f t="shared" si="0"/>
        <v>0</v>
      </c>
      <c r="E72" s="303">
        <v>0</v>
      </c>
      <c r="F72" s="307">
        <v>0</v>
      </c>
      <c r="G72" s="303">
        <v>0</v>
      </c>
      <c r="H72" s="303">
        <v>0</v>
      </c>
      <c r="I72" s="303">
        <v>0</v>
      </c>
      <c r="J72" s="307">
        <v>0</v>
      </c>
      <c r="K72" s="303">
        <v>0</v>
      </c>
      <c r="L72" s="301">
        <v>0</v>
      </c>
      <c r="M72" s="301">
        <v>0</v>
      </c>
      <c r="N72" s="301">
        <v>0</v>
      </c>
      <c r="O72" s="304">
        <v>0</v>
      </c>
      <c r="P72" s="301">
        <v>0</v>
      </c>
      <c r="Q72" s="311">
        <v>0</v>
      </c>
      <c r="R72" s="311">
        <v>0</v>
      </c>
      <c r="S72" s="311">
        <v>0</v>
      </c>
      <c r="T72" s="304">
        <v>0</v>
      </c>
      <c r="U72" s="301">
        <v>0</v>
      </c>
      <c r="V72" s="301">
        <v>0</v>
      </c>
      <c r="W72" s="301">
        <v>0</v>
      </c>
      <c r="X72" s="510">
        <v>0</v>
      </c>
      <c r="Y72" s="305">
        <v>0</v>
      </c>
      <c r="Z72" s="301">
        <v>0</v>
      </c>
      <c r="AA72" s="301">
        <v>0</v>
      </c>
      <c r="AB72" s="301">
        <v>0</v>
      </c>
      <c r="AC72" s="304">
        <f>AF72</f>
        <v>0</v>
      </c>
      <c r="AD72" s="301">
        <v>0</v>
      </c>
      <c r="AE72" s="301">
        <v>0</v>
      </c>
      <c r="AF72" s="301">
        <v>0</v>
      </c>
      <c r="AG72" s="510">
        <v>0</v>
      </c>
      <c r="AH72" s="304">
        <v>0</v>
      </c>
      <c r="AI72" s="301">
        <v>0</v>
      </c>
      <c r="AJ72" s="301">
        <v>0</v>
      </c>
      <c r="AK72" s="301">
        <v>0</v>
      </c>
      <c r="AL72" s="306"/>
    </row>
    <row r="73" spans="1:57" s="266" customFormat="1" ht="45.6" customHeight="1" outlineLevel="1" x14ac:dyDescent="0.25">
      <c r="A73" s="303" t="s">
        <v>491</v>
      </c>
      <c r="B73" s="302" t="s">
        <v>435</v>
      </c>
      <c r="C73" s="303">
        <v>0</v>
      </c>
      <c r="D73" s="310">
        <f t="shared" si="0"/>
        <v>0</v>
      </c>
      <c r="E73" s="303">
        <v>0</v>
      </c>
      <c r="F73" s="307">
        <v>0</v>
      </c>
      <c r="G73" s="303">
        <v>0</v>
      </c>
      <c r="H73" s="303">
        <v>0</v>
      </c>
      <c r="I73" s="303">
        <v>0</v>
      </c>
      <c r="J73" s="307">
        <v>0</v>
      </c>
      <c r="K73" s="303">
        <v>0</v>
      </c>
      <c r="L73" s="301">
        <v>0</v>
      </c>
      <c r="M73" s="301">
        <v>0</v>
      </c>
      <c r="N73" s="301">
        <v>0</v>
      </c>
      <c r="O73" s="304">
        <v>0</v>
      </c>
      <c r="P73" s="301">
        <v>0</v>
      </c>
      <c r="Q73" s="311">
        <v>0</v>
      </c>
      <c r="R73" s="311">
        <v>0</v>
      </c>
      <c r="S73" s="311">
        <v>0</v>
      </c>
      <c r="T73" s="304">
        <v>0</v>
      </c>
      <c r="U73" s="301">
        <v>0</v>
      </c>
      <c r="V73" s="301">
        <v>0</v>
      </c>
      <c r="W73" s="301">
        <v>0</v>
      </c>
      <c r="X73" s="510">
        <v>0</v>
      </c>
      <c r="Y73" s="305">
        <v>0</v>
      </c>
      <c r="Z73" s="301">
        <v>0</v>
      </c>
      <c r="AA73" s="301">
        <v>0</v>
      </c>
      <c r="AB73" s="301">
        <v>0</v>
      </c>
      <c r="AC73" s="304">
        <f>AF73</f>
        <v>0</v>
      </c>
      <c r="AD73" s="301">
        <v>0</v>
      </c>
      <c r="AE73" s="301">
        <v>0</v>
      </c>
      <c r="AF73" s="301">
        <v>0</v>
      </c>
      <c r="AG73" s="510">
        <v>0</v>
      </c>
      <c r="AH73" s="304">
        <v>0</v>
      </c>
      <c r="AI73" s="301">
        <v>0</v>
      </c>
      <c r="AJ73" s="301">
        <v>0</v>
      </c>
      <c r="AK73" s="301">
        <v>0</v>
      </c>
      <c r="AL73" s="306"/>
    </row>
    <row r="74" spans="1:57" s="266" customFormat="1" ht="116.4" customHeight="1" outlineLevel="1" x14ac:dyDescent="0.25">
      <c r="A74" s="303" t="s">
        <v>492</v>
      </c>
      <c r="B74" s="302" t="s">
        <v>1382</v>
      </c>
      <c r="C74" s="303">
        <v>0</v>
      </c>
      <c r="D74" s="310">
        <f t="shared" si="0"/>
        <v>0</v>
      </c>
      <c r="E74" s="303">
        <v>0</v>
      </c>
      <c r="F74" s="307">
        <v>0</v>
      </c>
      <c r="G74" s="303">
        <v>0</v>
      </c>
      <c r="H74" s="303">
        <v>0</v>
      </c>
      <c r="I74" s="303">
        <v>0</v>
      </c>
      <c r="J74" s="307">
        <v>0</v>
      </c>
      <c r="K74" s="303">
        <v>0</v>
      </c>
      <c r="L74" s="301">
        <v>0</v>
      </c>
      <c r="M74" s="301">
        <v>0</v>
      </c>
      <c r="N74" s="301">
        <v>0</v>
      </c>
      <c r="O74" s="304">
        <v>0</v>
      </c>
      <c r="P74" s="301">
        <v>0</v>
      </c>
      <c r="Q74" s="311">
        <v>0</v>
      </c>
      <c r="R74" s="311">
        <v>0</v>
      </c>
      <c r="S74" s="311">
        <v>0</v>
      </c>
      <c r="T74" s="304">
        <v>0</v>
      </c>
      <c r="U74" s="301">
        <v>0</v>
      </c>
      <c r="V74" s="301">
        <v>0</v>
      </c>
      <c r="W74" s="301">
        <v>0</v>
      </c>
      <c r="X74" s="510">
        <v>0</v>
      </c>
      <c r="Y74" s="305">
        <f>AA74</f>
        <v>0</v>
      </c>
      <c r="Z74" s="301">
        <v>0</v>
      </c>
      <c r="AA74" s="301">
        <v>0</v>
      </c>
      <c r="AB74" s="301">
        <v>0</v>
      </c>
      <c r="AC74" s="304">
        <v>0</v>
      </c>
      <c r="AD74" s="301">
        <v>0</v>
      </c>
      <c r="AE74" s="301">
        <v>0</v>
      </c>
      <c r="AF74" s="301">
        <v>0</v>
      </c>
      <c r="AG74" s="510">
        <v>0</v>
      </c>
      <c r="AH74" s="304">
        <v>0</v>
      </c>
      <c r="AI74" s="301">
        <v>0</v>
      </c>
      <c r="AJ74" s="301">
        <v>0</v>
      </c>
      <c r="AK74" s="301">
        <v>0</v>
      </c>
      <c r="AL74" s="306"/>
    </row>
    <row r="75" spans="1:57" s="266" customFormat="1" ht="43.5" customHeight="1" outlineLevel="1" x14ac:dyDescent="0.25">
      <c r="A75" s="303"/>
      <c r="B75" s="302" t="s">
        <v>425</v>
      </c>
      <c r="C75" s="303">
        <v>0</v>
      </c>
      <c r="D75" s="310">
        <f t="shared" si="0"/>
        <v>0</v>
      </c>
      <c r="E75" s="303">
        <v>0</v>
      </c>
      <c r="F75" s="307">
        <v>0</v>
      </c>
      <c r="G75" s="303">
        <v>0</v>
      </c>
      <c r="H75" s="303">
        <v>0</v>
      </c>
      <c r="I75" s="303">
        <v>0</v>
      </c>
      <c r="J75" s="307">
        <v>0</v>
      </c>
      <c r="K75" s="303">
        <v>0</v>
      </c>
      <c r="L75" s="301">
        <v>0</v>
      </c>
      <c r="M75" s="301">
        <v>0</v>
      </c>
      <c r="N75" s="301">
        <v>0</v>
      </c>
      <c r="O75" s="304">
        <v>0</v>
      </c>
      <c r="P75" s="301">
        <v>0</v>
      </c>
      <c r="Q75" s="301">
        <v>0</v>
      </c>
      <c r="R75" s="301">
        <v>0</v>
      </c>
      <c r="S75" s="301">
        <v>0</v>
      </c>
      <c r="T75" s="304">
        <v>0</v>
      </c>
      <c r="U75" s="301">
        <v>0</v>
      </c>
      <c r="V75" s="301">
        <v>0</v>
      </c>
      <c r="W75" s="301">
        <v>0</v>
      </c>
      <c r="X75" s="510">
        <v>0</v>
      </c>
      <c r="Y75" s="305">
        <v>0</v>
      </c>
      <c r="Z75" s="301">
        <v>0</v>
      </c>
      <c r="AA75" s="301">
        <v>0</v>
      </c>
      <c r="AB75" s="301">
        <v>0</v>
      </c>
      <c r="AC75" s="304">
        <v>0</v>
      </c>
      <c r="AD75" s="301">
        <v>0</v>
      </c>
      <c r="AE75" s="301">
        <v>0</v>
      </c>
      <c r="AF75" s="301">
        <v>0</v>
      </c>
      <c r="AG75" s="510">
        <v>0</v>
      </c>
      <c r="AH75" s="304">
        <v>0</v>
      </c>
      <c r="AI75" s="301">
        <v>0</v>
      </c>
      <c r="AJ75" s="301">
        <v>0</v>
      </c>
      <c r="AK75" s="301">
        <v>0</v>
      </c>
      <c r="AL75" s="306"/>
    </row>
    <row r="76" spans="1:57" s="266" customFormat="1" ht="78.599999999999994" customHeight="1" outlineLevel="1" x14ac:dyDescent="0.25">
      <c r="A76" s="303" t="s">
        <v>493</v>
      </c>
      <c r="B76" s="302" t="s">
        <v>494</v>
      </c>
      <c r="C76" s="303">
        <f>E76+I76+N76+S76+X76+AB76+AG76</f>
        <v>0</v>
      </c>
      <c r="D76" s="310">
        <f t="shared" si="0"/>
        <v>0</v>
      </c>
      <c r="E76" s="303">
        <v>0</v>
      </c>
      <c r="F76" s="307">
        <v>0</v>
      </c>
      <c r="G76" s="303">
        <v>0</v>
      </c>
      <c r="H76" s="303">
        <v>0</v>
      </c>
      <c r="I76" s="303">
        <v>0</v>
      </c>
      <c r="J76" s="307">
        <v>0</v>
      </c>
      <c r="K76" s="303">
        <v>0</v>
      </c>
      <c r="L76" s="301">
        <v>0</v>
      </c>
      <c r="M76" s="301">
        <v>0</v>
      </c>
      <c r="N76" s="301">
        <v>0</v>
      </c>
      <c r="O76" s="304">
        <v>0</v>
      </c>
      <c r="P76" s="301">
        <v>0</v>
      </c>
      <c r="Q76" s="301">
        <v>0</v>
      </c>
      <c r="R76" s="301">
        <v>0</v>
      </c>
      <c r="S76" s="301">
        <v>0</v>
      </c>
      <c r="T76" s="304">
        <v>0</v>
      </c>
      <c r="U76" s="301">
        <v>0</v>
      </c>
      <c r="V76" s="301">
        <v>0</v>
      </c>
      <c r="W76" s="301">
        <v>0</v>
      </c>
      <c r="X76" s="510">
        <v>0</v>
      </c>
      <c r="Y76" s="305">
        <v>0</v>
      </c>
      <c r="Z76" s="301">
        <v>0</v>
      </c>
      <c r="AA76" s="301">
        <v>0</v>
      </c>
      <c r="AB76" s="301">
        <v>0</v>
      </c>
      <c r="AC76" s="304">
        <v>0</v>
      </c>
      <c r="AD76" s="301">
        <v>0</v>
      </c>
      <c r="AE76" s="301">
        <v>0</v>
      </c>
      <c r="AF76" s="301">
        <v>0</v>
      </c>
      <c r="AG76" s="510">
        <v>0</v>
      </c>
      <c r="AH76" s="304">
        <v>0</v>
      </c>
      <c r="AI76" s="301">
        <v>0</v>
      </c>
      <c r="AJ76" s="301">
        <v>0</v>
      </c>
      <c r="AK76" s="301">
        <v>0</v>
      </c>
      <c r="AL76" s="306"/>
    </row>
    <row r="77" spans="1:57" s="266" customFormat="1" ht="88.95" customHeight="1" outlineLevel="1" x14ac:dyDescent="0.25">
      <c r="A77" s="303" t="s">
        <v>495</v>
      </c>
      <c r="B77" s="302" t="s">
        <v>496</v>
      </c>
      <c r="C77" s="303">
        <v>0</v>
      </c>
      <c r="D77" s="310">
        <f t="shared" si="0"/>
        <v>0</v>
      </c>
      <c r="E77" s="303">
        <v>0</v>
      </c>
      <c r="F77" s="307">
        <v>0</v>
      </c>
      <c r="G77" s="303">
        <v>0</v>
      </c>
      <c r="H77" s="303">
        <v>0</v>
      </c>
      <c r="I77" s="303">
        <v>0</v>
      </c>
      <c r="J77" s="307">
        <v>0</v>
      </c>
      <c r="K77" s="303">
        <v>0</v>
      </c>
      <c r="L77" s="301">
        <v>0</v>
      </c>
      <c r="M77" s="301">
        <v>0</v>
      </c>
      <c r="N77" s="301">
        <v>0</v>
      </c>
      <c r="O77" s="304">
        <v>0</v>
      </c>
      <c r="P77" s="301">
        <v>0</v>
      </c>
      <c r="Q77" s="301">
        <v>0</v>
      </c>
      <c r="R77" s="301">
        <v>0</v>
      </c>
      <c r="S77" s="301">
        <v>0</v>
      </c>
      <c r="T77" s="304">
        <v>0</v>
      </c>
      <c r="U77" s="301">
        <v>0</v>
      </c>
      <c r="V77" s="301">
        <v>0</v>
      </c>
      <c r="W77" s="301">
        <v>0</v>
      </c>
      <c r="X77" s="510">
        <v>0</v>
      </c>
      <c r="Y77" s="305">
        <v>0</v>
      </c>
      <c r="Z77" s="301">
        <v>0</v>
      </c>
      <c r="AA77" s="301">
        <v>0</v>
      </c>
      <c r="AB77" s="301">
        <v>0</v>
      </c>
      <c r="AC77" s="318">
        <v>0</v>
      </c>
      <c r="AD77" s="311">
        <v>0</v>
      </c>
      <c r="AE77" s="311">
        <v>0</v>
      </c>
      <c r="AF77" s="311">
        <v>0</v>
      </c>
      <c r="AG77" s="493">
        <v>0</v>
      </c>
      <c r="AH77" s="318">
        <v>0</v>
      </c>
      <c r="AI77" s="311">
        <v>0</v>
      </c>
      <c r="AJ77" s="311">
        <v>0</v>
      </c>
      <c r="AK77" s="311">
        <v>0</v>
      </c>
      <c r="AL77" s="306"/>
    </row>
    <row r="78" spans="1:57" s="265" customFormat="1" ht="109.2" customHeight="1" outlineLevel="1" x14ac:dyDescent="0.3">
      <c r="A78" s="431" t="s">
        <v>497</v>
      </c>
      <c r="B78" s="319" t="s">
        <v>498</v>
      </c>
      <c r="C78" s="431">
        <f>E78+I78+N78+S78+X78+AB78+AG78</f>
        <v>0</v>
      </c>
      <c r="D78" s="431">
        <f t="shared" si="0"/>
        <v>27479.1</v>
      </c>
      <c r="E78" s="431">
        <v>0</v>
      </c>
      <c r="F78" s="431">
        <f>F79++F80+F81+F82+F83+F84+F85+F88</f>
        <v>0</v>
      </c>
      <c r="G78" s="431">
        <f>G79++G80+G81+G82+G83+G84+G85+G88</f>
        <v>0</v>
      </c>
      <c r="H78" s="431">
        <f>H79++H80+H81+H82+H83+H84+H85+H88</f>
        <v>0</v>
      </c>
      <c r="I78" s="431">
        <f>I79++I80+I81+I82+I83+I84+I85+I88</f>
        <v>0</v>
      </c>
      <c r="J78" s="431">
        <f>J79++J80+J81+J82+J83+J84+J85+J88</f>
        <v>0</v>
      </c>
      <c r="K78" s="431">
        <v>0</v>
      </c>
      <c r="L78" s="431">
        <f>L79++L80+L81+L82+L83+L84+L85+L88</f>
        <v>0</v>
      </c>
      <c r="M78" s="431">
        <f>M79++M80+M81+M82+M83+M84+M85+M88</f>
        <v>0</v>
      </c>
      <c r="N78" s="431">
        <f>N79++N80+N81+N82+N83+N84+N85+N88</f>
        <v>0</v>
      </c>
      <c r="O78" s="431">
        <f>O79++O80+O81+O82+O83+O84+O85+O88</f>
        <v>27479.1</v>
      </c>
      <c r="P78" s="431">
        <v>0</v>
      </c>
      <c r="Q78" s="431">
        <f>Q79++Q80+Q81+Q82+Q83+Q84+Q85+Q88</f>
        <v>0</v>
      </c>
      <c r="R78" s="431">
        <f>R79++R80+R81+R82+R83+R84+R85+R88</f>
        <v>27479.1</v>
      </c>
      <c r="S78" s="431">
        <f>S79++S80+S81+S82+S83+S84+S85+S88</f>
        <v>0</v>
      </c>
      <c r="T78" s="433">
        <f>T79++T80+T81+T82+T83+T84+T85+T88</f>
        <v>0</v>
      </c>
      <c r="U78" s="433">
        <v>0</v>
      </c>
      <c r="V78" s="433">
        <f t="shared" ref="V78:AC78" si="14">V79++V80+V81+V82+V83+V84+V85+V88</f>
        <v>0</v>
      </c>
      <c r="W78" s="433">
        <f t="shared" si="14"/>
        <v>0</v>
      </c>
      <c r="X78" s="481">
        <f t="shared" si="14"/>
        <v>0</v>
      </c>
      <c r="Y78" s="433">
        <f t="shared" si="14"/>
        <v>0</v>
      </c>
      <c r="Z78" s="431">
        <f t="shared" si="14"/>
        <v>0</v>
      </c>
      <c r="AA78" s="431">
        <f t="shared" si="14"/>
        <v>0</v>
      </c>
      <c r="AB78" s="431">
        <f t="shared" si="14"/>
        <v>0</v>
      </c>
      <c r="AC78" s="431">
        <f t="shared" si="14"/>
        <v>0</v>
      </c>
      <c r="AD78" s="433">
        <v>0</v>
      </c>
      <c r="AE78" s="431">
        <f>AE79++AE80+AE81+AE82+AE83+AE84+AE85+AE88</f>
        <v>0</v>
      </c>
      <c r="AF78" s="431">
        <f>AF79++AF80+AF81+AF82+AF83+AF84+AF85+AF88</f>
        <v>0</v>
      </c>
      <c r="AG78" s="481">
        <f>AG79++AG80+AG81+AG82+AG83+AG84+AG85+AG88</f>
        <v>0</v>
      </c>
      <c r="AH78" s="431">
        <f>AH79+AH80+AH81+AH82+AH83+AH84+AH85+AH86+AH87+AH89</f>
        <v>0</v>
      </c>
      <c r="AI78" s="431">
        <f>AI79+AI80+AI81+AI82+AI83+AI84+AI85+AI86+AI87+AI89</f>
        <v>0</v>
      </c>
      <c r="AJ78" s="431">
        <f>AJ79+AJ80+AJ81+AJ82+AJ83+AJ84+AJ85+AJ86+AJ87+AJ89</f>
        <v>0</v>
      </c>
      <c r="AK78" s="431">
        <f>AK79+AK80+AK81+AK82+AK83+AK84+AK85+AK86+AK87+AK89</f>
        <v>0</v>
      </c>
      <c r="AL78" s="299"/>
      <c r="AM78" s="206"/>
      <c r="AN78" s="206"/>
      <c r="AO78" s="206"/>
      <c r="AP78" s="206"/>
      <c r="AQ78" s="206"/>
      <c r="AR78" s="206"/>
      <c r="AS78" s="206"/>
      <c r="AT78" s="206"/>
      <c r="AU78" s="206"/>
      <c r="AV78" s="206"/>
      <c r="AW78" s="206"/>
      <c r="AX78" s="206"/>
      <c r="AY78" s="206"/>
      <c r="AZ78" s="206"/>
      <c r="BA78" s="206"/>
      <c r="BB78" s="206"/>
      <c r="BC78" s="206"/>
      <c r="BD78" s="206"/>
      <c r="BE78" s="206"/>
    </row>
    <row r="79" spans="1:57" s="266" customFormat="1" ht="165" customHeight="1" outlineLevel="1" x14ac:dyDescent="0.25">
      <c r="A79" s="303" t="s">
        <v>499</v>
      </c>
      <c r="B79" s="302" t="s">
        <v>500</v>
      </c>
      <c r="C79" s="303">
        <v>0</v>
      </c>
      <c r="D79" s="310">
        <f t="shared" si="0"/>
        <v>0</v>
      </c>
      <c r="E79" s="303">
        <v>0</v>
      </c>
      <c r="F79" s="307">
        <v>0</v>
      </c>
      <c r="G79" s="303">
        <v>0</v>
      </c>
      <c r="H79" s="303">
        <v>0</v>
      </c>
      <c r="I79" s="303">
        <v>0</v>
      </c>
      <c r="J79" s="304">
        <v>0</v>
      </c>
      <c r="K79" s="301">
        <v>0</v>
      </c>
      <c r="L79" s="301">
        <v>0</v>
      </c>
      <c r="M79" s="301">
        <v>0</v>
      </c>
      <c r="N79" s="301">
        <v>0</v>
      </c>
      <c r="O79" s="304">
        <v>0</v>
      </c>
      <c r="P79" s="301">
        <v>0</v>
      </c>
      <c r="Q79" s="301">
        <v>0</v>
      </c>
      <c r="R79" s="301">
        <v>0</v>
      </c>
      <c r="S79" s="301">
        <v>0</v>
      </c>
      <c r="T79" s="313">
        <v>0</v>
      </c>
      <c r="U79" s="314">
        <v>0</v>
      </c>
      <c r="V79" s="314">
        <v>0</v>
      </c>
      <c r="W79" s="314">
        <v>0</v>
      </c>
      <c r="X79" s="511">
        <v>0</v>
      </c>
      <c r="Y79" s="305">
        <f>AA79</f>
        <v>0</v>
      </c>
      <c r="Z79" s="301">
        <v>0</v>
      </c>
      <c r="AA79" s="301">
        <v>0</v>
      </c>
      <c r="AB79" s="301">
        <v>0</v>
      </c>
      <c r="AC79" s="304">
        <f>AF79</f>
        <v>0</v>
      </c>
      <c r="AD79" s="301">
        <v>0</v>
      </c>
      <c r="AE79" s="301">
        <v>0</v>
      </c>
      <c r="AF79" s="301">
        <v>0</v>
      </c>
      <c r="AG79" s="510">
        <v>0</v>
      </c>
      <c r="AH79" s="304">
        <v>0</v>
      </c>
      <c r="AI79" s="301">
        <v>0</v>
      </c>
      <c r="AJ79" s="301">
        <v>0</v>
      </c>
      <c r="AK79" s="301">
        <v>0</v>
      </c>
      <c r="AL79" s="306"/>
    </row>
    <row r="80" spans="1:57" s="266" customFormat="1" ht="219" customHeight="1" outlineLevel="1" x14ac:dyDescent="0.25">
      <c r="A80" s="303" t="s">
        <v>501</v>
      </c>
      <c r="B80" s="302" t="s">
        <v>423</v>
      </c>
      <c r="C80" s="303">
        <v>0</v>
      </c>
      <c r="D80" s="310">
        <f t="shared" ref="D80:D136" si="15">F80+J80+O80+T80+Y80+AC80+AH80</f>
        <v>0</v>
      </c>
      <c r="E80" s="303">
        <v>0</v>
      </c>
      <c r="F80" s="307">
        <v>0</v>
      </c>
      <c r="G80" s="303">
        <v>0</v>
      </c>
      <c r="H80" s="303">
        <v>0</v>
      </c>
      <c r="I80" s="303">
        <v>0</v>
      </c>
      <c r="J80" s="307">
        <v>0</v>
      </c>
      <c r="K80" s="303">
        <v>0</v>
      </c>
      <c r="L80" s="301">
        <v>0</v>
      </c>
      <c r="M80" s="301">
        <v>0</v>
      </c>
      <c r="N80" s="301">
        <v>0</v>
      </c>
      <c r="O80" s="304">
        <v>0</v>
      </c>
      <c r="P80" s="301">
        <v>0</v>
      </c>
      <c r="Q80" s="301">
        <v>0</v>
      </c>
      <c r="R80" s="301">
        <v>0</v>
      </c>
      <c r="S80" s="301">
        <v>0</v>
      </c>
      <c r="T80" s="313">
        <v>0</v>
      </c>
      <c r="U80" s="314">
        <v>0</v>
      </c>
      <c r="V80" s="314">
        <v>0</v>
      </c>
      <c r="W80" s="314">
        <v>0</v>
      </c>
      <c r="X80" s="511">
        <v>0</v>
      </c>
      <c r="Y80" s="305">
        <v>0</v>
      </c>
      <c r="Z80" s="301">
        <v>0</v>
      </c>
      <c r="AA80" s="301">
        <v>0</v>
      </c>
      <c r="AB80" s="301">
        <v>0</v>
      </c>
      <c r="AC80" s="304">
        <f>AF80</f>
        <v>0</v>
      </c>
      <c r="AD80" s="301">
        <v>0</v>
      </c>
      <c r="AE80" s="301">
        <v>0</v>
      </c>
      <c r="AF80" s="301">
        <v>0</v>
      </c>
      <c r="AG80" s="510">
        <v>0</v>
      </c>
      <c r="AH80" s="304">
        <v>0</v>
      </c>
      <c r="AI80" s="301">
        <v>0</v>
      </c>
      <c r="AJ80" s="301">
        <v>0</v>
      </c>
      <c r="AK80" s="301">
        <v>0</v>
      </c>
      <c r="AL80" s="306"/>
    </row>
    <row r="81" spans="1:55" s="266" customFormat="1" ht="33" customHeight="1" outlineLevel="1" x14ac:dyDescent="0.25">
      <c r="A81" s="303" t="s">
        <v>502</v>
      </c>
      <c r="B81" s="302" t="s">
        <v>435</v>
      </c>
      <c r="C81" s="303">
        <v>0</v>
      </c>
      <c r="D81" s="310">
        <f t="shared" si="15"/>
        <v>0</v>
      </c>
      <c r="E81" s="303">
        <v>0</v>
      </c>
      <c r="F81" s="307">
        <v>0</v>
      </c>
      <c r="G81" s="303">
        <v>0</v>
      </c>
      <c r="H81" s="303">
        <v>0</v>
      </c>
      <c r="I81" s="303"/>
      <c r="J81" s="307">
        <v>0</v>
      </c>
      <c r="K81" s="303">
        <v>0</v>
      </c>
      <c r="L81" s="301">
        <v>0</v>
      </c>
      <c r="M81" s="301">
        <v>0</v>
      </c>
      <c r="N81" s="301">
        <v>0</v>
      </c>
      <c r="O81" s="304">
        <v>0</v>
      </c>
      <c r="P81" s="301">
        <v>0</v>
      </c>
      <c r="Q81" s="301">
        <v>0</v>
      </c>
      <c r="R81" s="301">
        <v>0</v>
      </c>
      <c r="S81" s="301">
        <v>0</v>
      </c>
      <c r="T81" s="313">
        <v>0</v>
      </c>
      <c r="U81" s="314">
        <v>0</v>
      </c>
      <c r="V81" s="314">
        <v>0</v>
      </c>
      <c r="W81" s="314">
        <v>0</v>
      </c>
      <c r="X81" s="511">
        <v>0</v>
      </c>
      <c r="Y81" s="305">
        <v>0</v>
      </c>
      <c r="Z81" s="301">
        <v>0</v>
      </c>
      <c r="AA81" s="301">
        <v>0</v>
      </c>
      <c r="AB81" s="301">
        <v>0</v>
      </c>
      <c r="AC81" s="304">
        <f>AF81</f>
        <v>0</v>
      </c>
      <c r="AD81" s="301">
        <v>0</v>
      </c>
      <c r="AE81" s="301">
        <v>0</v>
      </c>
      <c r="AF81" s="301">
        <v>0</v>
      </c>
      <c r="AG81" s="510">
        <v>0</v>
      </c>
      <c r="AH81" s="304">
        <v>0</v>
      </c>
      <c r="AI81" s="301">
        <v>0</v>
      </c>
      <c r="AJ81" s="301">
        <v>0</v>
      </c>
      <c r="AK81" s="301">
        <v>0</v>
      </c>
      <c r="AL81" s="306"/>
    </row>
    <row r="82" spans="1:55" s="266" customFormat="1" ht="149.4" customHeight="1" outlineLevel="1" x14ac:dyDescent="0.25">
      <c r="A82" s="303" t="s">
        <v>503</v>
      </c>
      <c r="B82" s="320" t="s">
        <v>504</v>
      </c>
      <c r="C82" s="303">
        <v>0</v>
      </c>
      <c r="D82" s="310">
        <f t="shared" si="15"/>
        <v>27479.1</v>
      </c>
      <c r="E82" s="303">
        <v>0</v>
      </c>
      <c r="F82" s="307">
        <v>0</v>
      </c>
      <c r="G82" s="303">
        <v>0</v>
      </c>
      <c r="H82" s="303">
        <v>0</v>
      </c>
      <c r="I82" s="303">
        <v>0</v>
      </c>
      <c r="J82" s="307">
        <v>0</v>
      </c>
      <c r="K82" s="303">
        <v>0</v>
      </c>
      <c r="L82" s="301">
        <v>0</v>
      </c>
      <c r="M82" s="301">
        <v>0</v>
      </c>
      <c r="N82" s="301">
        <v>0</v>
      </c>
      <c r="O82" s="304">
        <f>R82</f>
        <v>27479.1</v>
      </c>
      <c r="P82" s="301">
        <v>0</v>
      </c>
      <c r="Q82" s="301">
        <v>0</v>
      </c>
      <c r="R82" s="301">
        <v>27479.1</v>
      </c>
      <c r="S82" s="301">
        <v>0</v>
      </c>
      <c r="T82" s="313">
        <v>0</v>
      </c>
      <c r="U82" s="314">
        <v>0</v>
      </c>
      <c r="V82" s="314">
        <v>0</v>
      </c>
      <c r="W82" s="314">
        <v>0</v>
      </c>
      <c r="X82" s="511">
        <v>0</v>
      </c>
      <c r="Y82" s="305">
        <v>0</v>
      </c>
      <c r="Z82" s="301">
        <v>0</v>
      </c>
      <c r="AA82" s="301">
        <v>0</v>
      </c>
      <c r="AB82" s="301">
        <v>0</v>
      </c>
      <c r="AC82" s="304">
        <v>0</v>
      </c>
      <c r="AD82" s="301">
        <v>0</v>
      </c>
      <c r="AE82" s="301">
        <v>0</v>
      </c>
      <c r="AF82" s="301">
        <v>0</v>
      </c>
      <c r="AG82" s="510">
        <v>0</v>
      </c>
      <c r="AH82" s="313">
        <v>0</v>
      </c>
      <c r="AI82" s="314">
        <v>0</v>
      </c>
      <c r="AJ82" s="314">
        <v>0</v>
      </c>
      <c r="AK82" s="314">
        <v>0</v>
      </c>
      <c r="AL82" s="306"/>
    </row>
    <row r="83" spans="1:55" s="266" customFormat="1" ht="42" customHeight="1" outlineLevel="1" x14ac:dyDescent="0.25">
      <c r="A83" s="303"/>
      <c r="B83" s="302" t="s">
        <v>505</v>
      </c>
      <c r="C83" s="303">
        <v>0</v>
      </c>
      <c r="D83" s="310">
        <f t="shared" si="15"/>
        <v>0</v>
      </c>
      <c r="E83" s="303">
        <v>0</v>
      </c>
      <c r="F83" s="307">
        <v>0</v>
      </c>
      <c r="G83" s="303">
        <v>0</v>
      </c>
      <c r="H83" s="303">
        <v>0</v>
      </c>
      <c r="I83" s="303">
        <v>0</v>
      </c>
      <c r="J83" s="307">
        <v>0</v>
      </c>
      <c r="K83" s="303">
        <v>0</v>
      </c>
      <c r="L83" s="301">
        <v>0</v>
      </c>
      <c r="M83" s="301">
        <v>0</v>
      </c>
      <c r="N83" s="301">
        <v>0</v>
      </c>
      <c r="O83" s="304">
        <v>0</v>
      </c>
      <c r="P83" s="301">
        <v>0</v>
      </c>
      <c r="Q83" s="301">
        <v>0</v>
      </c>
      <c r="R83" s="301">
        <v>0</v>
      </c>
      <c r="S83" s="301">
        <v>0</v>
      </c>
      <c r="T83" s="313">
        <v>0</v>
      </c>
      <c r="U83" s="314">
        <v>0</v>
      </c>
      <c r="V83" s="314">
        <v>0</v>
      </c>
      <c r="W83" s="314">
        <v>0</v>
      </c>
      <c r="X83" s="511">
        <v>0</v>
      </c>
      <c r="Y83" s="305">
        <v>0</v>
      </c>
      <c r="Z83" s="301">
        <v>0</v>
      </c>
      <c r="AA83" s="301">
        <v>0</v>
      </c>
      <c r="AB83" s="301">
        <v>0</v>
      </c>
      <c r="AC83" s="304">
        <v>0</v>
      </c>
      <c r="AD83" s="301">
        <v>0</v>
      </c>
      <c r="AE83" s="301">
        <v>0</v>
      </c>
      <c r="AF83" s="301">
        <v>0</v>
      </c>
      <c r="AG83" s="510">
        <v>0</v>
      </c>
      <c r="AH83" s="304">
        <v>0</v>
      </c>
      <c r="AI83" s="301">
        <v>0</v>
      </c>
      <c r="AJ83" s="301">
        <v>0</v>
      </c>
      <c r="AK83" s="301">
        <v>0</v>
      </c>
      <c r="AL83" s="306"/>
    </row>
    <row r="84" spans="1:55" s="266" customFormat="1" ht="99.6" customHeight="1" outlineLevel="1" x14ac:dyDescent="0.25">
      <c r="A84" s="303" t="s">
        <v>506</v>
      </c>
      <c r="B84" s="302" t="s">
        <v>507</v>
      </c>
      <c r="C84" s="303">
        <v>0</v>
      </c>
      <c r="D84" s="310">
        <f t="shared" si="15"/>
        <v>0</v>
      </c>
      <c r="E84" s="303">
        <v>0</v>
      </c>
      <c r="F84" s="307">
        <v>0</v>
      </c>
      <c r="G84" s="303">
        <v>0</v>
      </c>
      <c r="H84" s="303">
        <v>0</v>
      </c>
      <c r="I84" s="303">
        <v>0</v>
      </c>
      <c r="J84" s="307">
        <v>0</v>
      </c>
      <c r="K84" s="303">
        <v>0</v>
      </c>
      <c r="L84" s="301">
        <v>0</v>
      </c>
      <c r="M84" s="301">
        <v>0</v>
      </c>
      <c r="N84" s="301">
        <v>0</v>
      </c>
      <c r="O84" s="304">
        <v>0</v>
      </c>
      <c r="P84" s="301">
        <v>0</v>
      </c>
      <c r="Q84" s="301">
        <v>0</v>
      </c>
      <c r="R84" s="301">
        <v>0</v>
      </c>
      <c r="S84" s="301">
        <v>0</v>
      </c>
      <c r="T84" s="313">
        <v>0</v>
      </c>
      <c r="U84" s="314">
        <v>0</v>
      </c>
      <c r="V84" s="314">
        <v>0</v>
      </c>
      <c r="W84" s="314">
        <v>0</v>
      </c>
      <c r="X84" s="511">
        <v>0</v>
      </c>
      <c r="Y84" s="305">
        <v>0</v>
      </c>
      <c r="Z84" s="301">
        <v>0</v>
      </c>
      <c r="AA84" s="301">
        <v>0</v>
      </c>
      <c r="AB84" s="301">
        <v>0</v>
      </c>
      <c r="AC84" s="304">
        <f>AE84+AF84</f>
        <v>0</v>
      </c>
      <c r="AD84" s="301">
        <v>0</v>
      </c>
      <c r="AE84" s="301">
        <v>0</v>
      </c>
      <c r="AF84" s="301">
        <v>0</v>
      </c>
      <c r="AG84" s="510">
        <v>0</v>
      </c>
      <c r="AH84" s="304">
        <v>0</v>
      </c>
      <c r="AI84" s="301">
        <v>0</v>
      </c>
      <c r="AJ84" s="301">
        <v>0</v>
      </c>
      <c r="AK84" s="301">
        <v>0</v>
      </c>
      <c r="AL84" s="306"/>
    </row>
    <row r="85" spans="1:55" s="266" customFormat="1" ht="172.95" customHeight="1" outlineLevel="1" x14ac:dyDescent="0.25">
      <c r="A85" s="303" t="s">
        <v>508</v>
      </c>
      <c r="B85" s="302" t="s">
        <v>509</v>
      </c>
      <c r="C85" s="303"/>
      <c r="D85" s="310">
        <f t="shared" si="15"/>
        <v>0</v>
      </c>
      <c r="E85" s="303">
        <v>0</v>
      </c>
      <c r="F85" s="307">
        <v>0</v>
      </c>
      <c r="G85" s="303">
        <v>0</v>
      </c>
      <c r="H85" s="303">
        <v>0</v>
      </c>
      <c r="I85" s="303">
        <v>0</v>
      </c>
      <c r="J85" s="307">
        <v>0</v>
      </c>
      <c r="K85" s="303">
        <v>0</v>
      </c>
      <c r="L85" s="301">
        <v>0</v>
      </c>
      <c r="M85" s="301">
        <v>0</v>
      </c>
      <c r="N85" s="301">
        <v>0</v>
      </c>
      <c r="O85" s="304">
        <v>0</v>
      </c>
      <c r="P85" s="301">
        <v>0</v>
      </c>
      <c r="Q85" s="301">
        <v>0</v>
      </c>
      <c r="R85" s="301">
        <v>0</v>
      </c>
      <c r="S85" s="301">
        <v>0</v>
      </c>
      <c r="T85" s="313">
        <v>0</v>
      </c>
      <c r="U85" s="314">
        <v>0</v>
      </c>
      <c r="V85" s="314">
        <v>0</v>
      </c>
      <c r="W85" s="314">
        <v>0</v>
      </c>
      <c r="X85" s="511">
        <v>0</v>
      </c>
      <c r="Y85" s="305">
        <v>0</v>
      </c>
      <c r="Z85" s="301">
        <v>0</v>
      </c>
      <c r="AA85" s="301">
        <v>0</v>
      </c>
      <c r="AB85" s="301">
        <v>0</v>
      </c>
      <c r="AC85" s="304">
        <v>0</v>
      </c>
      <c r="AD85" s="301">
        <v>0</v>
      </c>
      <c r="AE85" s="301">
        <v>0</v>
      </c>
      <c r="AF85" s="301">
        <v>0</v>
      </c>
      <c r="AG85" s="510">
        <v>0</v>
      </c>
      <c r="AH85" s="304">
        <v>0</v>
      </c>
      <c r="AI85" s="301">
        <v>0</v>
      </c>
      <c r="AJ85" s="301">
        <v>0</v>
      </c>
      <c r="AK85" s="301">
        <v>0</v>
      </c>
      <c r="AL85" s="306"/>
    </row>
    <row r="86" spans="1:55" s="266" customFormat="1" ht="156" customHeight="1" outlineLevel="1" x14ac:dyDescent="0.25">
      <c r="A86" s="303" t="s">
        <v>510</v>
      </c>
      <c r="B86" s="302" t="s">
        <v>1385</v>
      </c>
      <c r="C86" s="303">
        <v>0</v>
      </c>
      <c r="D86" s="310">
        <f t="shared" si="15"/>
        <v>0</v>
      </c>
      <c r="E86" s="303">
        <v>0</v>
      </c>
      <c r="F86" s="307">
        <v>0</v>
      </c>
      <c r="G86" s="303">
        <v>0</v>
      </c>
      <c r="H86" s="303">
        <v>0</v>
      </c>
      <c r="I86" s="303">
        <v>0</v>
      </c>
      <c r="J86" s="307">
        <v>0</v>
      </c>
      <c r="K86" s="303">
        <v>0</v>
      </c>
      <c r="L86" s="301">
        <v>0</v>
      </c>
      <c r="M86" s="301">
        <v>0</v>
      </c>
      <c r="N86" s="301">
        <v>0</v>
      </c>
      <c r="O86" s="304">
        <v>0</v>
      </c>
      <c r="P86" s="301">
        <v>0</v>
      </c>
      <c r="Q86" s="301">
        <v>0</v>
      </c>
      <c r="R86" s="301">
        <v>0</v>
      </c>
      <c r="S86" s="301">
        <v>0</v>
      </c>
      <c r="T86" s="313">
        <v>0</v>
      </c>
      <c r="U86" s="314">
        <v>0</v>
      </c>
      <c r="V86" s="314">
        <v>0</v>
      </c>
      <c r="W86" s="314">
        <v>0</v>
      </c>
      <c r="X86" s="511">
        <v>0</v>
      </c>
      <c r="Y86" s="305">
        <v>0</v>
      </c>
      <c r="Z86" s="301">
        <v>0</v>
      </c>
      <c r="AA86" s="301">
        <v>0</v>
      </c>
      <c r="AB86" s="301">
        <v>0</v>
      </c>
      <c r="AC86" s="304">
        <v>0</v>
      </c>
      <c r="AD86" s="301">
        <v>0</v>
      </c>
      <c r="AE86" s="301">
        <v>0</v>
      </c>
      <c r="AF86" s="301">
        <v>0</v>
      </c>
      <c r="AG86" s="510">
        <v>0</v>
      </c>
      <c r="AH86" s="304">
        <v>0</v>
      </c>
      <c r="AI86" s="301">
        <v>0</v>
      </c>
      <c r="AJ86" s="301">
        <v>0</v>
      </c>
      <c r="AK86" s="301">
        <v>0</v>
      </c>
      <c r="AL86" s="306"/>
    </row>
    <row r="87" spans="1:55" s="266" customFormat="1" ht="123.6" customHeight="1" outlineLevel="1" x14ac:dyDescent="0.25">
      <c r="A87" s="303" t="s">
        <v>511</v>
      </c>
      <c r="B87" s="302" t="s">
        <v>1386</v>
      </c>
      <c r="C87" s="303">
        <v>0</v>
      </c>
      <c r="D87" s="310">
        <f t="shared" si="15"/>
        <v>0</v>
      </c>
      <c r="E87" s="303">
        <v>0</v>
      </c>
      <c r="F87" s="307">
        <v>0</v>
      </c>
      <c r="G87" s="303">
        <v>0</v>
      </c>
      <c r="H87" s="303">
        <v>0</v>
      </c>
      <c r="I87" s="303">
        <v>0</v>
      </c>
      <c r="J87" s="307">
        <v>0</v>
      </c>
      <c r="K87" s="303">
        <v>0</v>
      </c>
      <c r="L87" s="301">
        <v>0</v>
      </c>
      <c r="M87" s="301">
        <v>0</v>
      </c>
      <c r="N87" s="301">
        <v>0</v>
      </c>
      <c r="O87" s="304">
        <v>0</v>
      </c>
      <c r="P87" s="301">
        <v>0</v>
      </c>
      <c r="Q87" s="301">
        <v>0</v>
      </c>
      <c r="R87" s="301">
        <v>0</v>
      </c>
      <c r="S87" s="301">
        <v>0</v>
      </c>
      <c r="T87" s="313">
        <v>0</v>
      </c>
      <c r="U87" s="314">
        <v>0</v>
      </c>
      <c r="V87" s="314">
        <v>0</v>
      </c>
      <c r="W87" s="314">
        <v>0</v>
      </c>
      <c r="X87" s="511">
        <v>0</v>
      </c>
      <c r="Y87" s="305">
        <v>0</v>
      </c>
      <c r="Z87" s="301">
        <v>0</v>
      </c>
      <c r="AA87" s="301">
        <v>0</v>
      </c>
      <c r="AB87" s="301">
        <v>0</v>
      </c>
      <c r="AC87" s="304">
        <v>0</v>
      </c>
      <c r="AD87" s="301">
        <v>0</v>
      </c>
      <c r="AE87" s="301">
        <v>0</v>
      </c>
      <c r="AF87" s="301">
        <v>0</v>
      </c>
      <c r="AG87" s="510">
        <v>0</v>
      </c>
      <c r="AH87" s="304">
        <v>0</v>
      </c>
      <c r="AI87" s="301">
        <v>0</v>
      </c>
      <c r="AJ87" s="301">
        <v>0</v>
      </c>
      <c r="AK87" s="301">
        <v>0</v>
      </c>
      <c r="AL87" s="306"/>
    </row>
    <row r="88" spans="1:55" s="266" customFormat="1" ht="159.6" customHeight="1" outlineLevel="1" x14ac:dyDescent="0.25">
      <c r="A88" s="303"/>
      <c r="B88" s="302" t="s">
        <v>512</v>
      </c>
      <c r="C88" s="317"/>
      <c r="D88" s="310">
        <f t="shared" si="15"/>
        <v>0</v>
      </c>
      <c r="E88" s="303"/>
      <c r="F88" s="307"/>
      <c r="G88" s="303"/>
      <c r="H88" s="303"/>
      <c r="I88" s="303"/>
      <c r="J88" s="307"/>
      <c r="K88" s="303"/>
      <c r="L88" s="301"/>
      <c r="M88" s="301"/>
      <c r="N88" s="301"/>
      <c r="O88" s="304"/>
      <c r="P88" s="301"/>
      <c r="Q88" s="301"/>
      <c r="R88" s="301"/>
      <c r="S88" s="301"/>
      <c r="T88" s="304"/>
      <c r="U88" s="301"/>
      <c r="V88" s="301"/>
      <c r="W88" s="301"/>
      <c r="X88" s="510"/>
      <c r="Y88" s="305"/>
      <c r="Z88" s="301"/>
      <c r="AA88" s="301"/>
      <c r="AB88" s="301"/>
      <c r="AC88" s="304"/>
      <c r="AD88" s="301"/>
      <c r="AE88" s="301"/>
      <c r="AF88" s="301"/>
      <c r="AG88" s="510"/>
      <c r="AH88" s="304"/>
      <c r="AI88" s="301"/>
      <c r="AJ88" s="301"/>
      <c r="AK88" s="301"/>
      <c r="AL88" s="306"/>
    </row>
    <row r="89" spans="1:55" s="266" customFormat="1" ht="64.95" customHeight="1" outlineLevel="1" x14ac:dyDescent="0.25">
      <c r="A89" s="303" t="s">
        <v>513</v>
      </c>
      <c r="B89" s="302" t="s">
        <v>514</v>
      </c>
      <c r="C89" s="303">
        <v>0</v>
      </c>
      <c r="D89" s="310">
        <f t="shared" si="15"/>
        <v>0</v>
      </c>
      <c r="E89" s="303">
        <v>0</v>
      </c>
      <c r="F89" s="307">
        <v>0</v>
      </c>
      <c r="G89" s="303">
        <v>0</v>
      </c>
      <c r="H89" s="303">
        <v>0</v>
      </c>
      <c r="I89" s="303">
        <v>0</v>
      </c>
      <c r="J89" s="307">
        <v>0</v>
      </c>
      <c r="K89" s="303">
        <v>0</v>
      </c>
      <c r="L89" s="301">
        <v>0</v>
      </c>
      <c r="M89" s="301">
        <v>0</v>
      </c>
      <c r="N89" s="301">
        <v>0</v>
      </c>
      <c r="O89" s="304">
        <v>0</v>
      </c>
      <c r="P89" s="301">
        <v>0</v>
      </c>
      <c r="Q89" s="301">
        <v>0</v>
      </c>
      <c r="R89" s="301">
        <v>0</v>
      </c>
      <c r="S89" s="301">
        <v>0</v>
      </c>
      <c r="T89" s="304">
        <v>0</v>
      </c>
      <c r="U89" s="301">
        <v>0</v>
      </c>
      <c r="V89" s="301">
        <v>0</v>
      </c>
      <c r="W89" s="301">
        <v>0</v>
      </c>
      <c r="X89" s="510">
        <v>0</v>
      </c>
      <c r="Y89" s="305">
        <v>0</v>
      </c>
      <c r="Z89" s="301">
        <v>0</v>
      </c>
      <c r="AA89" s="301">
        <v>0</v>
      </c>
      <c r="AB89" s="301">
        <v>0</v>
      </c>
      <c r="AC89" s="304">
        <v>0</v>
      </c>
      <c r="AD89" s="301">
        <v>0</v>
      </c>
      <c r="AE89" s="301">
        <v>0</v>
      </c>
      <c r="AF89" s="301">
        <v>0</v>
      </c>
      <c r="AG89" s="510">
        <v>0</v>
      </c>
      <c r="AH89" s="304">
        <v>0</v>
      </c>
      <c r="AI89" s="301">
        <v>0</v>
      </c>
      <c r="AJ89" s="301">
        <v>0</v>
      </c>
      <c r="AK89" s="301">
        <v>0</v>
      </c>
      <c r="AL89" s="306"/>
    </row>
    <row r="90" spans="1:55" s="265" customFormat="1" ht="237.6" customHeight="1" outlineLevel="1" x14ac:dyDescent="0.3">
      <c r="A90" s="431" t="s">
        <v>515</v>
      </c>
      <c r="B90" s="432" t="s">
        <v>516</v>
      </c>
      <c r="C90" s="431">
        <f>E90+I90+N90+S90+X90+AB90+AG90</f>
        <v>0</v>
      </c>
      <c r="D90" s="431">
        <f t="shared" si="15"/>
        <v>0</v>
      </c>
      <c r="E90" s="431"/>
      <c r="F90" s="431">
        <f>F91+F92+F93+F94+F95</f>
        <v>0</v>
      </c>
      <c r="G90" s="431">
        <f t="shared" ref="G90:AK90" si="16">G91+G92+G93+G94+G95</f>
        <v>0</v>
      </c>
      <c r="H90" s="431">
        <f t="shared" si="16"/>
        <v>0</v>
      </c>
      <c r="I90" s="431">
        <f t="shared" si="16"/>
        <v>0</v>
      </c>
      <c r="J90" s="431">
        <f t="shared" si="16"/>
        <v>0</v>
      </c>
      <c r="K90" s="431">
        <v>0</v>
      </c>
      <c r="L90" s="431">
        <f t="shared" si="16"/>
        <v>0</v>
      </c>
      <c r="M90" s="431">
        <f t="shared" si="16"/>
        <v>0</v>
      </c>
      <c r="N90" s="431">
        <f t="shared" si="16"/>
        <v>0</v>
      </c>
      <c r="O90" s="431">
        <f t="shared" si="16"/>
        <v>0</v>
      </c>
      <c r="P90" s="431">
        <v>0</v>
      </c>
      <c r="Q90" s="431">
        <f t="shared" si="16"/>
        <v>0</v>
      </c>
      <c r="R90" s="431">
        <f t="shared" si="16"/>
        <v>0</v>
      </c>
      <c r="S90" s="431">
        <f t="shared" si="16"/>
        <v>0</v>
      </c>
      <c r="T90" s="431">
        <f t="shared" si="16"/>
        <v>0</v>
      </c>
      <c r="U90" s="433">
        <v>0</v>
      </c>
      <c r="V90" s="433">
        <f t="shared" si="16"/>
        <v>0</v>
      </c>
      <c r="W90" s="433">
        <f t="shared" si="16"/>
        <v>0</v>
      </c>
      <c r="X90" s="481">
        <f t="shared" si="16"/>
        <v>0</v>
      </c>
      <c r="Y90" s="433">
        <f t="shared" si="16"/>
        <v>0</v>
      </c>
      <c r="Z90" s="431">
        <f t="shared" si="16"/>
        <v>0</v>
      </c>
      <c r="AA90" s="431">
        <f t="shared" si="16"/>
        <v>0</v>
      </c>
      <c r="AB90" s="431">
        <f t="shared" si="16"/>
        <v>0</v>
      </c>
      <c r="AC90" s="431">
        <f t="shared" si="16"/>
        <v>0</v>
      </c>
      <c r="AD90" s="431">
        <f t="shared" si="16"/>
        <v>0</v>
      </c>
      <c r="AE90" s="431">
        <f t="shared" si="16"/>
        <v>0</v>
      </c>
      <c r="AF90" s="431">
        <f t="shared" si="16"/>
        <v>0</v>
      </c>
      <c r="AG90" s="481">
        <f t="shared" si="16"/>
        <v>0</v>
      </c>
      <c r="AH90" s="431">
        <f t="shared" si="16"/>
        <v>0</v>
      </c>
      <c r="AI90" s="431">
        <v>0</v>
      </c>
      <c r="AJ90" s="431">
        <f t="shared" si="16"/>
        <v>0</v>
      </c>
      <c r="AK90" s="431">
        <f t="shared" si="16"/>
        <v>0</v>
      </c>
      <c r="AL90" s="299"/>
      <c r="AM90" s="206"/>
      <c r="AN90" s="206"/>
      <c r="AO90" s="206"/>
      <c r="AP90" s="206"/>
      <c r="AQ90" s="206"/>
      <c r="AR90" s="206"/>
      <c r="AS90" s="206"/>
      <c r="AT90" s="206"/>
      <c r="AU90" s="206"/>
      <c r="AV90" s="206"/>
      <c r="AW90" s="206"/>
      <c r="AX90" s="206"/>
      <c r="AY90" s="206"/>
      <c r="AZ90" s="206"/>
      <c r="BA90" s="206"/>
      <c r="BB90" s="206"/>
      <c r="BC90" s="206"/>
    </row>
    <row r="91" spans="1:55" s="266" customFormat="1" ht="196.2" customHeight="1" outlineLevel="1" x14ac:dyDescent="0.25">
      <c r="A91" s="303" t="s">
        <v>517</v>
      </c>
      <c r="B91" s="302" t="s">
        <v>518</v>
      </c>
      <c r="C91" s="303">
        <v>0</v>
      </c>
      <c r="D91" s="303">
        <f t="shared" si="15"/>
        <v>0</v>
      </c>
      <c r="E91" s="303">
        <v>0</v>
      </c>
      <c r="F91" s="307">
        <v>0</v>
      </c>
      <c r="G91" s="303">
        <v>0</v>
      </c>
      <c r="H91" s="303">
        <v>0</v>
      </c>
      <c r="I91" s="303">
        <v>0</v>
      </c>
      <c r="J91" s="307">
        <v>0</v>
      </c>
      <c r="K91" s="303">
        <v>0</v>
      </c>
      <c r="L91" s="301">
        <v>0</v>
      </c>
      <c r="M91" s="301">
        <v>0</v>
      </c>
      <c r="N91" s="301">
        <v>0</v>
      </c>
      <c r="O91" s="304">
        <v>0</v>
      </c>
      <c r="P91" s="301">
        <v>0</v>
      </c>
      <c r="Q91" s="301">
        <v>0</v>
      </c>
      <c r="R91" s="301">
        <v>0</v>
      </c>
      <c r="S91" s="301">
        <v>0</v>
      </c>
      <c r="T91" s="304">
        <v>0</v>
      </c>
      <c r="U91" s="301">
        <v>0</v>
      </c>
      <c r="V91" s="301">
        <v>0</v>
      </c>
      <c r="W91" s="301">
        <v>0</v>
      </c>
      <c r="X91" s="510">
        <v>0</v>
      </c>
      <c r="Y91" s="305">
        <v>0</v>
      </c>
      <c r="Z91" s="301">
        <v>0</v>
      </c>
      <c r="AA91" s="301">
        <v>0</v>
      </c>
      <c r="AB91" s="301">
        <v>0</v>
      </c>
      <c r="AC91" s="304">
        <v>0</v>
      </c>
      <c r="AD91" s="301">
        <v>0</v>
      </c>
      <c r="AE91" s="301">
        <v>0</v>
      </c>
      <c r="AF91" s="301">
        <v>0</v>
      </c>
      <c r="AG91" s="510">
        <v>0</v>
      </c>
      <c r="AH91" s="304">
        <v>0</v>
      </c>
      <c r="AI91" s="301">
        <v>0</v>
      </c>
      <c r="AJ91" s="301">
        <v>0</v>
      </c>
      <c r="AK91" s="301">
        <v>0</v>
      </c>
      <c r="AL91" s="306"/>
    </row>
    <row r="92" spans="1:55" s="266" customFormat="1" ht="240.6" customHeight="1" outlineLevel="1" x14ac:dyDescent="0.25">
      <c r="A92" s="303" t="s">
        <v>519</v>
      </c>
      <c r="B92" s="302" t="s">
        <v>423</v>
      </c>
      <c r="C92" s="303">
        <v>0</v>
      </c>
      <c r="D92" s="303">
        <f t="shared" si="15"/>
        <v>0</v>
      </c>
      <c r="E92" s="303">
        <v>0</v>
      </c>
      <c r="F92" s="307">
        <v>0</v>
      </c>
      <c r="G92" s="303">
        <v>0</v>
      </c>
      <c r="H92" s="303">
        <v>0</v>
      </c>
      <c r="I92" s="303">
        <v>0</v>
      </c>
      <c r="J92" s="307">
        <v>0</v>
      </c>
      <c r="K92" s="303">
        <v>0</v>
      </c>
      <c r="L92" s="301">
        <v>0</v>
      </c>
      <c r="M92" s="301">
        <v>0</v>
      </c>
      <c r="N92" s="301">
        <v>0</v>
      </c>
      <c r="O92" s="304">
        <v>0</v>
      </c>
      <c r="P92" s="301">
        <v>0</v>
      </c>
      <c r="Q92" s="301">
        <v>0</v>
      </c>
      <c r="R92" s="301">
        <v>0</v>
      </c>
      <c r="S92" s="301">
        <v>0</v>
      </c>
      <c r="T92" s="313">
        <v>0</v>
      </c>
      <c r="U92" s="314">
        <v>0</v>
      </c>
      <c r="V92" s="314">
        <v>0</v>
      </c>
      <c r="W92" s="314">
        <v>0</v>
      </c>
      <c r="X92" s="511">
        <v>0</v>
      </c>
      <c r="Y92" s="305">
        <v>0</v>
      </c>
      <c r="Z92" s="301">
        <v>0</v>
      </c>
      <c r="AA92" s="301">
        <v>0</v>
      </c>
      <c r="AB92" s="301">
        <v>0</v>
      </c>
      <c r="AC92" s="304">
        <f>AF92</f>
        <v>0</v>
      </c>
      <c r="AD92" s="301">
        <v>0</v>
      </c>
      <c r="AE92" s="301">
        <v>0</v>
      </c>
      <c r="AF92" s="301">
        <v>0</v>
      </c>
      <c r="AG92" s="510">
        <v>0</v>
      </c>
      <c r="AH92" s="304">
        <v>0</v>
      </c>
      <c r="AI92" s="301">
        <v>0</v>
      </c>
      <c r="AJ92" s="301">
        <v>0</v>
      </c>
      <c r="AK92" s="301">
        <v>0</v>
      </c>
      <c r="AL92" s="306"/>
    </row>
    <row r="93" spans="1:55" s="266" customFormat="1" ht="49.2" customHeight="1" outlineLevel="1" x14ac:dyDescent="0.25">
      <c r="A93" s="303" t="s">
        <v>520</v>
      </c>
      <c r="B93" s="302" t="s">
        <v>435</v>
      </c>
      <c r="C93" s="303">
        <v>0</v>
      </c>
      <c r="D93" s="303">
        <f t="shared" si="15"/>
        <v>0</v>
      </c>
      <c r="E93" s="303">
        <v>0</v>
      </c>
      <c r="F93" s="307">
        <v>0</v>
      </c>
      <c r="G93" s="303">
        <v>0</v>
      </c>
      <c r="H93" s="303">
        <v>0</v>
      </c>
      <c r="I93" s="303">
        <v>0</v>
      </c>
      <c r="J93" s="307">
        <v>0</v>
      </c>
      <c r="K93" s="303">
        <v>0</v>
      </c>
      <c r="L93" s="301">
        <v>0</v>
      </c>
      <c r="M93" s="301">
        <v>0</v>
      </c>
      <c r="N93" s="301">
        <v>0</v>
      </c>
      <c r="O93" s="304">
        <v>0</v>
      </c>
      <c r="P93" s="301">
        <v>0</v>
      </c>
      <c r="Q93" s="301">
        <v>0</v>
      </c>
      <c r="R93" s="301">
        <v>0</v>
      </c>
      <c r="S93" s="301">
        <v>0</v>
      </c>
      <c r="T93" s="313">
        <v>0</v>
      </c>
      <c r="U93" s="314">
        <v>0</v>
      </c>
      <c r="V93" s="314">
        <v>0</v>
      </c>
      <c r="W93" s="314">
        <v>0</v>
      </c>
      <c r="X93" s="511">
        <v>0</v>
      </c>
      <c r="Y93" s="305">
        <v>0</v>
      </c>
      <c r="Z93" s="301">
        <v>0</v>
      </c>
      <c r="AA93" s="301">
        <v>0</v>
      </c>
      <c r="AB93" s="301">
        <v>0</v>
      </c>
      <c r="AC93" s="304">
        <v>0</v>
      </c>
      <c r="AD93" s="301">
        <v>0</v>
      </c>
      <c r="AE93" s="301">
        <v>0</v>
      </c>
      <c r="AF93" s="301">
        <v>0</v>
      </c>
      <c r="AG93" s="510">
        <v>0</v>
      </c>
      <c r="AH93" s="304">
        <v>0</v>
      </c>
      <c r="AI93" s="301">
        <v>0</v>
      </c>
      <c r="AJ93" s="301">
        <v>0</v>
      </c>
      <c r="AK93" s="301">
        <v>0</v>
      </c>
      <c r="AL93" s="306"/>
    </row>
    <row r="94" spans="1:55" s="266" customFormat="1" ht="105" customHeight="1" outlineLevel="1" x14ac:dyDescent="0.25">
      <c r="A94" s="303" t="s">
        <v>521</v>
      </c>
      <c r="B94" s="302" t="s">
        <v>522</v>
      </c>
      <c r="C94" s="303">
        <v>0</v>
      </c>
      <c r="D94" s="303">
        <f t="shared" si="15"/>
        <v>0</v>
      </c>
      <c r="E94" s="303">
        <v>0</v>
      </c>
      <c r="F94" s="307">
        <v>0</v>
      </c>
      <c r="G94" s="303">
        <v>0</v>
      </c>
      <c r="H94" s="303">
        <v>0</v>
      </c>
      <c r="I94" s="303">
        <v>0</v>
      </c>
      <c r="J94" s="307">
        <v>0</v>
      </c>
      <c r="K94" s="303">
        <v>0</v>
      </c>
      <c r="L94" s="301">
        <v>0</v>
      </c>
      <c r="M94" s="301">
        <v>0</v>
      </c>
      <c r="N94" s="301">
        <v>0</v>
      </c>
      <c r="O94" s="304">
        <v>0</v>
      </c>
      <c r="P94" s="301">
        <v>0</v>
      </c>
      <c r="Q94" s="301">
        <v>0</v>
      </c>
      <c r="R94" s="301">
        <v>0</v>
      </c>
      <c r="S94" s="301">
        <v>0</v>
      </c>
      <c r="T94" s="313">
        <v>0</v>
      </c>
      <c r="U94" s="314">
        <v>0</v>
      </c>
      <c r="V94" s="314">
        <v>0</v>
      </c>
      <c r="W94" s="314">
        <v>0</v>
      </c>
      <c r="X94" s="511">
        <v>0</v>
      </c>
      <c r="Y94" s="305">
        <v>0</v>
      </c>
      <c r="Z94" s="301">
        <v>0</v>
      </c>
      <c r="AA94" s="301">
        <v>0</v>
      </c>
      <c r="AB94" s="301">
        <v>0</v>
      </c>
      <c r="AC94" s="304">
        <f>AF94</f>
        <v>0</v>
      </c>
      <c r="AD94" s="301">
        <v>0</v>
      </c>
      <c r="AE94" s="301">
        <v>0</v>
      </c>
      <c r="AF94" s="301">
        <v>0</v>
      </c>
      <c r="AG94" s="510">
        <v>0</v>
      </c>
      <c r="AH94" s="304">
        <f>AK94</f>
        <v>0</v>
      </c>
      <c r="AI94" s="301">
        <v>0</v>
      </c>
      <c r="AJ94" s="301">
        <v>0</v>
      </c>
      <c r="AK94" s="301">
        <v>0</v>
      </c>
      <c r="AL94" s="306"/>
    </row>
    <row r="95" spans="1:55" s="266" customFormat="1" ht="56.4" customHeight="1" outlineLevel="1" x14ac:dyDescent="0.25">
      <c r="A95" s="303" t="s">
        <v>523</v>
      </c>
      <c r="B95" s="302" t="s">
        <v>425</v>
      </c>
      <c r="C95" s="303">
        <v>0</v>
      </c>
      <c r="D95" s="303">
        <f t="shared" si="15"/>
        <v>0</v>
      </c>
      <c r="E95" s="303">
        <v>0</v>
      </c>
      <c r="F95" s="307">
        <v>0</v>
      </c>
      <c r="G95" s="303">
        <v>0</v>
      </c>
      <c r="H95" s="303">
        <v>0</v>
      </c>
      <c r="I95" s="303">
        <v>0</v>
      </c>
      <c r="J95" s="307">
        <v>0</v>
      </c>
      <c r="K95" s="303">
        <v>0</v>
      </c>
      <c r="L95" s="301">
        <v>0</v>
      </c>
      <c r="M95" s="301">
        <v>0</v>
      </c>
      <c r="N95" s="301">
        <v>0</v>
      </c>
      <c r="O95" s="304">
        <v>0</v>
      </c>
      <c r="P95" s="301">
        <v>0</v>
      </c>
      <c r="Q95" s="301">
        <v>0</v>
      </c>
      <c r="R95" s="301">
        <v>0</v>
      </c>
      <c r="S95" s="301">
        <v>0</v>
      </c>
      <c r="T95" s="313">
        <v>0</v>
      </c>
      <c r="U95" s="314">
        <v>0</v>
      </c>
      <c r="V95" s="314">
        <v>0</v>
      </c>
      <c r="W95" s="314">
        <v>0</v>
      </c>
      <c r="X95" s="511">
        <v>0</v>
      </c>
      <c r="Y95" s="305">
        <v>0</v>
      </c>
      <c r="Z95" s="301">
        <v>0</v>
      </c>
      <c r="AA95" s="301">
        <v>0</v>
      </c>
      <c r="AB95" s="301">
        <v>0</v>
      </c>
      <c r="AC95" s="304">
        <v>0</v>
      </c>
      <c r="AD95" s="301">
        <v>0</v>
      </c>
      <c r="AE95" s="301">
        <v>0</v>
      </c>
      <c r="AF95" s="301">
        <v>0</v>
      </c>
      <c r="AG95" s="510">
        <v>0</v>
      </c>
      <c r="AH95" s="304">
        <v>0</v>
      </c>
      <c r="AI95" s="301">
        <v>0</v>
      </c>
      <c r="AJ95" s="301">
        <v>0</v>
      </c>
      <c r="AK95" s="301">
        <v>0</v>
      </c>
      <c r="AL95" s="306"/>
    </row>
    <row r="96" spans="1:55" s="265" customFormat="1" ht="142.94999999999999" customHeight="1" outlineLevel="1" x14ac:dyDescent="0.3">
      <c r="A96" s="431" t="s">
        <v>524</v>
      </c>
      <c r="B96" s="432" t="s">
        <v>525</v>
      </c>
      <c r="C96" s="431">
        <f>E96+I96+N96+S96+X96+AB96+AG96</f>
        <v>0</v>
      </c>
      <c r="D96" s="431">
        <f t="shared" si="15"/>
        <v>0</v>
      </c>
      <c r="E96" s="431">
        <v>0</v>
      </c>
      <c r="F96" s="431">
        <f>F97+F98+F99+F100+F101</f>
        <v>0</v>
      </c>
      <c r="G96" s="431">
        <f t="shared" ref="G96:AK96" si="17">G97+G98+G99+G100+G101</f>
        <v>0</v>
      </c>
      <c r="H96" s="431">
        <f t="shared" si="17"/>
        <v>0</v>
      </c>
      <c r="I96" s="431">
        <f t="shared" si="17"/>
        <v>0</v>
      </c>
      <c r="J96" s="431">
        <f t="shared" si="17"/>
        <v>0</v>
      </c>
      <c r="K96" s="431">
        <v>0</v>
      </c>
      <c r="L96" s="431">
        <f t="shared" si="17"/>
        <v>0</v>
      </c>
      <c r="M96" s="431">
        <f t="shared" si="17"/>
        <v>0</v>
      </c>
      <c r="N96" s="431">
        <f t="shared" si="17"/>
        <v>0</v>
      </c>
      <c r="O96" s="431">
        <f t="shared" si="17"/>
        <v>0</v>
      </c>
      <c r="P96" s="431">
        <v>0</v>
      </c>
      <c r="Q96" s="431">
        <f t="shared" si="17"/>
        <v>0</v>
      </c>
      <c r="R96" s="431">
        <f t="shared" si="17"/>
        <v>0</v>
      </c>
      <c r="S96" s="431">
        <f t="shared" si="17"/>
        <v>0</v>
      </c>
      <c r="T96" s="431">
        <f t="shared" si="17"/>
        <v>0</v>
      </c>
      <c r="U96" s="431">
        <v>0</v>
      </c>
      <c r="V96" s="433">
        <f t="shared" si="17"/>
        <v>0</v>
      </c>
      <c r="W96" s="433">
        <f t="shared" si="17"/>
        <v>0</v>
      </c>
      <c r="X96" s="481">
        <f t="shared" si="17"/>
        <v>0</v>
      </c>
      <c r="Y96" s="433">
        <f t="shared" si="17"/>
        <v>0</v>
      </c>
      <c r="Z96" s="431">
        <f t="shared" si="17"/>
        <v>0</v>
      </c>
      <c r="AA96" s="431">
        <f t="shared" si="17"/>
        <v>0</v>
      </c>
      <c r="AB96" s="431">
        <f t="shared" si="17"/>
        <v>0</v>
      </c>
      <c r="AC96" s="431">
        <f t="shared" si="17"/>
        <v>0</v>
      </c>
      <c r="AD96" s="431">
        <f t="shared" si="17"/>
        <v>0</v>
      </c>
      <c r="AE96" s="431">
        <f t="shared" si="17"/>
        <v>0</v>
      </c>
      <c r="AF96" s="431">
        <f t="shared" si="17"/>
        <v>0</v>
      </c>
      <c r="AG96" s="481">
        <f t="shared" si="17"/>
        <v>0</v>
      </c>
      <c r="AH96" s="431">
        <f t="shared" si="17"/>
        <v>0</v>
      </c>
      <c r="AI96" s="431">
        <v>0</v>
      </c>
      <c r="AJ96" s="431">
        <f t="shared" si="17"/>
        <v>0</v>
      </c>
      <c r="AK96" s="431">
        <f t="shared" si="17"/>
        <v>0</v>
      </c>
      <c r="AL96" s="299"/>
      <c r="AM96" s="206"/>
      <c r="AN96" s="206"/>
      <c r="AO96" s="206"/>
      <c r="AP96" s="206"/>
      <c r="AQ96" s="206"/>
      <c r="AR96" s="206"/>
      <c r="AS96" s="206"/>
      <c r="AT96" s="206"/>
      <c r="AU96" s="206"/>
      <c r="AV96" s="206"/>
      <c r="AW96" s="206"/>
      <c r="AX96" s="206"/>
      <c r="AY96" s="206"/>
      <c r="AZ96" s="206"/>
      <c r="BA96" s="206"/>
    </row>
    <row r="97" spans="1:59" s="266" customFormat="1" ht="175.2" customHeight="1" outlineLevel="1" x14ac:dyDescent="0.25">
      <c r="A97" s="303" t="s">
        <v>526</v>
      </c>
      <c r="B97" s="302" t="s">
        <v>1387</v>
      </c>
      <c r="C97" s="303">
        <v>0</v>
      </c>
      <c r="D97" s="303">
        <f t="shared" si="15"/>
        <v>0</v>
      </c>
      <c r="E97" s="303">
        <v>0</v>
      </c>
      <c r="F97" s="307">
        <v>0</v>
      </c>
      <c r="G97" s="303">
        <v>0</v>
      </c>
      <c r="H97" s="303">
        <v>0</v>
      </c>
      <c r="I97" s="303">
        <v>0</v>
      </c>
      <c r="J97" s="307">
        <v>0</v>
      </c>
      <c r="K97" s="303">
        <v>0</v>
      </c>
      <c r="L97" s="301">
        <v>0</v>
      </c>
      <c r="M97" s="301">
        <v>0</v>
      </c>
      <c r="N97" s="301">
        <v>0</v>
      </c>
      <c r="O97" s="304">
        <v>0</v>
      </c>
      <c r="P97" s="301">
        <v>0</v>
      </c>
      <c r="Q97" s="301">
        <v>0</v>
      </c>
      <c r="R97" s="301">
        <v>0</v>
      </c>
      <c r="S97" s="301">
        <v>0</v>
      </c>
      <c r="T97" s="304">
        <v>0</v>
      </c>
      <c r="U97" s="301">
        <v>0</v>
      </c>
      <c r="V97" s="301">
        <v>0</v>
      </c>
      <c r="W97" s="301">
        <v>0</v>
      </c>
      <c r="X97" s="510">
        <v>0</v>
      </c>
      <c r="Y97" s="305">
        <v>0</v>
      </c>
      <c r="Z97" s="301">
        <v>0</v>
      </c>
      <c r="AA97" s="301">
        <v>0</v>
      </c>
      <c r="AB97" s="301">
        <v>0</v>
      </c>
      <c r="AC97" s="307">
        <f>AF97</f>
        <v>0</v>
      </c>
      <c r="AD97" s="303">
        <v>0</v>
      </c>
      <c r="AE97" s="301">
        <v>0</v>
      </c>
      <c r="AF97" s="301">
        <v>0</v>
      </c>
      <c r="AG97" s="510">
        <v>0</v>
      </c>
      <c r="AH97" s="304">
        <v>0</v>
      </c>
      <c r="AI97" s="301">
        <v>0</v>
      </c>
      <c r="AJ97" s="301">
        <v>0</v>
      </c>
      <c r="AK97" s="301">
        <v>0</v>
      </c>
      <c r="AL97" s="306"/>
    </row>
    <row r="98" spans="1:59" s="266" customFormat="1" ht="225" customHeight="1" outlineLevel="1" x14ac:dyDescent="0.25">
      <c r="A98" s="303" t="s">
        <v>527</v>
      </c>
      <c r="B98" s="302" t="s">
        <v>423</v>
      </c>
      <c r="C98" s="303">
        <v>0</v>
      </c>
      <c r="D98" s="303">
        <f t="shared" si="15"/>
        <v>0</v>
      </c>
      <c r="E98" s="303">
        <v>0</v>
      </c>
      <c r="F98" s="307">
        <v>0</v>
      </c>
      <c r="G98" s="303">
        <v>0</v>
      </c>
      <c r="H98" s="303">
        <v>0</v>
      </c>
      <c r="I98" s="303">
        <v>0</v>
      </c>
      <c r="J98" s="307">
        <v>0</v>
      </c>
      <c r="K98" s="303">
        <v>0</v>
      </c>
      <c r="L98" s="301">
        <v>0</v>
      </c>
      <c r="M98" s="301">
        <v>0</v>
      </c>
      <c r="N98" s="301">
        <v>0</v>
      </c>
      <c r="O98" s="304">
        <v>0</v>
      </c>
      <c r="P98" s="301">
        <v>0</v>
      </c>
      <c r="Q98" s="301">
        <v>0</v>
      </c>
      <c r="R98" s="301">
        <v>0</v>
      </c>
      <c r="S98" s="301">
        <v>0</v>
      </c>
      <c r="T98" s="313">
        <v>0</v>
      </c>
      <c r="U98" s="314">
        <v>0</v>
      </c>
      <c r="V98" s="314">
        <v>0</v>
      </c>
      <c r="W98" s="314">
        <v>0</v>
      </c>
      <c r="X98" s="511">
        <v>0</v>
      </c>
      <c r="Y98" s="305">
        <v>0</v>
      </c>
      <c r="Z98" s="301">
        <v>0</v>
      </c>
      <c r="AA98" s="301">
        <v>0</v>
      </c>
      <c r="AB98" s="301">
        <v>0</v>
      </c>
      <c r="AC98" s="304">
        <f>AF98</f>
        <v>0</v>
      </c>
      <c r="AD98" s="301">
        <v>0</v>
      </c>
      <c r="AE98" s="301">
        <v>0</v>
      </c>
      <c r="AF98" s="301">
        <v>0</v>
      </c>
      <c r="AG98" s="510">
        <v>0</v>
      </c>
      <c r="AH98" s="304">
        <v>0</v>
      </c>
      <c r="AI98" s="301">
        <v>0</v>
      </c>
      <c r="AJ98" s="301">
        <v>0</v>
      </c>
      <c r="AK98" s="301">
        <v>0</v>
      </c>
      <c r="AL98" s="306"/>
    </row>
    <row r="99" spans="1:59" s="266" customFormat="1" ht="39.6" customHeight="1" outlineLevel="1" x14ac:dyDescent="0.25">
      <c r="A99" s="303" t="s">
        <v>528</v>
      </c>
      <c r="B99" s="302" t="s">
        <v>435</v>
      </c>
      <c r="C99" s="303">
        <v>0</v>
      </c>
      <c r="D99" s="303">
        <f t="shared" si="15"/>
        <v>0</v>
      </c>
      <c r="E99" s="303">
        <v>0</v>
      </c>
      <c r="F99" s="307">
        <v>0</v>
      </c>
      <c r="G99" s="303">
        <v>0</v>
      </c>
      <c r="H99" s="303">
        <v>0</v>
      </c>
      <c r="I99" s="303">
        <v>0</v>
      </c>
      <c r="J99" s="307">
        <v>0</v>
      </c>
      <c r="K99" s="303">
        <v>0</v>
      </c>
      <c r="L99" s="301">
        <v>0</v>
      </c>
      <c r="M99" s="301">
        <v>0</v>
      </c>
      <c r="N99" s="301">
        <v>0</v>
      </c>
      <c r="O99" s="304">
        <v>0</v>
      </c>
      <c r="P99" s="301">
        <v>0</v>
      </c>
      <c r="Q99" s="301">
        <v>0</v>
      </c>
      <c r="R99" s="301">
        <v>0</v>
      </c>
      <c r="S99" s="301">
        <v>0</v>
      </c>
      <c r="T99" s="313">
        <v>0</v>
      </c>
      <c r="U99" s="314">
        <v>0</v>
      </c>
      <c r="V99" s="314">
        <v>0</v>
      </c>
      <c r="W99" s="314">
        <v>0</v>
      </c>
      <c r="X99" s="511">
        <v>0</v>
      </c>
      <c r="Y99" s="305">
        <v>0</v>
      </c>
      <c r="Z99" s="301">
        <v>0</v>
      </c>
      <c r="AA99" s="301">
        <v>0</v>
      </c>
      <c r="AB99" s="301">
        <v>0</v>
      </c>
      <c r="AC99" s="304">
        <v>0</v>
      </c>
      <c r="AD99" s="301">
        <v>0</v>
      </c>
      <c r="AE99" s="301">
        <v>0</v>
      </c>
      <c r="AF99" s="301">
        <v>0</v>
      </c>
      <c r="AG99" s="510">
        <v>0</v>
      </c>
      <c r="AH99" s="304">
        <v>0</v>
      </c>
      <c r="AI99" s="301">
        <v>0</v>
      </c>
      <c r="AJ99" s="301">
        <v>0</v>
      </c>
      <c r="AK99" s="301">
        <v>0</v>
      </c>
      <c r="AL99" s="306"/>
    </row>
    <row r="100" spans="1:59" s="266" customFormat="1" ht="121.2" customHeight="1" outlineLevel="1" x14ac:dyDescent="0.25">
      <c r="A100" s="303" t="s">
        <v>529</v>
      </c>
      <c r="B100" s="302" t="s">
        <v>1384</v>
      </c>
      <c r="C100" s="303">
        <v>0</v>
      </c>
      <c r="D100" s="303">
        <f t="shared" si="15"/>
        <v>0</v>
      </c>
      <c r="E100" s="303">
        <v>0</v>
      </c>
      <c r="F100" s="307">
        <v>0</v>
      </c>
      <c r="G100" s="303">
        <v>0</v>
      </c>
      <c r="H100" s="303">
        <v>0</v>
      </c>
      <c r="I100" s="303">
        <v>0</v>
      </c>
      <c r="J100" s="307">
        <v>0</v>
      </c>
      <c r="K100" s="303">
        <v>0</v>
      </c>
      <c r="L100" s="301">
        <v>0</v>
      </c>
      <c r="M100" s="301">
        <v>0</v>
      </c>
      <c r="N100" s="301">
        <v>0</v>
      </c>
      <c r="O100" s="304">
        <v>0</v>
      </c>
      <c r="P100" s="301">
        <v>0</v>
      </c>
      <c r="Q100" s="301">
        <v>0</v>
      </c>
      <c r="R100" s="301">
        <v>0</v>
      </c>
      <c r="S100" s="301">
        <v>0</v>
      </c>
      <c r="T100" s="313">
        <v>0</v>
      </c>
      <c r="U100" s="314">
        <v>0</v>
      </c>
      <c r="V100" s="314">
        <v>0</v>
      </c>
      <c r="W100" s="314">
        <v>0</v>
      </c>
      <c r="X100" s="511">
        <v>0</v>
      </c>
      <c r="Y100" s="305">
        <v>0</v>
      </c>
      <c r="Z100" s="301">
        <v>0</v>
      </c>
      <c r="AA100" s="301">
        <v>0</v>
      </c>
      <c r="AB100" s="301">
        <v>0</v>
      </c>
      <c r="AC100" s="304">
        <f>AF100</f>
        <v>0</v>
      </c>
      <c r="AD100" s="301">
        <v>0</v>
      </c>
      <c r="AE100" s="301">
        <v>0</v>
      </c>
      <c r="AF100" s="301">
        <v>0</v>
      </c>
      <c r="AG100" s="510">
        <v>0</v>
      </c>
      <c r="AH100" s="304">
        <v>0</v>
      </c>
      <c r="AI100" s="301">
        <v>0</v>
      </c>
      <c r="AJ100" s="301">
        <v>0</v>
      </c>
      <c r="AK100" s="301">
        <v>0</v>
      </c>
      <c r="AL100" s="306"/>
    </row>
    <row r="101" spans="1:59" s="266" customFormat="1" ht="41.4" customHeight="1" outlineLevel="1" x14ac:dyDescent="0.25">
      <c r="A101" s="303" t="s">
        <v>530</v>
      </c>
      <c r="B101" s="302" t="s">
        <v>425</v>
      </c>
      <c r="C101" s="303">
        <f>E101+I101+N101+S101+X101+AB101+AG101</f>
        <v>0</v>
      </c>
      <c r="D101" s="303">
        <f t="shared" si="15"/>
        <v>0</v>
      </c>
      <c r="E101" s="303">
        <v>0</v>
      </c>
      <c r="F101" s="307">
        <v>0</v>
      </c>
      <c r="G101" s="303">
        <v>0</v>
      </c>
      <c r="H101" s="303">
        <v>0</v>
      </c>
      <c r="I101" s="303">
        <v>0</v>
      </c>
      <c r="J101" s="307">
        <v>0</v>
      </c>
      <c r="K101" s="303">
        <v>0</v>
      </c>
      <c r="L101" s="301">
        <v>0</v>
      </c>
      <c r="M101" s="301">
        <v>0</v>
      </c>
      <c r="N101" s="301">
        <v>0</v>
      </c>
      <c r="O101" s="304">
        <v>0</v>
      </c>
      <c r="P101" s="301">
        <v>0</v>
      </c>
      <c r="Q101" s="301">
        <v>0</v>
      </c>
      <c r="R101" s="301">
        <v>0</v>
      </c>
      <c r="S101" s="301">
        <v>0</v>
      </c>
      <c r="T101" s="313">
        <v>0</v>
      </c>
      <c r="U101" s="314">
        <v>0</v>
      </c>
      <c r="V101" s="314">
        <v>0</v>
      </c>
      <c r="W101" s="314">
        <v>0</v>
      </c>
      <c r="X101" s="511">
        <v>0</v>
      </c>
      <c r="Y101" s="305">
        <v>0</v>
      </c>
      <c r="Z101" s="301">
        <v>0</v>
      </c>
      <c r="AA101" s="301">
        <v>0</v>
      </c>
      <c r="AB101" s="301">
        <v>0</v>
      </c>
      <c r="AC101" s="304">
        <v>0</v>
      </c>
      <c r="AD101" s="301">
        <v>0</v>
      </c>
      <c r="AE101" s="301">
        <v>0</v>
      </c>
      <c r="AF101" s="301">
        <v>0</v>
      </c>
      <c r="AG101" s="510">
        <v>0</v>
      </c>
      <c r="AH101" s="304">
        <v>0</v>
      </c>
      <c r="AI101" s="301">
        <v>0</v>
      </c>
      <c r="AJ101" s="301">
        <v>0</v>
      </c>
      <c r="AK101" s="301">
        <v>0</v>
      </c>
      <c r="AL101" s="306"/>
    </row>
    <row r="102" spans="1:59" s="265" customFormat="1" ht="152.4" customHeight="1" outlineLevel="1" x14ac:dyDescent="0.3">
      <c r="A102" s="431" t="s">
        <v>531</v>
      </c>
      <c r="B102" s="432" t="s">
        <v>532</v>
      </c>
      <c r="C102" s="431">
        <v>0</v>
      </c>
      <c r="D102" s="431">
        <f t="shared" si="15"/>
        <v>0</v>
      </c>
      <c r="E102" s="431">
        <v>0</v>
      </c>
      <c r="F102" s="431">
        <f>F103+F104+F105+F106+F107</f>
        <v>0</v>
      </c>
      <c r="G102" s="431">
        <f t="shared" ref="G102:AK102" si="18">G103+G104+G105+G106+G107</f>
        <v>0</v>
      </c>
      <c r="H102" s="431">
        <f t="shared" si="18"/>
        <v>0</v>
      </c>
      <c r="I102" s="431">
        <f t="shared" si="18"/>
        <v>0</v>
      </c>
      <c r="J102" s="431">
        <f t="shared" si="18"/>
        <v>0</v>
      </c>
      <c r="K102" s="431">
        <v>0</v>
      </c>
      <c r="L102" s="431">
        <f t="shared" si="18"/>
        <v>0</v>
      </c>
      <c r="M102" s="431">
        <f t="shared" si="18"/>
        <v>0</v>
      </c>
      <c r="N102" s="431">
        <f t="shared" si="18"/>
        <v>0</v>
      </c>
      <c r="O102" s="431">
        <f t="shared" si="18"/>
        <v>0</v>
      </c>
      <c r="P102" s="431">
        <v>0</v>
      </c>
      <c r="Q102" s="431">
        <f t="shared" si="18"/>
        <v>0</v>
      </c>
      <c r="R102" s="431">
        <f t="shared" si="18"/>
        <v>0</v>
      </c>
      <c r="S102" s="431">
        <f t="shared" si="18"/>
        <v>0</v>
      </c>
      <c r="T102" s="431">
        <f t="shared" si="18"/>
        <v>0</v>
      </c>
      <c r="U102" s="431">
        <v>0</v>
      </c>
      <c r="V102" s="433">
        <f t="shared" si="18"/>
        <v>0</v>
      </c>
      <c r="W102" s="433">
        <f t="shared" si="18"/>
        <v>0</v>
      </c>
      <c r="X102" s="481">
        <f t="shared" si="18"/>
        <v>0</v>
      </c>
      <c r="Y102" s="433">
        <f t="shared" si="18"/>
        <v>0</v>
      </c>
      <c r="Z102" s="431">
        <f t="shared" si="18"/>
        <v>0</v>
      </c>
      <c r="AA102" s="431">
        <f t="shared" si="18"/>
        <v>0</v>
      </c>
      <c r="AB102" s="431">
        <f t="shared" si="18"/>
        <v>0</v>
      </c>
      <c r="AC102" s="431">
        <f t="shared" si="18"/>
        <v>0</v>
      </c>
      <c r="AD102" s="431">
        <f t="shared" si="18"/>
        <v>0</v>
      </c>
      <c r="AE102" s="431">
        <f t="shared" si="18"/>
        <v>0</v>
      </c>
      <c r="AF102" s="431">
        <f t="shared" si="18"/>
        <v>0</v>
      </c>
      <c r="AG102" s="481">
        <f t="shared" si="18"/>
        <v>0</v>
      </c>
      <c r="AH102" s="431">
        <f t="shared" si="18"/>
        <v>0</v>
      </c>
      <c r="AI102" s="431">
        <v>0</v>
      </c>
      <c r="AJ102" s="431">
        <f t="shared" si="18"/>
        <v>0</v>
      </c>
      <c r="AK102" s="431">
        <f t="shared" si="18"/>
        <v>0</v>
      </c>
      <c r="AL102" s="299"/>
      <c r="AM102" s="206"/>
      <c r="AN102" s="206"/>
      <c r="AO102" s="206"/>
      <c r="AP102" s="206"/>
      <c r="AQ102" s="206"/>
      <c r="AR102" s="206"/>
      <c r="AS102" s="206"/>
      <c r="AT102" s="206"/>
      <c r="AU102" s="206"/>
      <c r="AV102" s="206"/>
      <c r="AW102" s="206"/>
      <c r="AX102" s="206"/>
      <c r="AY102" s="206"/>
      <c r="AZ102" s="206"/>
      <c r="BA102" s="206"/>
    </row>
    <row r="103" spans="1:59" s="266" customFormat="1" ht="185.4" customHeight="1" outlineLevel="1" x14ac:dyDescent="0.25">
      <c r="A103" s="303" t="s">
        <v>533</v>
      </c>
      <c r="B103" s="302" t="s">
        <v>518</v>
      </c>
      <c r="C103" s="303">
        <v>0</v>
      </c>
      <c r="D103" s="310">
        <f t="shared" si="15"/>
        <v>0</v>
      </c>
      <c r="E103" s="303">
        <v>0</v>
      </c>
      <c r="F103" s="307">
        <v>0</v>
      </c>
      <c r="G103" s="303">
        <v>0</v>
      </c>
      <c r="H103" s="303">
        <v>0</v>
      </c>
      <c r="I103" s="303">
        <v>0</v>
      </c>
      <c r="J103" s="307">
        <v>0</v>
      </c>
      <c r="K103" s="303">
        <v>0</v>
      </c>
      <c r="L103" s="301">
        <v>0</v>
      </c>
      <c r="M103" s="301">
        <v>0</v>
      </c>
      <c r="N103" s="301">
        <v>0</v>
      </c>
      <c r="O103" s="304">
        <v>0</v>
      </c>
      <c r="P103" s="301">
        <v>0</v>
      </c>
      <c r="Q103" s="301">
        <v>0</v>
      </c>
      <c r="R103" s="301">
        <v>0</v>
      </c>
      <c r="S103" s="301">
        <v>0</v>
      </c>
      <c r="T103" s="304">
        <v>0</v>
      </c>
      <c r="U103" s="301">
        <v>0</v>
      </c>
      <c r="V103" s="301">
        <v>0</v>
      </c>
      <c r="W103" s="301">
        <v>0</v>
      </c>
      <c r="X103" s="510">
        <v>0</v>
      </c>
      <c r="Y103" s="305">
        <v>0</v>
      </c>
      <c r="Z103" s="301">
        <v>0</v>
      </c>
      <c r="AA103" s="301">
        <v>0</v>
      </c>
      <c r="AB103" s="301">
        <v>0</v>
      </c>
      <c r="AC103" s="304">
        <f>AF103</f>
        <v>0</v>
      </c>
      <c r="AD103" s="301">
        <v>0</v>
      </c>
      <c r="AE103" s="301">
        <v>0</v>
      </c>
      <c r="AF103" s="301">
        <v>0</v>
      </c>
      <c r="AG103" s="510">
        <v>0</v>
      </c>
      <c r="AH103" s="304">
        <v>0</v>
      </c>
      <c r="AI103" s="301">
        <v>0</v>
      </c>
      <c r="AJ103" s="301">
        <v>0</v>
      </c>
      <c r="AK103" s="301">
        <v>0</v>
      </c>
      <c r="AL103" s="306"/>
    </row>
    <row r="104" spans="1:59" s="266" customFormat="1" ht="229.2" customHeight="1" outlineLevel="1" x14ac:dyDescent="0.25">
      <c r="A104" s="303" t="s">
        <v>534</v>
      </c>
      <c r="B104" s="302" t="s">
        <v>423</v>
      </c>
      <c r="C104" s="303">
        <v>0</v>
      </c>
      <c r="D104" s="310">
        <f t="shared" si="15"/>
        <v>0</v>
      </c>
      <c r="E104" s="303">
        <v>0</v>
      </c>
      <c r="F104" s="307">
        <v>0</v>
      </c>
      <c r="G104" s="303">
        <v>0</v>
      </c>
      <c r="H104" s="303">
        <v>0</v>
      </c>
      <c r="I104" s="303">
        <v>0</v>
      </c>
      <c r="J104" s="307">
        <v>0</v>
      </c>
      <c r="K104" s="303">
        <v>0</v>
      </c>
      <c r="L104" s="301">
        <v>0</v>
      </c>
      <c r="M104" s="301">
        <v>0</v>
      </c>
      <c r="N104" s="301">
        <v>0</v>
      </c>
      <c r="O104" s="304">
        <v>0</v>
      </c>
      <c r="P104" s="301">
        <v>0</v>
      </c>
      <c r="Q104" s="301">
        <v>0</v>
      </c>
      <c r="R104" s="301">
        <v>0</v>
      </c>
      <c r="S104" s="301">
        <v>0</v>
      </c>
      <c r="T104" s="304">
        <v>0</v>
      </c>
      <c r="U104" s="301">
        <v>0</v>
      </c>
      <c r="V104" s="301">
        <v>0</v>
      </c>
      <c r="W104" s="301">
        <v>0</v>
      </c>
      <c r="X104" s="510">
        <v>0</v>
      </c>
      <c r="Y104" s="305">
        <v>0</v>
      </c>
      <c r="Z104" s="301">
        <v>0</v>
      </c>
      <c r="AA104" s="301">
        <v>0</v>
      </c>
      <c r="AB104" s="301">
        <v>0</v>
      </c>
      <c r="AC104" s="304">
        <v>0</v>
      </c>
      <c r="AD104" s="301">
        <v>0</v>
      </c>
      <c r="AE104" s="301">
        <v>0</v>
      </c>
      <c r="AF104" s="301">
        <v>0</v>
      </c>
      <c r="AG104" s="510">
        <v>0</v>
      </c>
      <c r="AH104" s="304">
        <v>0</v>
      </c>
      <c r="AI104" s="301">
        <v>0</v>
      </c>
      <c r="AJ104" s="301">
        <v>0</v>
      </c>
      <c r="AK104" s="301">
        <v>0</v>
      </c>
      <c r="AL104" s="306"/>
    </row>
    <row r="105" spans="1:59" s="266" customFormat="1" ht="34.35" customHeight="1" outlineLevel="1" x14ac:dyDescent="0.25">
      <c r="A105" s="303" t="s">
        <v>535</v>
      </c>
      <c r="B105" s="302" t="s">
        <v>435</v>
      </c>
      <c r="C105" s="303">
        <v>0</v>
      </c>
      <c r="D105" s="310">
        <f t="shared" si="15"/>
        <v>0</v>
      </c>
      <c r="E105" s="303"/>
      <c r="F105" s="307">
        <v>0</v>
      </c>
      <c r="G105" s="303">
        <v>0</v>
      </c>
      <c r="H105" s="303">
        <v>0</v>
      </c>
      <c r="I105" s="303"/>
      <c r="J105" s="307">
        <v>0</v>
      </c>
      <c r="K105" s="303">
        <v>0</v>
      </c>
      <c r="L105" s="301">
        <v>0</v>
      </c>
      <c r="M105" s="301">
        <v>0</v>
      </c>
      <c r="N105" s="301"/>
      <c r="O105" s="304">
        <v>0</v>
      </c>
      <c r="P105" s="301">
        <v>0</v>
      </c>
      <c r="Q105" s="301"/>
      <c r="R105" s="301">
        <v>0</v>
      </c>
      <c r="S105" s="301"/>
      <c r="T105" s="304">
        <v>0</v>
      </c>
      <c r="U105" s="301">
        <v>0</v>
      </c>
      <c r="V105" s="301"/>
      <c r="W105" s="301">
        <v>0</v>
      </c>
      <c r="X105" s="510"/>
      <c r="Y105" s="305">
        <v>0</v>
      </c>
      <c r="Z105" s="301"/>
      <c r="AA105" s="301">
        <v>0</v>
      </c>
      <c r="AB105" s="301"/>
      <c r="AC105" s="304">
        <v>0</v>
      </c>
      <c r="AD105" s="301">
        <v>0</v>
      </c>
      <c r="AE105" s="301">
        <v>0</v>
      </c>
      <c r="AF105" s="301">
        <v>0</v>
      </c>
      <c r="AG105" s="510">
        <v>0</v>
      </c>
      <c r="AH105" s="304">
        <v>0</v>
      </c>
      <c r="AI105" s="301">
        <v>0</v>
      </c>
      <c r="AJ105" s="301"/>
      <c r="AK105" s="301">
        <v>0</v>
      </c>
      <c r="AL105" s="306"/>
    </row>
    <row r="106" spans="1:59" s="266" customFormat="1" ht="54" customHeight="1" outlineLevel="1" x14ac:dyDescent="0.25">
      <c r="A106" s="303" t="s">
        <v>536</v>
      </c>
      <c r="B106" s="302" t="s">
        <v>452</v>
      </c>
      <c r="C106" s="303">
        <v>0</v>
      </c>
      <c r="D106" s="310">
        <f t="shared" si="15"/>
        <v>0</v>
      </c>
      <c r="E106" s="303"/>
      <c r="F106" s="307">
        <v>0</v>
      </c>
      <c r="G106" s="303">
        <v>0</v>
      </c>
      <c r="H106" s="303">
        <v>0</v>
      </c>
      <c r="I106" s="303"/>
      <c r="J106" s="307">
        <v>0</v>
      </c>
      <c r="K106" s="303">
        <v>0</v>
      </c>
      <c r="L106" s="301">
        <v>0</v>
      </c>
      <c r="M106" s="301">
        <v>0</v>
      </c>
      <c r="N106" s="301"/>
      <c r="O106" s="304">
        <v>0</v>
      </c>
      <c r="P106" s="301">
        <v>0</v>
      </c>
      <c r="Q106" s="301"/>
      <c r="R106" s="301">
        <v>0</v>
      </c>
      <c r="S106" s="301"/>
      <c r="T106" s="304">
        <v>0</v>
      </c>
      <c r="U106" s="301">
        <v>0</v>
      </c>
      <c r="V106" s="301"/>
      <c r="W106" s="301">
        <v>0</v>
      </c>
      <c r="X106" s="510"/>
      <c r="Y106" s="305">
        <v>0</v>
      </c>
      <c r="Z106" s="301"/>
      <c r="AA106" s="301">
        <v>0</v>
      </c>
      <c r="AB106" s="301"/>
      <c r="AC106" s="304">
        <v>0</v>
      </c>
      <c r="AD106" s="301">
        <v>0</v>
      </c>
      <c r="AE106" s="301">
        <v>0</v>
      </c>
      <c r="AF106" s="301">
        <v>0</v>
      </c>
      <c r="AG106" s="510">
        <v>0</v>
      </c>
      <c r="AH106" s="304">
        <v>0</v>
      </c>
      <c r="AI106" s="301">
        <v>0</v>
      </c>
      <c r="AJ106" s="301"/>
      <c r="AK106" s="301">
        <v>0</v>
      </c>
      <c r="AL106" s="306"/>
    </row>
    <row r="107" spans="1:59" s="266" customFormat="1" ht="21" customHeight="1" outlineLevel="1" x14ac:dyDescent="0.25">
      <c r="A107" s="303" t="s">
        <v>537</v>
      </c>
      <c r="B107" s="302" t="s">
        <v>454</v>
      </c>
      <c r="C107" s="303">
        <v>0</v>
      </c>
      <c r="D107" s="310">
        <f t="shared" si="15"/>
        <v>0</v>
      </c>
      <c r="E107" s="303">
        <v>0</v>
      </c>
      <c r="F107" s="307">
        <v>0</v>
      </c>
      <c r="G107" s="303">
        <v>0</v>
      </c>
      <c r="H107" s="303">
        <v>0</v>
      </c>
      <c r="I107" s="303">
        <v>0</v>
      </c>
      <c r="J107" s="307">
        <v>0</v>
      </c>
      <c r="K107" s="303">
        <v>0</v>
      </c>
      <c r="L107" s="301">
        <v>0</v>
      </c>
      <c r="M107" s="301">
        <v>0</v>
      </c>
      <c r="N107" s="301">
        <v>0</v>
      </c>
      <c r="O107" s="304">
        <v>0</v>
      </c>
      <c r="P107" s="301">
        <v>0</v>
      </c>
      <c r="Q107" s="301">
        <v>0</v>
      </c>
      <c r="R107" s="301">
        <v>0</v>
      </c>
      <c r="S107" s="301">
        <v>0</v>
      </c>
      <c r="T107" s="304">
        <v>0</v>
      </c>
      <c r="U107" s="301">
        <v>0</v>
      </c>
      <c r="V107" s="301">
        <v>0</v>
      </c>
      <c r="W107" s="301">
        <v>0</v>
      </c>
      <c r="X107" s="510">
        <v>0</v>
      </c>
      <c r="Y107" s="305">
        <v>0</v>
      </c>
      <c r="Z107" s="301">
        <v>0</v>
      </c>
      <c r="AA107" s="301">
        <v>0</v>
      </c>
      <c r="AB107" s="301">
        <v>0</v>
      </c>
      <c r="AC107" s="304">
        <v>0</v>
      </c>
      <c r="AD107" s="301">
        <v>0</v>
      </c>
      <c r="AE107" s="301">
        <v>0</v>
      </c>
      <c r="AF107" s="301">
        <v>0</v>
      </c>
      <c r="AG107" s="510">
        <v>0</v>
      </c>
      <c r="AH107" s="304">
        <v>0</v>
      </c>
      <c r="AI107" s="301">
        <v>0</v>
      </c>
      <c r="AJ107" s="301">
        <v>0</v>
      </c>
      <c r="AK107" s="301">
        <v>0</v>
      </c>
      <c r="AL107" s="306"/>
    </row>
    <row r="108" spans="1:59" s="486" customFormat="1" ht="76.2" customHeight="1" outlineLevel="1" x14ac:dyDescent="0.3">
      <c r="A108" s="481" t="s">
        <v>538</v>
      </c>
      <c r="B108" s="482" t="s">
        <v>539</v>
      </c>
      <c r="C108" s="481">
        <v>0</v>
      </c>
      <c r="D108" s="481">
        <f t="shared" si="15"/>
        <v>48845.9</v>
      </c>
      <c r="E108" s="481">
        <v>0</v>
      </c>
      <c r="F108" s="481">
        <f>G108+H108+I108</f>
        <v>0</v>
      </c>
      <c r="G108" s="481">
        <v>0</v>
      </c>
      <c r="H108" s="481">
        <v>0</v>
      </c>
      <c r="I108" s="481">
        <v>0</v>
      </c>
      <c r="J108" s="481">
        <f>K108+L108+M108</f>
        <v>0</v>
      </c>
      <c r="K108" s="481">
        <v>0</v>
      </c>
      <c r="L108" s="481">
        <v>0</v>
      </c>
      <c r="M108" s="481">
        <v>0</v>
      </c>
      <c r="N108" s="481">
        <v>0</v>
      </c>
      <c r="O108" s="481">
        <f>P108+Q108+R108</f>
        <v>0</v>
      </c>
      <c r="P108" s="481">
        <v>0</v>
      </c>
      <c r="Q108" s="481">
        <v>0</v>
      </c>
      <c r="R108" s="481">
        <v>0</v>
      </c>
      <c r="S108" s="481">
        <v>0</v>
      </c>
      <c r="T108" s="481">
        <f>U108+V108+W108</f>
        <v>0</v>
      </c>
      <c r="U108" s="481">
        <v>0</v>
      </c>
      <c r="V108" s="481">
        <v>0</v>
      </c>
      <c r="W108" s="481">
        <v>0</v>
      </c>
      <c r="X108" s="481">
        <v>0</v>
      </c>
      <c r="Y108" s="481">
        <f>Z108+AA108+AB108</f>
        <v>0</v>
      </c>
      <c r="Z108" s="481">
        <v>0</v>
      </c>
      <c r="AA108" s="481">
        <v>0</v>
      </c>
      <c r="AB108" s="481">
        <v>0</v>
      </c>
      <c r="AC108" s="481">
        <f>AD108+AE108+AF108</f>
        <v>0</v>
      </c>
      <c r="AD108" s="481">
        <v>0</v>
      </c>
      <c r="AE108" s="481">
        <v>0</v>
      </c>
      <c r="AF108" s="481">
        <v>0</v>
      </c>
      <c r="AG108" s="481">
        <v>0</v>
      </c>
      <c r="AH108" s="481">
        <f>AI108+AJ108+AK108</f>
        <v>48845.9</v>
      </c>
      <c r="AI108" s="481">
        <v>0</v>
      </c>
      <c r="AJ108" s="481">
        <v>46162.3</v>
      </c>
      <c r="AK108" s="481">
        <v>2683.6</v>
      </c>
      <c r="AL108" s="483"/>
      <c r="AM108" s="484"/>
      <c r="AN108" s="484"/>
      <c r="AO108" s="484"/>
      <c r="AP108" s="484"/>
      <c r="AQ108" s="484"/>
      <c r="AR108" s="484"/>
      <c r="AS108" s="484"/>
      <c r="AT108" s="484"/>
      <c r="AU108" s="484"/>
      <c r="AV108" s="485"/>
    </row>
    <row r="109" spans="1:59" s="265" customFormat="1" ht="93.6" customHeight="1" outlineLevel="1" x14ac:dyDescent="0.3">
      <c r="A109" s="431" t="s">
        <v>540</v>
      </c>
      <c r="B109" s="432" t="s">
        <v>541</v>
      </c>
      <c r="C109" s="431">
        <v>0</v>
      </c>
      <c r="D109" s="431">
        <f t="shared" si="15"/>
        <v>0</v>
      </c>
      <c r="E109" s="431"/>
      <c r="F109" s="431">
        <f>F110+F111+F112+F113+F114</f>
        <v>0</v>
      </c>
      <c r="G109" s="431">
        <f t="shared" ref="G109:AK109" si="19">G110+G111+G112+G113+G114</f>
        <v>0</v>
      </c>
      <c r="H109" s="431">
        <f t="shared" si="19"/>
        <v>0</v>
      </c>
      <c r="I109" s="431">
        <f t="shared" si="19"/>
        <v>0</v>
      </c>
      <c r="J109" s="431">
        <f t="shared" si="19"/>
        <v>0</v>
      </c>
      <c r="K109" s="431">
        <v>0</v>
      </c>
      <c r="L109" s="431">
        <f t="shared" si="19"/>
        <v>0</v>
      </c>
      <c r="M109" s="431">
        <f t="shared" si="19"/>
        <v>0</v>
      </c>
      <c r="N109" s="431">
        <f t="shared" si="19"/>
        <v>0</v>
      </c>
      <c r="O109" s="431">
        <f t="shared" si="19"/>
        <v>0</v>
      </c>
      <c r="P109" s="431">
        <v>0</v>
      </c>
      <c r="Q109" s="431">
        <f t="shared" si="19"/>
        <v>0</v>
      </c>
      <c r="R109" s="431">
        <f t="shared" si="19"/>
        <v>0</v>
      </c>
      <c r="S109" s="431">
        <f t="shared" si="19"/>
        <v>0</v>
      </c>
      <c r="T109" s="431">
        <f t="shared" si="19"/>
        <v>0</v>
      </c>
      <c r="U109" s="431">
        <v>0</v>
      </c>
      <c r="V109" s="433">
        <f t="shared" si="19"/>
        <v>0</v>
      </c>
      <c r="W109" s="433">
        <f t="shared" si="19"/>
        <v>0</v>
      </c>
      <c r="X109" s="481">
        <f t="shared" si="19"/>
        <v>0</v>
      </c>
      <c r="Y109" s="433">
        <f t="shared" si="19"/>
        <v>0</v>
      </c>
      <c r="Z109" s="431">
        <f t="shared" si="19"/>
        <v>0</v>
      </c>
      <c r="AA109" s="431">
        <f t="shared" si="19"/>
        <v>0</v>
      </c>
      <c r="AB109" s="431">
        <f t="shared" si="19"/>
        <v>0</v>
      </c>
      <c r="AC109" s="431">
        <f t="shared" si="19"/>
        <v>0</v>
      </c>
      <c r="AD109" s="431">
        <f t="shared" si="19"/>
        <v>0</v>
      </c>
      <c r="AE109" s="431">
        <f t="shared" si="19"/>
        <v>0</v>
      </c>
      <c r="AF109" s="431">
        <f t="shared" si="19"/>
        <v>0</v>
      </c>
      <c r="AG109" s="481">
        <f t="shared" si="19"/>
        <v>0</v>
      </c>
      <c r="AH109" s="431">
        <f t="shared" si="19"/>
        <v>0</v>
      </c>
      <c r="AI109" s="431">
        <v>0</v>
      </c>
      <c r="AJ109" s="431">
        <f t="shared" si="19"/>
        <v>0</v>
      </c>
      <c r="AK109" s="431">
        <f t="shared" si="19"/>
        <v>0</v>
      </c>
      <c r="AL109" s="299"/>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row>
    <row r="110" spans="1:59" s="266" customFormat="1" ht="181.2" customHeight="1" outlineLevel="1" x14ac:dyDescent="0.25">
      <c r="A110" s="303" t="s">
        <v>542</v>
      </c>
      <c r="B110" s="302" t="s">
        <v>500</v>
      </c>
      <c r="C110" s="303">
        <v>0</v>
      </c>
      <c r="D110" s="310">
        <f t="shared" si="15"/>
        <v>0</v>
      </c>
      <c r="E110" s="303">
        <v>0</v>
      </c>
      <c r="F110" s="307">
        <v>0</v>
      </c>
      <c r="G110" s="303">
        <v>0</v>
      </c>
      <c r="H110" s="303">
        <v>0</v>
      </c>
      <c r="I110" s="303">
        <v>0</v>
      </c>
      <c r="J110" s="307">
        <v>0</v>
      </c>
      <c r="K110" s="303">
        <v>0</v>
      </c>
      <c r="L110" s="301">
        <v>0</v>
      </c>
      <c r="M110" s="301">
        <v>0</v>
      </c>
      <c r="N110" s="301">
        <v>0</v>
      </c>
      <c r="O110" s="304">
        <v>0</v>
      </c>
      <c r="P110" s="301">
        <v>0</v>
      </c>
      <c r="Q110" s="301">
        <v>0</v>
      </c>
      <c r="R110" s="301">
        <v>0</v>
      </c>
      <c r="S110" s="301">
        <v>0</v>
      </c>
      <c r="T110" s="304">
        <v>0</v>
      </c>
      <c r="U110" s="301">
        <v>0</v>
      </c>
      <c r="V110" s="301">
        <v>0</v>
      </c>
      <c r="W110" s="301">
        <v>0</v>
      </c>
      <c r="X110" s="510">
        <v>0</v>
      </c>
      <c r="Y110" s="305">
        <v>0</v>
      </c>
      <c r="Z110" s="301">
        <v>0</v>
      </c>
      <c r="AA110" s="301">
        <v>0</v>
      </c>
      <c r="AB110" s="301">
        <v>0</v>
      </c>
      <c r="AC110" s="304">
        <v>0</v>
      </c>
      <c r="AD110" s="301">
        <v>0</v>
      </c>
      <c r="AE110" s="301">
        <v>0</v>
      </c>
      <c r="AF110" s="301">
        <v>0</v>
      </c>
      <c r="AG110" s="510">
        <v>0</v>
      </c>
      <c r="AH110" s="304">
        <v>0</v>
      </c>
      <c r="AI110" s="301">
        <v>0</v>
      </c>
      <c r="AJ110" s="301">
        <v>0</v>
      </c>
      <c r="AK110" s="301">
        <v>0</v>
      </c>
      <c r="AL110" s="306"/>
    </row>
    <row r="111" spans="1:59" s="266" customFormat="1" ht="222" customHeight="1" outlineLevel="1" x14ac:dyDescent="0.25">
      <c r="A111" s="303" t="s">
        <v>543</v>
      </c>
      <c r="B111" s="302" t="s">
        <v>423</v>
      </c>
      <c r="C111" s="303">
        <v>0</v>
      </c>
      <c r="D111" s="310">
        <f t="shared" si="15"/>
        <v>0</v>
      </c>
      <c r="E111" s="303">
        <v>0</v>
      </c>
      <c r="F111" s="307">
        <v>0</v>
      </c>
      <c r="G111" s="303">
        <v>0</v>
      </c>
      <c r="H111" s="303">
        <v>0</v>
      </c>
      <c r="I111" s="303">
        <v>0</v>
      </c>
      <c r="J111" s="307">
        <v>0</v>
      </c>
      <c r="K111" s="303">
        <v>0</v>
      </c>
      <c r="L111" s="301">
        <v>0</v>
      </c>
      <c r="M111" s="301">
        <v>0</v>
      </c>
      <c r="N111" s="301">
        <v>0</v>
      </c>
      <c r="O111" s="304">
        <v>0</v>
      </c>
      <c r="P111" s="301">
        <v>0</v>
      </c>
      <c r="Q111" s="301">
        <v>0</v>
      </c>
      <c r="R111" s="301">
        <v>0</v>
      </c>
      <c r="S111" s="301">
        <v>0</v>
      </c>
      <c r="T111" s="304">
        <v>0</v>
      </c>
      <c r="U111" s="301">
        <v>0</v>
      </c>
      <c r="V111" s="301">
        <v>0</v>
      </c>
      <c r="W111" s="301">
        <v>0</v>
      </c>
      <c r="X111" s="510">
        <v>0</v>
      </c>
      <c r="Y111" s="305">
        <v>0</v>
      </c>
      <c r="Z111" s="301">
        <v>0</v>
      </c>
      <c r="AA111" s="301">
        <v>0</v>
      </c>
      <c r="AB111" s="301">
        <v>0</v>
      </c>
      <c r="AC111" s="304">
        <v>0</v>
      </c>
      <c r="AD111" s="301">
        <v>0</v>
      </c>
      <c r="AE111" s="301">
        <v>0</v>
      </c>
      <c r="AF111" s="301">
        <v>0</v>
      </c>
      <c r="AG111" s="510">
        <v>0</v>
      </c>
      <c r="AH111" s="304">
        <v>0</v>
      </c>
      <c r="AI111" s="301">
        <v>0</v>
      </c>
      <c r="AJ111" s="301">
        <v>0</v>
      </c>
      <c r="AK111" s="301">
        <v>0</v>
      </c>
      <c r="AL111" s="306"/>
    </row>
    <row r="112" spans="1:59" s="266" customFormat="1" ht="39.6" customHeight="1" outlineLevel="1" x14ac:dyDescent="0.25">
      <c r="A112" s="303" t="s">
        <v>544</v>
      </c>
      <c r="B112" s="302" t="s">
        <v>435</v>
      </c>
      <c r="C112" s="303">
        <v>0</v>
      </c>
      <c r="D112" s="310">
        <f t="shared" si="15"/>
        <v>0</v>
      </c>
      <c r="E112" s="303">
        <v>0</v>
      </c>
      <c r="F112" s="307">
        <v>0</v>
      </c>
      <c r="G112" s="303">
        <v>0</v>
      </c>
      <c r="H112" s="303">
        <v>0</v>
      </c>
      <c r="I112" s="303">
        <v>0</v>
      </c>
      <c r="J112" s="307">
        <v>0</v>
      </c>
      <c r="K112" s="303">
        <v>0</v>
      </c>
      <c r="L112" s="301">
        <v>0</v>
      </c>
      <c r="M112" s="301">
        <v>0</v>
      </c>
      <c r="N112" s="301">
        <v>0</v>
      </c>
      <c r="O112" s="304">
        <v>0</v>
      </c>
      <c r="P112" s="301">
        <v>0</v>
      </c>
      <c r="Q112" s="301">
        <v>0</v>
      </c>
      <c r="R112" s="301">
        <v>0</v>
      </c>
      <c r="S112" s="301">
        <v>0</v>
      </c>
      <c r="T112" s="304">
        <v>0</v>
      </c>
      <c r="U112" s="301">
        <v>0</v>
      </c>
      <c r="V112" s="301">
        <v>0</v>
      </c>
      <c r="W112" s="301">
        <v>0</v>
      </c>
      <c r="X112" s="510">
        <v>0</v>
      </c>
      <c r="Y112" s="305">
        <v>0</v>
      </c>
      <c r="Z112" s="301">
        <v>0</v>
      </c>
      <c r="AA112" s="301">
        <v>0</v>
      </c>
      <c r="AB112" s="301">
        <v>0</v>
      </c>
      <c r="AC112" s="304">
        <v>0</v>
      </c>
      <c r="AD112" s="301">
        <v>0</v>
      </c>
      <c r="AE112" s="301">
        <v>0</v>
      </c>
      <c r="AF112" s="301">
        <v>0</v>
      </c>
      <c r="AG112" s="510">
        <v>0</v>
      </c>
      <c r="AH112" s="304">
        <v>0</v>
      </c>
      <c r="AI112" s="301">
        <v>0</v>
      </c>
      <c r="AJ112" s="301">
        <v>0</v>
      </c>
      <c r="AK112" s="301">
        <v>0</v>
      </c>
      <c r="AL112" s="306"/>
    </row>
    <row r="113" spans="1:67" s="266" customFormat="1" ht="108.6" customHeight="1" outlineLevel="1" x14ac:dyDescent="0.25">
      <c r="A113" s="303" t="s">
        <v>545</v>
      </c>
      <c r="B113" s="302" t="s">
        <v>1382</v>
      </c>
      <c r="C113" s="303">
        <v>0</v>
      </c>
      <c r="D113" s="310">
        <f t="shared" si="15"/>
        <v>0</v>
      </c>
      <c r="E113" s="303">
        <v>0</v>
      </c>
      <c r="F113" s="307">
        <v>0</v>
      </c>
      <c r="G113" s="303">
        <v>0</v>
      </c>
      <c r="H113" s="303">
        <v>0</v>
      </c>
      <c r="I113" s="303">
        <v>0</v>
      </c>
      <c r="J113" s="307">
        <v>0</v>
      </c>
      <c r="K113" s="303">
        <v>0</v>
      </c>
      <c r="L113" s="301">
        <v>0</v>
      </c>
      <c r="M113" s="301">
        <v>0</v>
      </c>
      <c r="N113" s="301">
        <v>0</v>
      </c>
      <c r="O113" s="304">
        <v>0</v>
      </c>
      <c r="P113" s="301">
        <v>0</v>
      </c>
      <c r="Q113" s="301">
        <v>0</v>
      </c>
      <c r="R113" s="301">
        <v>0</v>
      </c>
      <c r="S113" s="301">
        <v>0</v>
      </c>
      <c r="T113" s="304">
        <v>0</v>
      </c>
      <c r="U113" s="301">
        <v>0</v>
      </c>
      <c r="V113" s="301">
        <v>0</v>
      </c>
      <c r="W113" s="301">
        <v>0</v>
      </c>
      <c r="X113" s="510">
        <v>0</v>
      </c>
      <c r="Y113" s="305">
        <v>0</v>
      </c>
      <c r="Z113" s="301">
        <v>0</v>
      </c>
      <c r="AA113" s="301">
        <v>0</v>
      </c>
      <c r="AB113" s="301">
        <v>0</v>
      </c>
      <c r="AC113" s="304">
        <f>AF113</f>
        <v>0</v>
      </c>
      <c r="AD113" s="301">
        <v>0</v>
      </c>
      <c r="AE113" s="301">
        <v>0</v>
      </c>
      <c r="AF113" s="301">
        <v>0</v>
      </c>
      <c r="AG113" s="510">
        <v>0</v>
      </c>
      <c r="AH113" s="304">
        <f>AK113</f>
        <v>0</v>
      </c>
      <c r="AI113" s="301">
        <v>0</v>
      </c>
      <c r="AJ113" s="301">
        <v>0</v>
      </c>
      <c r="AK113" s="301">
        <v>0</v>
      </c>
      <c r="AL113" s="306"/>
    </row>
    <row r="114" spans="1:67" s="266" customFormat="1" ht="38.4" customHeight="1" outlineLevel="1" x14ac:dyDescent="0.25">
      <c r="A114" s="303" t="s">
        <v>546</v>
      </c>
      <c r="B114" s="302" t="s">
        <v>425</v>
      </c>
      <c r="C114" s="303">
        <v>0</v>
      </c>
      <c r="D114" s="310">
        <f t="shared" si="15"/>
        <v>0</v>
      </c>
      <c r="E114" s="303">
        <v>0</v>
      </c>
      <c r="F114" s="307">
        <v>0</v>
      </c>
      <c r="G114" s="303">
        <v>0</v>
      </c>
      <c r="H114" s="303">
        <v>0</v>
      </c>
      <c r="I114" s="303">
        <v>0</v>
      </c>
      <c r="J114" s="307">
        <v>0</v>
      </c>
      <c r="K114" s="303">
        <v>0</v>
      </c>
      <c r="L114" s="301">
        <v>0</v>
      </c>
      <c r="M114" s="301">
        <v>0</v>
      </c>
      <c r="N114" s="301">
        <v>0</v>
      </c>
      <c r="O114" s="304">
        <v>0</v>
      </c>
      <c r="P114" s="301">
        <v>0</v>
      </c>
      <c r="Q114" s="301">
        <v>0</v>
      </c>
      <c r="R114" s="301">
        <v>0</v>
      </c>
      <c r="S114" s="301">
        <v>0</v>
      </c>
      <c r="T114" s="304">
        <v>0</v>
      </c>
      <c r="U114" s="301">
        <v>0</v>
      </c>
      <c r="V114" s="301">
        <v>0</v>
      </c>
      <c r="W114" s="301">
        <v>0</v>
      </c>
      <c r="X114" s="510">
        <v>0</v>
      </c>
      <c r="Y114" s="305">
        <v>0</v>
      </c>
      <c r="Z114" s="301">
        <v>0</v>
      </c>
      <c r="AA114" s="301">
        <v>0</v>
      </c>
      <c r="AB114" s="301">
        <v>0</v>
      </c>
      <c r="AC114" s="304">
        <v>0</v>
      </c>
      <c r="AD114" s="301">
        <v>0</v>
      </c>
      <c r="AE114" s="301">
        <v>0</v>
      </c>
      <c r="AF114" s="301">
        <v>0</v>
      </c>
      <c r="AG114" s="510">
        <v>0</v>
      </c>
      <c r="AH114" s="304">
        <f>AJ114+AK114</f>
        <v>0</v>
      </c>
      <c r="AI114" s="301">
        <v>0</v>
      </c>
      <c r="AJ114" s="301">
        <v>0</v>
      </c>
      <c r="AK114" s="301">
        <v>0</v>
      </c>
      <c r="AL114" s="306"/>
    </row>
    <row r="115" spans="1:67" s="268" customFormat="1" ht="118.2" customHeight="1" outlineLevel="1" x14ac:dyDescent="0.3">
      <c r="A115" s="431" t="s">
        <v>547</v>
      </c>
      <c r="B115" s="432" t="s">
        <v>548</v>
      </c>
      <c r="C115" s="431">
        <v>0</v>
      </c>
      <c r="D115" s="431">
        <f t="shared" si="15"/>
        <v>47.410000000000004</v>
      </c>
      <c r="E115" s="431">
        <v>0</v>
      </c>
      <c r="F115" s="431">
        <v>0</v>
      </c>
      <c r="G115" s="431">
        <v>0</v>
      </c>
      <c r="H115" s="431">
        <v>0</v>
      </c>
      <c r="I115" s="431">
        <v>0</v>
      </c>
      <c r="J115" s="431">
        <f>J116+J117+J118</f>
        <v>47.410000000000004</v>
      </c>
      <c r="K115" s="431">
        <v>0</v>
      </c>
      <c r="L115" s="431">
        <v>0</v>
      </c>
      <c r="M115" s="431">
        <f>M116+M117+M118</f>
        <v>47.410000000000004</v>
      </c>
      <c r="N115" s="431">
        <v>0</v>
      </c>
      <c r="O115" s="431">
        <v>0</v>
      </c>
      <c r="P115" s="431">
        <v>0</v>
      </c>
      <c r="Q115" s="431">
        <v>0</v>
      </c>
      <c r="R115" s="431">
        <v>0</v>
      </c>
      <c r="S115" s="431">
        <v>0</v>
      </c>
      <c r="T115" s="431">
        <v>0</v>
      </c>
      <c r="U115" s="431">
        <v>0</v>
      </c>
      <c r="V115" s="433">
        <v>0</v>
      </c>
      <c r="W115" s="433">
        <v>0</v>
      </c>
      <c r="X115" s="481">
        <v>0</v>
      </c>
      <c r="Y115" s="433">
        <v>0</v>
      </c>
      <c r="Z115" s="431">
        <v>0</v>
      </c>
      <c r="AA115" s="431">
        <v>0</v>
      </c>
      <c r="AB115" s="431">
        <v>0</v>
      </c>
      <c r="AC115" s="431">
        <v>0</v>
      </c>
      <c r="AD115" s="431">
        <v>0</v>
      </c>
      <c r="AE115" s="431">
        <v>0</v>
      </c>
      <c r="AF115" s="431">
        <v>0</v>
      </c>
      <c r="AG115" s="481">
        <v>0</v>
      </c>
      <c r="AH115" s="431">
        <v>0</v>
      </c>
      <c r="AI115" s="431">
        <v>0</v>
      </c>
      <c r="AJ115" s="431">
        <v>0</v>
      </c>
      <c r="AK115" s="431">
        <v>0</v>
      </c>
      <c r="AL115" s="299"/>
      <c r="AM115" s="206"/>
      <c r="AN115" s="206"/>
      <c r="AO115" s="206"/>
      <c r="AP115" s="206"/>
      <c r="AQ115" s="206"/>
      <c r="AR115" s="206"/>
      <c r="AS115" s="206"/>
      <c r="AT115" s="206"/>
      <c r="AU115" s="206"/>
      <c r="AV115" s="206"/>
    </row>
    <row r="116" spans="1:67" s="266" customFormat="1" ht="327" customHeight="1" outlineLevel="1" x14ac:dyDescent="0.25">
      <c r="A116" s="303" t="s">
        <v>549</v>
      </c>
      <c r="B116" s="321" t="s">
        <v>1388</v>
      </c>
      <c r="C116" s="310">
        <v>0</v>
      </c>
      <c r="D116" s="310">
        <f t="shared" si="15"/>
        <v>24</v>
      </c>
      <c r="E116" s="310">
        <v>0</v>
      </c>
      <c r="F116" s="307">
        <v>0</v>
      </c>
      <c r="G116" s="310">
        <v>0</v>
      </c>
      <c r="H116" s="310">
        <v>0</v>
      </c>
      <c r="I116" s="310">
        <v>0</v>
      </c>
      <c r="J116" s="307">
        <v>24</v>
      </c>
      <c r="K116" s="303">
        <v>0</v>
      </c>
      <c r="L116" s="310">
        <v>0</v>
      </c>
      <c r="M116" s="310">
        <v>24</v>
      </c>
      <c r="N116" s="310">
        <v>0</v>
      </c>
      <c r="O116" s="307">
        <v>0</v>
      </c>
      <c r="P116" s="303">
        <v>0</v>
      </c>
      <c r="Q116" s="322">
        <v>0</v>
      </c>
      <c r="R116" s="322">
        <v>0</v>
      </c>
      <c r="S116" s="322">
        <v>0</v>
      </c>
      <c r="T116" s="307">
        <v>0</v>
      </c>
      <c r="U116" s="303">
        <v>0</v>
      </c>
      <c r="V116" s="301">
        <v>0</v>
      </c>
      <c r="W116" s="301">
        <v>0</v>
      </c>
      <c r="X116" s="510">
        <v>0</v>
      </c>
      <c r="Y116" s="312">
        <v>0</v>
      </c>
      <c r="Z116" s="301">
        <v>0</v>
      </c>
      <c r="AA116" s="301">
        <v>0</v>
      </c>
      <c r="AB116" s="301">
        <v>0</v>
      </c>
      <c r="AC116" s="307">
        <v>0</v>
      </c>
      <c r="AD116" s="303">
        <v>0</v>
      </c>
      <c r="AE116" s="301">
        <v>0</v>
      </c>
      <c r="AF116" s="301">
        <v>0</v>
      </c>
      <c r="AG116" s="510">
        <v>0</v>
      </c>
      <c r="AH116" s="307">
        <v>0</v>
      </c>
      <c r="AI116" s="303">
        <v>0</v>
      </c>
      <c r="AJ116" s="301">
        <v>0</v>
      </c>
      <c r="AK116" s="301">
        <v>0</v>
      </c>
      <c r="AL116" s="306"/>
    </row>
    <row r="117" spans="1:67" s="266" customFormat="1" ht="268.2" customHeight="1" outlineLevel="1" x14ac:dyDescent="0.25">
      <c r="A117" s="303" t="s">
        <v>550</v>
      </c>
      <c r="B117" s="321" t="s">
        <v>1389</v>
      </c>
      <c r="C117" s="310">
        <v>0</v>
      </c>
      <c r="D117" s="310">
        <f t="shared" si="15"/>
        <v>11.7</v>
      </c>
      <c r="E117" s="310">
        <v>0</v>
      </c>
      <c r="F117" s="307">
        <v>0</v>
      </c>
      <c r="G117" s="310">
        <v>0</v>
      </c>
      <c r="H117" s="310">
        <v>0</v>
      </c>
      <c r="I117" s="310">
        <v>0</v>
      </c>
      <c r="J117" s="307">
        <v>11.7</v>
      </c>
      <c r="K117" s="303">
        <v>0</v>
      </c>
      <c r="L117" s="310">
        <v>0</v>
      </c>
      <c r="M117" s="310">
        <v>11.7</v>
      </c>
      <c r="N117" s="310">
        <v>0</v>
      </c>
      <c r="O117" s="307">
        <v>0</v>
      </c>
      <c r="P117" s="303">
        <v>0</v>
      </c>
      <c r="Q117" s="322">
        <v>0</v>
      </c>
      <c r="R117" s="322">
        <v>0</v>
      </c>
      <c r="S117" s="322">
        <v>0</v>
      </c>
      <c r="T117" s="307">
        <v>0</v>
      </c>
      <c r="U117" s="303">
        <v>0</v>
      </c>
      <c r="V117" s="301">
        <v>0</v>
      </c>
      <c r="W117" s="301">
        <v>0</v>
      </c>
      <c r="X117" s="510">
        <v>0</v>
      </c>
      <c r="Y117" s="312">
        <v>0</v>
      </c>
      <c r="Z117" s="301">
        <v>0</v>
      </c>
      <c r="AA117" s="301">
        <v>0</v>
      </c>
      <c r="AB117" s="301">
        <v>0</v>
      </c>
      <c r="AC117" s="307">
        <v>0</v>
      </c>
      <c r="AD117" s="303">
        <v>0</v>
      </c>
      <c r="AE117" s="301">
        <v>0</v>
      </c>
      <c r="AF117" s="301">
        <v>0</v>
      </c>
      <c r="AG117" s="510">
        <v>0</v>
      </c>
      <c r="AH117" s="307">
        <v>0</v>
      </c>
      <c r="AI117" s="303">
        <v>0</v>
      </c>
      <c r="AJ117" s="301">
        <v>0</v>
      </c>
      <c r="AK117" s="301">
        <v>0</v>
      </c>
      <c r="AL117" s="306"/>
    </row>
    <row r="118" spans="1:67" s="266" customFormat="1" ht="307.95" customHeight="1" outlineLevel="1" x14ac:dyDescent="0.25">
      <c r="A118" s="303" t="s">
        <v>551</v>
      </c>
      <c r="B118" s="321" t="s">
        <v>1390</v>
      </c>
      <c r="C118" s="310">
        <v>0</v>
      </c>
      <c r="D118" s="310">
        <f t="shared" si="15"/>
        <v>11.71</v>
      </c>
      <c r="E118" s="310">
        <v>0</v>
      </c>
      <c r="F118" s="307">
        <v>0</v>
      </c>
      <c r="G118" s="310">
        <v>0</v>
      </c>
      <c r="H118" s="310">
        <v>0</v>
      </c>
      <c r="I118" s="310">
        <v>0</v>
      </c>
      <c r="J118" s="307">
        <v>11.71</v>
      </c>
      <c r="K118" s="303">
        <v>0</v>
      </c>
      <c r="L118" s="310">
        <v>0</v>
      </c>
      <c r="M118" s="310">
        <v>11.71</v>
      </c>
      <c r="N118" s="310">
        <v>0</v>
      </c>
      <c r="O118" s="307">
        <v>0</v>
      </c>
      <c r="P118" s="303">
        <v>0</v>
      </c>
      <c r="Q118" s="322">
        <v>0</v>
      </c>
      <c r="R118" s="322">
        <v>0</v>
      </c>
      <c r="S118" s="322">
        <v>0</v>
      </c>
      <c r="T118" s="307">
        <v>0</v>
      </c>
      <c r="U118" s="303">
        <v>0</v>
      </c>
      <c r="V118" s="301">
        <v>0</v>
      </c>
      <c r="W118" s="301">
        <v>0</v>
      </c>
      <c r="X118" s="510">
        <v>0</v>
      </c>
      <c r="Y118" s="312">
        <v>0</v>
      </c>
      <c r="Z118" s="301">
        <v>0</v>
      </c>
      <c r="AA118" s="301">
        <v>0</v>
      </c>
      <c r="AB118" s="301">
        <v>0</v>
      </c>
      <c r="AC118" s="307">
        <v>0</v>
      </c>
      <c r="AD118" s="303">
        <v>0</v>
      </c>
      <c r="AE118" s="301">
        <v>0</v>
      </c>
      <c r="AF118" s="301">
        <v>0</v>
      </c>
      <c r="AG118" s="510">
        <v>0</v>
      </c>
      <c r="AH118" s="307">
        <v>0</v>
      </c>
      <c r="AI118" s="303">
        <v>0</v>
      </c>
      <c r="AJ118" s="301">
        <v>0</v>
      </c>
      <c r="AK118" s="301">
        <v>0</v>
      </c>
      <c r="AL118" s="306"/>
    </row>
    <row r="119" spans="1:67" s="266" customFormat="1" ht="84.6" customHeight="1" outlineLevel="1" x14ac:dyDescent="0.25">
      <c r="A119" s="307" t="s">
        <v>552</v>
      </c>
      <c r="B119" s="323" t="s">
        <v>1391</v>
      </c>
      <c r="C119" s="307">
        <v>0</v>
      </c>
      <c r="D119" s="307">
        <f t="shared" si="15"/>
        <v>49.41</v>
      </c>
      <c r="E119" s="307">
        <v>0</v>
      </c>
      <c r="F119" s="307">
        <v>0</v>
      </c>
      <c r="G119" s="307">
        <v>0</v>
      </c>
      <c r="H119" s="307">
        <v>0</v>
      </c>
      <c r="I119" s="307">
        <v>0</v>
      </c>
      <c r="J119" s="307">
        <v>49.41</v>
      </c>
      <c r="K119" s="307">
        <v>0</v>
      </c>
      <c r="L119" s="307">
        <v>0</v>
      </c>
      <c r="M119" s="307">
        <v>49.41</v>
      </c>
      <c r="N119" s="307">
        <v>0</v>
      </c>
      <c r="O119" s="304">
        <v>0</v>
      </c>
      <c r="P119" s="304">
        <v>0</v>
      </c>
      <c r="Q119" s="304">
        <v>0</v>
      </c>
      <c r="R119" s="304">
        <v>0</v>
      </c>
      <c r="S119" s="304">
        <v>0</v>
      </c>
      <c r="T119" s="304">
        <v>0</v>
      </c>
      <c r="U119" s="304">
        <v>0</v>
      </c>
      <c r="V119" s="305">
        <v>0</v>
      </c>
      <c r="W119" s="305">
        <v>0</v>
      </c>
      <c r="X119" s="512">
        <v>0</v>
      </c>
      <c r="Y119" s="305">
        <v>0</v>
      </c>
      <c r="Z119" s="304">
        <v>0</v>
      </c>
      <c r="AA119" s="304">
        <v>0</v>
      </c>
      <c r="AB119" s="304">
        <v>0</v>
      </c>
      <c r="AC119" s="304">
        <v>0</v>
      </c>
      <c r="AD119" s="305">
        <v>0</v>
      </c>
      <c r="AE119" s="304">
        <v>0</v>
      </c>
      <c r="AF119" s="304">
        <v>0</v>
      </c>
      <c r="AG119" s="512">
        <v>0</v>
      </c>
      <c r="AH119" s="304">
        <v>0</v>
      </c>
      <c r="AI119" s="304">
        <v>0</v>
      </c>
      <c r="AJ119" s="304">
        <v>0</v>
      </c>
      <c r="AK119" s="304">
        <v>0</v>
      </c>
      <c r="AL119" s="306"/>
    </row>
    <row r="120" spans="1:67" s="266" customFormat="1" ht="44.1" customHeight="1" outlineLevel="1" x14ac:dyDescent="0.25">
      <c r="A120" s="303" t="s">
        <v>553</v>
      </c>
      <c r="B120" s="302" t="s">
        <v>408</v>
      </c>
      <c r="C120" s="303">
        <v>0</v>
      </c>
      <c r="D120" s="303">
        <f t="shared" si="15"/>
        <v>24.15</v>
      </c>
      <c r="E120" s="303">
        <v>0</v>
      </c>
      <c r="F120" s="307">
        <v>0</v>
      </c>
      <c r="G120" s="303">
        <v>0</v>
      </c>
      <c r="H120" s="303">
        <v>0</v>
      </c>
      <c r="I120" s="303">
        <v>0</v>
      </c>
      <c r="J120" s="307">
        <v>0</v>
      </c>
      <c r="K120" s="303">
        <v>0</v>
      </c>
      <c r="L120" s="303">
        <v>0</v>
      </c>
      <c r="M120" s="303">
        <v>0</v>
      </c>
      <c r="N120" s="303">
        <v>0</v>
      </c>
      <c r="O120" s="307">
        <f>R120</f>
        <v>24.15</v>
      </c>
      <c r="P120" s="303">
        <v>0</v>
      </c>
      <c r="Q120" s="301">
        <v>0</v>
      </c>
      <c r="R120" s="301">
        <v>24.15</v>
      </c>
      <c r="S120" s="301">
        <v>0</v>
      </c>
      <c r="T120" s="307">
        <v>0</v>
      </c>
      <c r="U120" s="303">
        <v>0</v>
      </c>
      <c r="V120" s="301">
        <v>0</v>
      </c>
      <c r="W120" s="301">
        <v>0</v>
      </c>
      <c r="X120" s="510">
        <v>0</v>
      </c>
      <c r="Y120" s="312">
        <v>0</v>
      </c>
      <c r="Z120" s="301">
        <v>0</v>
      </c>
      <c r="AA120" s="301">
        <v>0</v>
      </c>
      <c r="AB120" s="301">
        <v>0</v>
      </c>
      <c r="AC120" s="307">
        <v>0</v>
      </c>
      <c r="AD120" s="303">
        <v>0</v>
      </c>
      <c r="AE120" s="301">
        <v>0</v>
      </c>
      <c r="AF120" s="301">
        <v>0</v>
      </c>
      <c r="AG120" s="510">
        <v>0</v>
      </c>
      <c r="AH120" s="307">
        <v>0</v>
      </c>
      <c r="AI120" s="303">
        <v>0</v>
      </c>
      <c r="AJ120" s="301">
        <v>0</v>
      </c>
      <c r="AK120" s="301">
        <v>0</v>
      </c>
      <c r="AL120" s="306"/>
    </row>
    <row r="121" spans="1:67" s="266" customFormat="1" ht="257.39999999999998" customHeight="1" outlineLevel="1" x14ac:dyDescent="0.25">
      <c r="A121" s="307" t="s">
        <v>554</v>
      </c>
      <c r="B121" s="323" t="s">
        <v>555</v>
      </c>
      <c r="C121" s="307">
        <v>0</v>
      </c>
      <c r="D121" s="307">
        <f t="shared" si="15"/>
        <v>191</v>
      </c>
      <c r="E121" s="307">
        <v>0</v>
      </c>
      <c r="F121" s="307">
        <v>0</v>
      </c>
      <c r="G121" s="307">
        <v>0</v>
      </c>
      <c r="H121" s="307">
        <v>0</v>
      </c>
      <c r="I121" s="307">
        <v>0</v>
      </c>
      <c r="J121" s="307">
        <v>93</v>
      </c>
      <c r="K121" s="307">
        <v>0</v>
      </c>
      <c r="L121" s="307">
        <v>0</v>
      </c>
      <c r="M121" s="307">
        <v>93</v>
      </c>
      <c r="N121" s="307">
        <v>0</v>
      </c>
      <c r="O121" s="304">
        <f>R121</f>
        <v>98</v>
      </c>
      <c r="P121" s="305">
        <v>0</v>
      </c>
      <c r="Q121" s="304">
        <v>0</v>
      </c>
      <c r="R121" s="304">
        <v>98</v>
      </c>
      <c r="S121" s="304">
        <v>0</v>
      </c>
      <c r="T121" s="304">
        <v>0</v>
      </c>
      <c r="U121" s="304">
        <v>0</v>
      </c>
      <c r="V121" s="305">
        <v>0</v>
      </c>
      <c r="W121" s="305">
        <v>0</v>
      </c>
      <c r="X121" s="513">
        <v>0</v>
      </c>
      <c r="Y121" s="305">
        <v>0</v>
      </c>
      <c r="Z121" s="304">
        <v>0</v>
      </c>
      <c r="AA121" s="304">
        <v>0</v>
      </c>
      <c r="AB121" s="304">
        <v>0</v>
      </c>
      <c r="AC121" s="304">
        <v>0</v>
      </c>
      <c r="AD121" s="304">
        <v>0</v>
      </c>
      <c r="AE121" s="304">
        <v>0</v>
      </c>
      <c r="AF121" s="304">
        <v>0</v>
      </c>
      <c r="AG121" s="512">
        <v>0</v>
      </c>
      <c r="AH121" s="304">
        <v>0</v>
      </c>
      <c r="AI121" s="304">
        <v>0</v>
      </c>
      <c r="AJ121" s="304">
        <v>0</v>
      </c>
      <c r="AK121" s="304">
        <v>0</v>
      </c>
      <c r="AL121" s="306"/>
    </row>
    <row r="122" spans="1:67" s="266" customFormat="1" ht="48.6" customHeight="1" outlineLevel="1" x14ac:dyDescent="0.25">
      <c r="A122" s="303" t="s">
        <v>556</v>
      </c>
      <c r="B122" s="302" t="s">
        <v>408</v>
      </c>
      <c r="C122" s="303">
        <v>0</v>
      </c>
      <c r="D122" s="303">
        <f t="shared" si="15"/>
        <v>92.27</v>
      </c>
      <c r="E122" s="303">
        <v>0</v>
      </c>
      <c r="F122" s="307">
        <v>0</v>
      </c>
      <c r="G122" s="303">
        <v>0</v>
      </c>
      <c r="H122" s="303">
        <v>0</v>
      </c>
      <c r="I122" s="303">
        <v>0</v>
      </c>
      <c r="J122" s="307">
        <v>0</v>
      </c>
      <c r="K122" s="303">
        <v>0</v>
      </c>
      <c r="L122" s="303">
        <v>0</v>
      </c>
      <c r="M122" s="303">
        <v>0</v>
      </c>
      <c r="N122" s="303">
        <v>0</v>
      </c>
      <c r="O122" s="307">
        <f>R122</f>
        <v>92.27</v>
      </c>
      <c r="P122" s="303">
        <v>0</v>
      </c>
      <c r="Q122" s="301">
        <v>0</v>
      </c>
      <c r="R122" s="301">
        <v>92.27</v>
      </c>
      <c r="S122" s="301">
        <v>0</v>
      </c>
      <c r="T122" s="307">
        <v>0</v>
      </c>
      <c r="U122" s="303">
        <v>0</v>
      </c>
      <c r="V122" s="301">
        <v>0</v>
      </c>
      <c r="W122" s="301">
        <v>0</v>
      </c>
      <c r="X122" s="510">
        <v>0</v>
      </c>
      <c r="Y122" s="307">
        <v>0</v>
      </c>
      <c r="Z122" s="301">
        <v>0</v>
      </c>
      <c r="AA122" s="301">
        <v>0</v>
      </c>
      <c r="AB122" s="301">
        <v>0</v>
      </c>
      <c r="AC122" s="301">
        <v>0</v>
      </c>
      <c r="AD122" s="301">
        <v>0</v>
      </c>
      <c r="AE122" s="301">
        <v>0</v>
      </c>
      <c r="AF122" s="301">
        <v>0</v>
      </c>
      <c r="AG122" s="510">
        <v>0</v>
      </c>
      <c r="AH122" s="301">
        <v>0</v>
      </c>
      <c r="AI122" s="301">
        <v>0</v>
      </c>
      <c r="AJ122" s="301">
        <v>0</v>
      </c>
      <c r="AK122" s="301">
        <v>0</v>
      </c>
      <c r="AL122" s="306"/>
    </row>
    <row r="123" spans="1:67" s="269" customFormat="1" ht="360.6" customHeight="1" outlineLevel="1" x14ac:dyDescent="0.25">
      <c r="A123" s="312" t="s">
        <v>557</v>
      </c>
      <c r="B123" s="300" t="s">
        <v>558</v>
      </c>
      <c r="C123" s="312">
        <f>C127+C126</f>
        <v>0.89999999999999991</v>
      </c>
      <c r="D123" s="312">
        <f t="shared" si="15"/>
        <v>462680.06999999995</v>
      </c>
      <c r="E123" s="312">
        <f t="shared" ref="E123:AG123" si="20">E124+E125+E126+E127+E128+E129+E130+E131+E132+E135</f>
        <v>0</v>
      </c>
      <c r="F123" s="312">
        <f t="shared" si="20"/>
        <v>0</v>
      </c>
      <c r="G123" s="312">
        <f t="shared" si="20"/>
        <v>0</v>
      </c>
      <c r="H123" s="312">
        <f t="shared" si="20"/>
        <v>0</v>
      </c>
      <c r="I123" s="312">
        <f t="shared" si="20"/>
        <v>0</v>
      </c>
      <c r="J123" s="312">
        <f t="shared" si="20"/>
        <v>0</v>
      </c>
      <c r="K123" s="312">
        <f t="shared" si="20"/>
        <v>0</v>
      </c>
      <c r="L123" s="312">
        <f t="shared" si="20"/>
        <v>0</v>
      </c>
      <c r="M123" s="312">
        <f t="shared" si="20"/>
        <v>0</v>
      </c>
      <c r="N123" s="312">
        <f t="shared" si="20"/>
        <v>0</v>
      </c>
      <c r="O123" s="312">
        <f t="shared" si="20"/>
        <v>0</v>
      </c>
      <c r="P123" s="312">
        <f t="shared" si="20"/>
        <v>0</v>
      </c>
      <c r="Q123" s="312">
        <f t="shared" si="20"/>
        <v>0</v>
      </c>
      <c r="R123" s="312">
        <f t="shared" si="20"/>
        <v>0</v>
      </c>
      <c r="S123" s="312">
        <f t="shared" si="20"/>
        <v>0</v>
      </c>
      <c r="T123" s="312">
        <f t="shared" si="20"/>
        <v>0</v>
      </c>
      <c r="U123" s="312">
        <f t="shared" si="20"/>
        <v>0</v>
      </c>
      <c r="V123" s="312">
        <f t="shared" si="20"/>
        <v>0</v>
      </c>
      <c r="W123" s="312">
        <f t="shared" si="20"/>
        <v>0</v>
      </c>
      <c r="X123" s="497">
        <f t="shared" si="20"/>
        <v>0</v>
      </c>
      <c r="Y123" s="312">
        <f t="shared" si="20"/>
        <v>3522</v>
      </c>
      <c r="Z123" s="312">
        <f t="shared" si="20"/>
        <v>0</v>
      </c>
      <c r="AA123" s="312">
        <f t="shared" si="20"/>
        <v>3522</v>
      </c>
      <c r="AB123" s="312">
        <f t="shared" si="20"/>
        <v>0</v>
      </c>
      <c r="AC123" s="312">
        <f t="shared" si="20"/>
        <v>210896.03</v>
      </c>
      <c r="AD123" s="312">
        <f t="shared" si="20"/>
        <v>200000</v>
      </c>
      <c r="AE123" s="312">
        <f t="shared" si="20"/>
        <v>0</v>
      </c>
      <c r="AF123" s="312">
        <f t="shared" si="20"/>
        <v>10896.029999999999</v>
      </c>
      <c r="AG123" s="497">
        <f t="shared" si="20"/>
        <v>0.89999999999999991</v>
      </c>
      <c r="AH123" s="312">
        <f>AH124+AH125+AH126+AH127+AH128+AH129+AH130+AH131+AH132+AH135+AH133+AH134</f>
        <v>248262.03999999998</v>
      </c>
      <c r="AI123" s="312">
        <f>AI124+AI125+AI126+AI127+AI128+AI129+AI130+AI131+AI132+AI135+AI133+AI134</f>
        <v>140374.15</v>
      </c>
      <c r="AJ123" s="312">
        <f>AJ124+AJ125+AJ126+AJ127+AJ128+AJ129+AJ130+AJ131+AJ132+AJ135+AJ133+AJ134</f>
        <v>94404.27</v>
      </c>
      <c r="AK123" s="312">
        <f>AK124+AK125+AK126+AK127+AK128+AK129+AK130+AK131+AK132+AK135+AK133+AK134</f>
        <v>13483.619999999997</v>
      </c>
      <c r="AL123" s="30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row>
    <row r="124" spans="1:67" s="266" customFormat="1" ht="228.6" customHeight="1" outlineLevel="1" x14ac:dyDescent="0.25">
      <c r="A124" s="303" t="s">
        <v>559</v>
      </c>
      <c r="B124" s="302" t="s">
        <v>560</v>
      </c>
      <c r="C124" s="303">
        <v>0</v>
      </c>
      <c r="D124" s="303">
        <f t="shared" si="15"/>
        <v>3522</v>
      </c>
      <c r="E124" s="303">
        <v>0</v>
      </c>
      <c r="F124" s="312">
        <v>0</v>
      </c>
      <c r="G124" s="303">
        <v>0</v>
      </c>
      <c r="H124" s="303">
        <v>0</v>
      </c>
      <c r="I124" s="303">
        <v>0</v>
      </c>
      <c r="J124" s="312">
        <v>0</v>
      </c>
      <c r="K124" s="303">
        <v>0</v>
      </c>
      <c r="L124" s="303">
        <v>0</v>
      </c>
      <c r="M124" s="303">
        <v>0</v>
      </c>
      <c r="N124" s="303">
        <v>0</v>
      </c>
      <c r="O124" s="312">
        <v>0</v>
      </c>
      <c r="P124" s="303">
        <v>0</v>
      </c>
      <c r="Q124" s="301">
        <v>0</v>
      </c>
      <c r="R124" s="301">
        <v>0</v>
      </c>
      <c r="S124" s="301">
        <v>0</v>
      </c>
      <c r="T124" s="312">
        <f>U124+V124+W124</f>
        <v>0</v>
      </c>
      <c r="U124" s="303">
        <v>0</v>
      </c>
      <c r="V124" s="301">
        <v>0</v>
      </c>
      <c r="W124" s="301">
        <v>0</v>
      </c>
      <c r="X124" s="510">
        <v>0</v>
      </c>
      <c r="Y124" s="312">
        <f>AA124</f>
        <v>3522</v>
      </c>
      <c r="Z124" s="301">
        <v>0</v>
      </c>
      <c r="AA124" s="301">
        <v>3522</v>
      </c>
      <c r="AB124" s="301">
        <v>0</v>
      </c>
      <c r="AC124" s="305">
        <v>0</v>
      </c>
      <c r="AD124" s="301">
        <v>0</v>
      </c>
      <c r="AE124" s="301">
        <v>0</v>
      </c>
      <c r="AF124" s="301">
        <v>0</v>
      </c>
      <c r="AG124" s="510">
        <v>0</v>
      </c>
      <c r="AH124" s="305">
        <v>0</v>
      </c>
      <c r="AI124" s="301">
        <v>0</v>
      </c>
      <c r="AJ124" s="301">
        <v>0</v>
      </c>
      <c r="AK124" s="301">
        <v>0</v>
      </c>
      <c r="AL124" s="306"/>
    </row>
    <row r="125" spans="1:67" s="266" customFormat="1" ht="308.39999999999998" customHeight="1" outlineLevel="1" x14ac:dyDescent="0.25">
      <c r="A125" s="303" t="s">
        <v>561</v>
      </c>
      <c r="B125" s="302" t="s">
        <v>562</v>
      </c>
      <c r="C125" s="303">
        <f>E125+I125+N125+S125+X125+AB125+AG125</f>
        <v>0</v>
      </c>
      <c r="D125" s="303">
        <f t="shared" si="15"/>
        <v>59404.63</v>
      </c>
      <c r="E125" s="303">
        <f t="shared" ref="E125:F126" si="21">U125+Z125</f>
        <v>0</v>
      </c>
      <c r="F125" s="312">
        <f t="shared" si="21"/>
        <v>0</v>
      </c>
      <c r="G125" s="303">
        <v>0</v>
      </c>
      <c r="H125" s="303">
        <v>0</v>
      </c>
      <c r="I125" s="303">
        <v>0</v>
      </c>
      <c r="J125" s="312">
        <v>0</v>
      </c>
      <c r="K125" s="303">
        <f>AA125+AG125</f>
        <v>0</v>
      </c>
      <c r="L125" s="303">
        <v>0</v>
      </c>
      <c r="M125" s="303">
        <v>0</v>
      </c>
      <c r="N125" s="303">
        <v>0</v>
      </c>
      <c r="O125" s="312">
        <v>0</v>
      </c>
      <c r="P125" s="303">
        <v>0</v>
      </c>
      <c r="Q125" s="301">
        <v>0</v>
      </c>
      <c r="R125" s="301">
        <v>0</v>
      </c>
      <c r="S125" s="301">
        <v>0</v>
      </c>
      <c r="T125" s="312">
        <v>0</v>
      </c>
      <c r="U125" s="303">
        <v>0</v>
      </c>
      <c r="V125" s="301">
        <v>0</v>
      </c>
      <c r="W125" s="301">
        <v>0</v>
      </c>
      <c r="X125" s="510">
        <v>0</v>
      </c>
      <c r="Y125" s="312">
        <v>0</v>
      </c>
      <c r="Z125" s="301">
        <v>0</v>
      </c>
      <c r="AA125" s="301">
        <v>0</v>
      </c>
      <c r="AB125" s="301">
        <v>0</v>
      </c>
      <c r="AC125" s="305">
        <f>AD125+AE125+AF125</f>
        <v>59404.63</v>
      </c>
      <c r="AD125" s="301">
        <v>56553.21</v>
      </c>
      <c r="AE125" s="301">
        <v>0</v>
      </c>
      <c r="AF125" s="301">
        <v>2851.42</v>
      </c>
      <c r="AG125" s="510">
        <v>0</v>
      </c>
      <c r="AH125" s="305">
        <v>0</v>
      </c>
      <c r="AI125" s="301">
        <v>0</v>
      </c>
      <c r="AJ125" s="301">
        <v>0</v>
      </c>
      <c r="AK125" s="301">
        <v>0</v>
      </c>
      <c r="AL125" s="306"/>
    </row>
    <row r="126" spans="1:67" s="266" customFormat="1" ht="276.60000000000002" customHeight="1" outlineLevel="1" x14ac:dyDescent="0.25">
      <c r="A126" s="303" t="s">
        <v>563</v>
      </c>
      <c r="B126" s="302" t="s">
        <v>564</v>
      </c>
      <c r="C126" s="303">
        <f>E126+I126+N126+S126+X126+AB126+AG126</f>
        <v>0.3</v>
      </c>
      <c r="D126" s="303">
        <f t="shared" si="15"/>
        <v>58672.86</v>
      </c>
      <c r="E126" s="303">
        <f t="shared" si="21"/>
        <v>0</v>
      </c>
      <c r="F126" s="312">
        <f t="shared" si="21"/>
        <v>0</v>
      </c>
      <c r="G126" s="303">
        <v>0</v>
      </c>
      <c r="H126" s="303">
        <v>0</v>
      </c>
      <c r="I126" s="303">
        <v>0</v>
      </c>
      <c r="J126" s="312">
        <v>0</v>
      </c>
      <c r="K126" s="303">
        <v>0</v>
      </c>
      <c r="L126" s="303">
        <v>0</v>
      </c>
      <c r="M126" s="303">
        <v>0</v>
      </c>
      <c r="N126" s="303">
        <v>0</v>
      </c>
      <c r="O126" s="312">
        <v>0</v>
      </c>
      <c r="P126" s="303">
        <v>0</v>
      </c>
      <c r="Q126" s="301">
        <v>0</v>
      </c>
      <c r="R126" s="301">
        <v>0</v>
      </c>
      <c r="S126" s="301">
        <v>0</v>
      </c>
      <c r="T126" s="312">
        <v>0</v>
      </c>
      <c r="U126" s="303">
        <v>0</v>
      </c>
      <c r="V126" s="301">
        <v>0</v>
      </c>
      <c r="W126" s="301">
        <v>0</v>
      </c>
      <c r="X126" s="510">
        <v>0</v>
      </c>
      <c r="Y126" s="312">
        <v>0</v>
      </c>
      <c r="Z126" s="301">
        <v>0</v>
      </c>
      <c r="AA126" s="301">
        <v>0</v>
      </c>
      <c r="AB126" s="301">
        <v>0</v>
      </c>
      <c r="AC126" s="305">
        <v>0</v>
      </c>
      <c r="AD126" s="301">
        <v>0</v>
      </c>
      <c r="AE126" s="301">
        <v>0</v>
      </c>
      <c r="AF126" s="301">
        <v>0</v>
      </c>
      <c r="AG126" s="510">
        <v>0.3</v>
      </c>
      <c r="AH126" s="305">
        <f>AI126+AJ126+AK126</f>
        <v>58672.86</v>
      </c>
      <c r="AI126" s="301">
        <v>56267.27</v>
      </c>
      <c r="AJ126" s="301">
        <v>0</v>
      </c>
      <c r="AK126" s="301">
        <v>2405.59</v>
      </c>
      <c r="AL126" s="306"/>
    </row>
    <row r="127" spans="1:67" s="266" customFormat="1" ht="187.2" outlineLevel="1" x14ac:dyDescent="0.25">
      <c r="A127" s="303" t="s">
        <v>565</v>
      </c>
      <c r="B127" s="302" t="s">
        <v>1311</v>
      </c>
      <c r="C127" s="303">
        <f>E127+I127+N127+S127+X127+AB127+AG127</f>
        <v>0.6</v>
      </c>
      <c r="D127" s="303">
        <f t="shared" si="15"/>
        <v>333546.33999999997</v>
      </c>
      <c r="E127" s="303">
        <v>0</v>
      </c>
      <c r="F127" s="312">
        <v>0</v>
      </c>
      <c r="G127" s="303">
        <v>0</v>
      </c>
      <c r="H127" s="303">
        <v>0</v>
      </c>
      <c r="I127" s="303">
        <v>0</v>
      </c>
      <c r="J127" s="312">
        <v>0</v>
      </c>
      <c r="K127" s="303">
        <v>0</v>
      </c>
      <c r="L127" s="303">
        <v>0</v>
      </c>
      <c r="M127" s="303">
        <v>0</v>
      </c>
      <c r="N127" s="303">
        <v>0</v>
      </c>
      <c r="O127" s="312">
        <v>0</v>
      </c>
      <c r="P127" s="303">
        <v>0</v>
      </c>
      <c r="Q127" s="301">
        <v>0</v>
      </c>
      <c r="R127" s="301">
        <v>0</v>
      </c>
      <c r="S127" s="301">
        <v>0</v>
      </c>
      <c r="T127" s="312">
        <v>0</v>
      </c>
      <c r="U127" s="303">
        <v>0</v>
      </c>
      <c r="V127" s="301">
        <v>0</v>
      </c>
      <c r="W127" s="301">
        <v>0</v>
      </c>
      <c r="X127" s="510">
        <v>0</v>
      </c>
      <c r="Y127" s="312">
        <v>0</v>
      </c>
      <c r="Z127" s="301">
        <v>0</v>
      </c>
      <c r="AA127" s="301">
        <v>0</v>
      </c>
      <c r="AB127" s="301">
        <v>0</v>
      </c>
      <c r="AC127" s="305">
        <f>AD127+AE127+AF127</f>
        <v>150679.4</v>
      </c>
      <c r="AD127" s="301">
        <v>143446.79</v>
      </c>
      <c r="AE127" s="301">
        <v>0</v>
      </c>
      <c r="AF127" s="301">
        <v>7232.61</v>
      </c>
      <c r="AG127" s="510">
        <v>0.6</v>
      </c>
      <c r="AH127" s="305">
        <f>AI127+AJ127+AK127</f>
        <v>182866.94</v>
      </c>
      <c r="AI127" s="301">
        <v>80374.14</v>
      </c>
      <c r="AJ127" s="301">
        <v>94404.27</v>
      </c>
      <c r="AK127" s="301">
        <v>8088.53</v>
      </c>
      <c r="AL127" s="306"/>
    </row>
    <row r="128" spans="1:67" s="266" customFormat="1" ht="296.39999999999998" outlineLevel="1" x14ac:dyDescent="0.25">
      <c r="A128" s="303" t="s">
        <v>567</v>
      </c>
      <c r="B128" s="302" t="s">
        <v>566</v>
      </c>
      <c r="C128" s="303"/>
      <c r="D128" s="303">
        <f t="shared" si="15"/>
        <v>0</v>
      </c>
      <c r="E128" s="303">
        <v>0</v>
      </c>
      <c r="F128" s="312">
        <v>0</v>
      </c>
      <c r="G128" s="303">
        <v>0</v>
      </c>
      <c r="H128" s="303">
        <v>0</v>
      </c>
      <c r="I128" s="303">
        <v>0</v>
      </c>
      <c r="J128" s="312">
        <v>0</v>
      </c>
      <c r="K128" s="303">
        <v>0</v>
      </c>
      <c r="L128" s="303">
        <v>0</v>
      </c>
      <c r="M128" s="303">
        <v>0</v>
      </c>
      <c r="N128" s="303">
        <v>0</v>
      </c>
      <c r="O128" s="312">
        <v>0</v>
      </c>
      <c r="P128" s="303">
        <v>0</v>
      </c>
      <c r="Q128" s="301">
        <v>0</v>
      </c>
      <c r="R128" s="301">
        <v>0</v>
      </c>
      <c r="S128" s="301">
        <v>0</v>
      </c>
      <c r="T128" s="312">
        <v>0</v>
      </c>
      <c r="U128" s="303">
        <v>0</v>
      </c>
      <c r="V128" s="301">
        <v>0</v>
      </c>
      <c r="W128" s="301">
        <v>0</v>
      </c>
      <c r="X128" s="510">
        <v>0</v>
      </c>
      <c r="Y128" s="312">
        <v>0</v>
      </c>
      <c r="Z128" s="301">
        <v>0</v>
      </c>
      <c r="AA128" s="301">
        <v>0</v>
      </c>
      <c r="AB128" s="301">
        <v>0</v>
      </c>
      <c r="AC128" s="305">
        <f t="shared" ref="AC128:AC134" si="22">AF128</f>
        <v>0</v>
      </c>
      <c r="AD128" s="301">
        <v>0</v>
      </c>
      <c r="AE128" s="301">
        <v>0</v>
      </c>
      <c r="AF128" s="301">
        <v>0</v>
      </c>
      <c r="AG128" s="510"/>
      <c r="AH128" s="305">
        <v>0</v>
      </c>
      <c r="AI128" s="301">
        <v>0</v>
      </c>
      <c r="AJ128" s="301">
        <v>0</v>
      </c>
      <c r="AK128" s="301">
        <v>0</v>
      </c>
      <c r="AL128" s="306"/>
    </row>
    <row r="129" spans="1:51" s="266" customFormat="1" ht="277.2" customHeight="1" outlineLevel="1" x14ac:dyDescent="0.25">
      <c r="A129" s="303" t="s">
        <v>568</v>
      </c>
      <c r="B129" s="302" t="s">
        <v>569</v>
      </c>
      <c r="C129" s="303">
        <f t="shared" ref="C129:C135" si="23">E129+I129+N129+S129+X129+AB129+AG129</f>
        <v>0</v>
      </c>
      <c r="D129" s="303">
        <f t="shared" si="15"/>
        <v>781</v>
      </c>
      <c r="E129" s="303">
        <v>0</v>
      </c>
      <c r="F129" s="312">
        <v>0</v>
      </c>
      <c r="G129" s="303">
        <v>0</v>
      </c>
      <c r="H129" s="303">
        <v>0</v>
      </c>
      <c r="I129" s="303">
        <v>0</v>
      </c>
      <c r="J129" s="312">
        <v>0</v>
      </c>
      <c r="K129" s="303">
        <v>0</v>
      </c>
      <c r="L129" s="303">
        <v>0</v>
      </c>
      <c r="M129" s="303">
        <v>0</v>
      </c>
      <c r="N129" s="303">
        <v>0</v>
      </c>
      <c r="O129" s="312">
        <v>0</v>
      </c>
      <c r="P129" s="303">
        <v>0</v>
      </c>
      <c r="Q129" s="301">
        <v>0</v>
      </c>
      <c r="R129" s="301">
        <v>0</v>
      </c>
      <c r="S129" s="301">
        <v>0</v>
      </c>
      <c r="T129" s="312">
        <v>0</v>
      </c>
      <c r="U129" s="303">
        <v>0</v>
      </c>
      <c r="V129" s="301">
        <v>0</v>
      </c>
      <c r="W129" s="301">
        <v>0</v>
      </c>
      <c r="X129" s="510">
        <v>0</v>
      </c>
      <c r="Y129" s="312">
        <v>0</v>
      </c>
      <c r="Z129" s="301">
        <v>0</v>
      </c>
      <c r="AA129" s="301">
        <v>0</v>
      </c>
      <c r="AB129" s="301">
        <v>0</v>
      </c>
      <c r="AC129" s="305">
        <f t="shared" si="22"/>
        <v>198</v>
      </c>
      <c r="AD129" s="301">
        <v>0</v>
      </c>
      <c r="AE129" s="301">
        <v>0</v>
      </c>
      <c r="AF129" s="301">
        <v>198</v>
      </c>
      <c r="AG129" s="510">
        <v>0</v>
      </c>
      <c r="AH129" s="305">
        <f t="shared" ref="AH129:AH134" si="24">AK129</f>
        <v>583</v>
      </c>
      <c r="AI129" s="301">
        <v>0</v>
      </c>
      <c r="AJ129" s="301">
        <v>0</v>
      </c>
      <c r="AK129" s="301">
        <v>583</v>
      </c>
      <c r="AL129" s="306"/>
    </row>
    <row r="130" spans="1:51" s="266" customFormat="1" ht="249.6" customHeight="1" outlineLevel="1" x14ac:dyDescent="0.25">
      <c r="A130" s="303" t="s">
        <v>568</v>
      </c>
      <c r="B130" s="302" t="s">
        <v>570</v>
      </c>
      <c r="C130" s="303">
        <f t="shared" si="23"/>
        <v>0</v>
      </c>
      <c r="D130" s="303">
        <f t="shared" si="15"/>
        <v>265.3</v>
      </c>
      <c r="E130" s="303">
        <v>0</v>
      </c>
      <c r="F130" s="312">
        <v>0</v>
      </c>
      <c r="G130" s="303">
        <v>0</v>
      </c>
      <c r="H130" s="303">
        <v>0</v>
      </c>
      <c r="I130" s="303">
        <v>0</v>
      </c>
      <c r="J130" s="312">
        <v>0</v>
      </c>
      <c r="K130" s="303">
        <v>0</v>
      </c>
      <c r="L130" s="303">
        <v>0</v>
      </c>
      <c r="M130" s="303">
        <v>0</v>
      </c>
      <c r="N130" s="303">
        <v>0</v>
      </c>
      <c r="O130" s="312">
        <v>0</v>
      </c>
      <c r="P130" s="303">
        <v>0</v>
      </c>
      <c r="Q130" s="301">
        <v>0</v>
      </c>
      <c r="R130" s="301">
        <v>0</v>
      </c>
      <c r="S130" s="301">
        <v>0</v>
      </c>
      <c r="T130" s="312">
        <v>0</v>
      </c>
      <c r="U130" s="303">
        <v>0</v>
      </c>
      <c r="V130" s="301">
        <v>0</v>
      </c>
      <c r="W130" s="301">
        <v>0</v>
      </c>
      <c r="X130" s="510">
        <v>0</v>
      </c>
      <c r="Y130" s="312">
        <v>0</v>
      </c>
      <c r="Z130" s="301">
        <v>0</v>
      </c>
      <c r="AA130" s="301">
        <v>0</v>
      </c>
      <c r="AB130" s="301">
        <v>0</v>
      </c>
      <c r="AC130" s="305">
        <f t="shared" si="22"/>
        <v>30</v>
      </c>
      <c r="AD130" s="301">
        <v>0</v>
      </c>
      <c r="AE130" s="301">
        <v>0</v>
      </c>
      <c r="AF130" s="301">
        <v>30</v>
      </c>
      <c r="AG130" s="510">
        <v>0</v>
      </c>
      <c r="AH130" s="305">
        <f>AK130</f>
        <v>235.3</v>
      </c>
      <c r="AI130" s="301">
        <v>0</v>
      </c>
      <c r="AJ130" s="301">
        <v>0</v>
      </c>
      <c r="AK130" s="301">
        <v>235.3</v>
      </c>
      <c r="AL130" s="306"/>
    </row>
    <row r="131" spans="1:51" s="266" customFormat="1" ht="193.95" customHeight="1" outlineLevel="1" x14ac:dyDescent="0.25">
      <c r="A131" s="303" t="s">
        <v>571</v>
      </c>
      <c r="B131" s="302" t="s">
        <v>572</v>
      </c>
      <c r="C131" s="303">
        <f t="shared" si="23"/>
        <v>0</v>
      </c>
      <c r="D131" s="303">
        <f t="shared" si="15"/>
        <v>2018.4899999999998</v>
      </c>
      <c r="E131" s="303">
        <v>0</v>
      </c>
      <c r="F131" s="312">
        <v>0</v>
      </c>
      <c r="G131" s="303">
        <v>0</v>
      </c>
      <c r="H131" s="303">
        <v>0</v>
      </c>
      <c r="I131" s="303">
        <v>0</v>
      </c>
      <c r="J131" s="312">
        <v>0</v>
      </c>
      <c r="K131" s="303">
        <v>0</v>
      </c>
      <c r="L131" s="303">
        <v>0</v>
      </c>
      <c r="M131" s="303">
        <v>0</v>
      </c>
      <c r="N131" s="303">
        <v>0</v>
      </c>
      <c r="O131" s="312">
        <v>0</v>
      </c>
      <c r="P131" s="303">
        <v>0</v>
      </c>
      <c r="Q131" s="301">
        <v>0</v>
      </c>
      <c r="R131" s="301">
        <v>0</v>
      </c>
      <c r="S131" s="301">
        <v>0</v>
      </c>
      <c r="T131" s="312">
        <v>0</v>
      </c>
      <c r="U131" s="303">
        <v>0</v>
      </c>
      <c r="V131" s="301">
        <v>0</v>
      </c>
      <c r="W131" s="301">
        <v>0</v>
      </c>
      <c r="X131" s="510">
        <v>0</v>
      </c>
      <c r="Y131" s="312">
        <v>0</v>
      </c>
      <c r="Z131" s="301">
        <v>0</v>
      </c>
      <c r="AA131" s="301">
        <v>0</v>
      </c>
      <c r="AB131" s="301">
        <v>0</v>
      </c>
      <c r="AC131" s="305">
        <f t="shared" si="22"/>
        <v>521.67999999999995</v>
      </c>
      <c r="AD131" s="301">
        <v>0</v>
      </c>
      <c r="AE131" s="301">
        <v>0</v>
      </c>
      <c r="AF131" s="301">
        <v>521.67999999999995</v>
      </c>
      <c r="AG131" s="510">
        <v>0</v>
      </c>
      <c r="AH131" s="305">
        <f t="shared" si="24"/>
        <v>1496.81</v>
      </c>
      <c r="AI131" s="301">
        <v>0</v>
      </c>
      <c r="AJ131" s="301">
        <v>0</v>
      </c>
      <c r="AK131" s="301">
        <v>1496.81</v>
      </c>
      <c r="AL131" s="306"/>
    </row>
    <row r="132" spans="1:51" s="266" customFormat="1" ht="178.2" customHeight="1" outlineLevel="1" x14ac:dyDescent="0.25">
      <c r="A132" s="303" t="s">
        <v>573</v>
      </c>
      <c r="B132" s="302" t="s">
        <v>574</v>
      </c>
      <c r="C132" s="303">
        <f t="shared" si="23"/>
        <v>0</v>
      </c>
      <c r="D132" s="303">
        <f t="shared" si="15"/>
        <v>541.89</v>
      </c>
      <c r="E132" s="303">
        <v>0</v>
      </c>
      <c r="F132" s="312">
        <v>0</v>
      </c>
      <c r="G132" s="303">
        <v>0</v>
      </c>
      <c r="H132" s="303">
        <v>0</v>
      </c>
      <c r="I132" s="303">
        <v>0</v>
      </c>
      <c r="J132" s="312">
        <v>0</v>
      </c>
      <c r="K132" s="303">
        <v>0</v>
      </c>
      <c r="L132" s="303">
        <v>0</v>
      </c>
      <c r="M132" s="303">
        <v>0</v>
      </c>
      <c r="N132" s="303">
        <v>0</v>
      </c>
      <c r="O132" s="312">
        <v>0</v>
      </c>
      <c r="P132" s="303">
        <v>0</v>
      </c>
      <c r="Q132" s="301">
        <v>0</v>
      </c>
      <c r="R132" s="301">
        <v>0</v>
      </c>
      <c r="S132" s="301">
        <v>0</v>
      </c>
      <c r="T132" s="312">
        <v>0</v>
      </c>
      <c r="U132" s="303">
        <v>0</v>
      </c>
      <c r="V132" s="301">
        <v>0</v>
      </c>
      <c r="W132" s="301">
        <v>0</v>
      </c>
      <c r="X132" s="510">
        <v>0</v>
      </c>
      <c r="Y132" s="312">
        <v>0</v>
      </c>
      <c r="Z132" s="301">
        <v>0</v>
      </c>
      <c r="AA132" s="301">
        <v>0</v>
      </c>
      <c r="AB132" s="301">
        <v>0</v>
      </c>
      <c r="AC132" s="305">
        <f t="shared" si="22"/>
        <v>62.32</v>
      </c>
      <c r="AD132" s="301">
        <v>0</v>
      </c>
      <c r="AE132" s="301">
        <v>0</v>
      </c>
      <c r="AF132" s="301">
        <v>62.32</v>
      </c>
      <c r="AG132" s="510">
        <v>0</v>
      </c>
      <c r="AH132" s="305">
        <f t="shared" si="24"/>
        <v>479.57</v>
      </c>
      <c r="AI132" s="301">
        <v>0</v>
      </c>
      <c r="AJ132" s="301">
        <v>0</v>
      </c>
      <c r="AK132" s="301">
        <v>479.57</v>
      </c>
      <c r="AL132" s="306"/>
    </row>
    <row r="133" spans="1:51" s="266" customFormat="1" ht="202.8" outlineLevel="1" x14ac:dyDescent="0.25">
      <c r="A133" s="303" t="s">
        <v>1312</v>
      </c>
      <c r="B133" s="302" t="s">
        <v>1313</v>
      </c>
      <c r="C133" s="303"/>
      <c r="D133" s="303">
        <f t="shared" si="15"/>
        <v>18.88</v>
      </c>
      <c r="E133" s="303">
        <v>0</v>
      </c>
      <c r="F133" s="312">
        <v>0</v>
      </c>
      <c r="G133" s="303">
        <v>0</v>
      </c>
      <c r="H133" s="303">
        <v>0</v>
      </c>
      <c r="I133" s="303"/>
      <c r="J133" s="312"/>
      <c r="K133" s="303"/>
      <c r="L133" s="303"/>
      <c r="M133" s="303"/>
      <c r="N133" s="303"/>
      <c r="O133" s="312"/>
      <c r="P133" s="303"/>
      <c r="Q133" s="301"/>
      <c r="R133" s="301"/>
      <c r="S133" s="301"/>
      <c r="T133" s="312"/>
      <c r="U133" s="303"/>
      <c r="V133" s="301"/>
      <c r="W133" s="301"/>
      <c r="X133" s="510"/>
      <c r="Y133" s="312"/>
      <c r="Z133" s="301"/>
      <c r="AA133" s="301"/>
      <c r="AB133" s="301">
        <v>0</v>
      </c>
      <c r="AC133" s="305">
        <f t="shared" si="22"/>
        <v>0</v>
      </c>
      <c r="AD133" s="301">
        <v>0</v>
      </c>
      <c r="AE133" s="301">
        <v>0</v>
      </c>
      <c r="AF133" s="301">
        <v>0</v>
      </c>
      <c r="AG133" s="510">
        <v>0.6</v>
      </c>
      <c r="AH133" s="305">
        <f t="shared" si="24"/>
        <v>18.88</v>
      </c>
      <c r="AI133" s="301">
        <v>0</v>
      </c>
      <c r="AJ133" s="301">
        <v>0</v>
      </c>
      <c r="AK133" s="301">
        <v>18.88</v>
      </c>
      <c r="AL133" s="306"/>
    </row>
    <row r="134" spans="1:51" s="266" customFormat="1" ht="265.2" outlineLevel="1" x14ac:dyDescent="0.25">
      <c r="A134" s="303" t="s">
        <v>1314</v>
      </c>
      <c r="B134" s="302" t="s">
        <v>1315</v>
      </c>
      <c r="C134" s="303"/>
      <c r="D134" s="303">
        <f t="shared" si="15"/>
        <v>16.350000000000001</v>
      </c>
      <c r="E134" s="303">
        <v>0</v>
      </c>
      <c r="F134" s="312">
        <v>0</v>
      </c>
      <c r="G134" s="303">
        <v>0</v>
      </c>
      <c r="H134" s="303">
        <v>0</v>
      </c>
      <c r="I134" s="303"/>
      <c r="J134" s="312"/>
      <c r="K134" s="303"/>
      <c r="L134" s="303"/>
      <c r="M134" s="303"/>
      <c r="N134" s="303"/>
      <c r="O134" s="312"/>
      <c r="P134" s="303"/>
      <c r="Q134" s="301"/>
      <c r="R134" s="301"/>
      <c r="S134" s="301"/>
      <c r="T134" s="312"/>
      <c r="U134" s="303"/>
      <c r="V134" s="301"/>
      <c r="W134" s="301"/>
      <c r="X134" s="510"/>
      <c r="Y134" s="312"/>
      <c r="Z134" s="301"/>
      <c r="AA134" s="301"/>
      <c r="AB134" s="301">
        <v>0</v>
      </c>
      <c r="AC134" s="305">
        <f t="shared" si="22"/>
        <v>0</v>
      </c>
      <c r="AD134" s="301">
        <v>0</v>
      </c>
      <c r="AE134" s="301">
        <v>0</v>
      </c>
      <c r="AF134" s="301">
        <v>0</v>
      </c>
      <c r="AG134" s="510">
        <v>0.3</v>
      </c>
      <c r="AH134" s="305">
        <f t="shared" si="24"/>
        <v>16.350000000000001</v>
      </c>
      <c r="AI134" s="301">
        <v>0</v>
      </c>
      <c r="AJ134" s="301">
        <v>0</v>
      </c>
      <c r="AK134" s="301">
        <v>16.350000000000001</v>
      </c>
      <c r="AL134" s="306"/>
    </row>
    <row r="135" spans="1:51" s="266" customFormat="1" ht="39.9" customHeight="1" outlineLevel="1" x14ac:dyDescent="0.25">
      <c r="A135" s="303" t="s">
        <v>1316</v>
      </c>
      <c r="B135" s="302" t="s">
        <v>575</v>
      </c>
      <c r="C135" s="303">
        <f t="shared" si="23"/>
        <v>0</v>
      </c>
      <c r="D135" s="303">
        <f t="shared" si="15"/>
        <v>3892.33</v>
      </c>
      <c r="E135" s="303">
        <v>0</v>
      </c>
      <c r="F135" s="312">
        <v>0</v>
      </c>
      <c r="G135" s="303">
        <v>0</v>
      </c>
      <c r="H135" s="303">
        <v>0</v>
      </c>
      <c r="I135" s="303">
        <v>0</v>
      </c>
      <c r="J135" s="312">
        <v>0</v>
      </c>
      <c r="K135" s="303">
        <v>0</v>
      </c>
      <c r="L135" s="303">
        <v>0</v>
      </c>
      <c r="M135" s="303">
        <v>0</v>
      </c>
      <c r="N135" s="303">
        <v>0</v>
      </c>
      <c r="O135" s="312">
        <v>0</v>
      </c>
      <c r="P135" s="303">
        <v>0</v>
      </c>
      <c r="Q135" s="301">
        <v>0</v>
      </c>
      <c r="R135" s="301">
        <v>0</v>
      </c>
      <c r="S135" s="301">
        <v>0</v>
      </c>
      <c r="T135" s="312">
        <v>0</v>
      </c>
      <c r="U135" s="303">
        <v>0</v>
      </c>
      <c r="V135" s="301">
        <v>0</v>
      </c>
      <c r="W135" s="301">
        <v>0</v>
      </c>
      <c r="X135" s="510">
        <v>0</v>
      </c>
      <c r="Y135" s="312">
        <v>0</v>
      </c>
      <c r="Z135" s="301">
        <v>0</v>
      </c>
      <c r="AA135" s="301">
        <v>0</v>
      </c>
      <c r="AB135" s="301">
        <v>0</v>
      </c>
      <c r="AC135" s="305">
        <v>0</v>
      </c>
      <c r="AD135" s="301">
        <v>0</v>
      </c>
      <c r="AE135" s="301">
        <v>0</v>
      </c>
      <c r="AF135" s="301">
        <v>0</v>
      </c>
      <c r="AG135" s="510">
        <v>0</v>
      </c>
      <c r="AH135" s="305">
        <f>AI135+AJ135+AK135</f>
        <v>3892.33</v>
      </c>
      <c r="AI135" s="301">
        <v>3732.74</v>
      </c>
      <c r="AJ135" s="301">
        <v>0</v>
      </c>
      <c r="AK135" s="301">
        <v>159.59</v>
      </c>
      <c r="AL135" s="306"/>
    </row>
    <row r="136" spans="1:51" s="271" customFormat="1" ht="72.599999999999994" customHeight="1" x14ac:dyDescent="0.3">
      <c r="A136" s="324"/>
      <c r="B136" s="325" t="s">
        <v>576</v>
      </c>
      <c r="C136" s="324">
        <f>C15+C18+C22+C29+C35+C41+C47+C53+C59+C70+C78+C90+C96+C102+C108+C109+C123</f>
        <v>3.1999999999999997</v>
      </c>
      <c r="D136" s="324">
        <f t="shared" si="15"/>
        <v>1057947.6839999999</v>
      </c>
      <c r="E136" s="324">
        <f t="shared" ref="E136:AK136" si="25">E15+E17+E18+E22+E29+E35+E41+E47+E53+E59+E70+E78+E90+E96+E102+E108+E109+E115+E119+E121+E123</f>
        <v>1.3</v>
      </c>
      <c r="F136" s="324">
        <f t="shared" si="25"/>
        <v>229957.36</v>
      </c>
      <c r="G136" s="324">
        <f t="shared" si="25"/>
        <v>213423.22</v>
      </c>
      <c r="H136" s="324">
        <f t="shared" si="25"/>
        <v>16534.14</v>
      </c>
      <c r="I136" s="324">
        <f t="shared" si="25"/>
        <v>1</v>
      </c>
      <c r="J136" s="324">
        <f t="shared" si="25"/>
        <v>285387.25399999996</v>
      </c>
      <c r="K136" s="324">
        <f t="shared" si="25"/>
        <v>154390.79</v>
      </c>
      <c r="L136" s="324">
        <f t="shared" si="25"/>
        <v>103420.46</v>
      </c>
      <c r="M136" s="324">
        <f t="shared" si="25"/>
        <v>27576.004000000001</v>
      </c>
      <c r="N136" s="324">
        <f t="shared" si="25"/>
        <v>0</v>
      </c>
      <c r="O136" s="324">
        <f t="shared" si="25"/>
        <v>27577.1</v>
      </c>
      <c r="P136" s="324">
        <f t="shared" si="25"/>
        <v>0</v>
      </c>
      <c r="Q136" s="324">
        <f t="shared" si="25"/>
        <v>0</v>
      </c>
      <c r="R136" s="324">
        <f t="shared" si="25"/>
        <v>27577.1</v>
      </c>
      <c r="S136" s="324">
        <f t="shared" si="25"/>
        <v>0</v>
      </c>
      <c r="T136" s="324">
        <f t="shared" si="25"/>
        <v>0</v>
      </c>
      <c r="U136" s="324">
        <f t="shared" si="25"/>
        <v>0</v>
      </c>
      <c r="V136" s="324">
        <f t="shared" si="25"/>
        <v>0</v>
      </c>
      <c r="W136" s="324">
        <f t="shared" si="25"/>
        <v>0</v>
      </c>
      <c r="X136" s="514">
        <f t="shared" si="25"/>
        <v>0</v>
      </c>
      <c r="Y136" s="324">
        <f t="shared" si="25"/>
        <v>3522</v>
      </c>
      <c r="Z136" s="324">
        <f t="shared" si="25"/>
        <v>0</v>
      </c>
      <c r="AA136" s="324">
        <f t="shared" si="25"/>
        <v>3522</v>
      </c>
      <c r="AB136" s="324">
        <f t="shared" si="25"/>
        <v>0</v>
      </c>
      <c r="AC136" s="324">
        <f t="shared" si="25"/>
        <v>214396.03</v>
      </c>
      <c r="AD136" s="324">
        <f t="shared" si="25"/>
        <v>200000</v>
      </c>
      <c r="AE136" s="324">
        <f t="shared" si="25"/>
        <v>0</v>
      </c>
      <c r="AF136" s="324">
        <f t="shared" si="25"/>
        <v>14396.029999999999</v>
      </c>
      <c r="AG136" s="514">
        <f t="shared" si="25"/>
        <v>0.89999999999999991</v>
      </c>
      <c r="AH136" s="324">
        <f t="shared" si="25"/>
        <v>297107.94</v>
      </c>
      <c r="AI136" s="324">
        <f t="shared" si="25"/>
        <v>140374.15</v>
      </c>
      <c r="AJ136" s="324">
        <f t="shared" si="25"/>
        <v>140566.57</v>
      </c>
      <c r="AK136" s="324">
        <f t="shared" si="25"/>
        <v>16167.219999999998</v>
      </c>
      <c r="AL136" s="326"/>
      <c r="AM136" s="270"/>
      <c r="AN136" s="270"/>
      <c r="AO136" s="270"/>
      <c r="AP136" s="270"/>
      <c r="AQ136" s="270"/>
      <c r="AR136" s="270"/>
      <c r="AS136" s="270"/>
      <c r="AT136" s="270"/>
      <c r="AU136" s="270"/>
      <c r="AV136" s="270"/>
      <c r="AW136" s="270"/>
      <c r="AX136" s="270"/>
      <c r="AY136" s="270"/>
    </row>
    <row r="137" spans="1:51" s="411" customFormat="1" ht="59.4" customHeight="1" x14ac:dyDescent="0.3">
      <c r="A137" s="408"/>
      <c r="B137" s="409" t="s">
        <v>1374</v>
      </c>
      <c r="C137" s="408">
        <v>0</v>
      </c>
      <c r="D137" s="408">
        <f>F137+J137+O137+T137+Y137+AC137+AH137</f>
        <v>18939.420000000002</v>
      </c>
      <c r="E137" s="408">
        <v>0</v>
      </c>
      <c r="F137" s="408">
        <v>0</v>
      </c>
      <c r="G137" s="408">
        <v>0</v>
      </c>
      <c r="H137" s="408">
        <v>0</v>
      </c>
      <c r="I137" s="408">
        <v>0</v>
      </c>
      <c r="J137" s="408">
        <v>0</v>
      </c>
      <c r="K137" s="408">
        <v>0</v>
      </c>
      <c r="L137" s="408">
        <v>0</v>
      </c>
      <c r="M137" s="408">
        <v>0</v>
      </c>
      <c r="N137" s="408">
        <v>0</v>
      </c>
      <c r="O137" s="408">
        <f>O16+O120+O122</f>
        <v>18939.420000000002</v>
      </c>
      <c r="P137" s="408">
        <f>P16+P120+P122</f>
        <v>0</v>
      </c>
      <c r="Q137" s="408">
        <f>Q16+Q120+Q122</f>
        <v>18823</v>
      </c>
      <c r="R137" s="408">
        <f>R16+R120+R122</f>
        <v>116.41999999999999</v>
      </c>
      <c r="S137" s="408">
        <f>S16+S120+S122</f>
        <v>0</v>
      </c>
      <c r="T137" s="408">
        <v>0</v>
      </c>
      <c r="U137" s="408">
        <v>0</v>
      </c>
      <c r="V137" s="408">
        <v>0</v>
      </c>
      <c r="W137" s="408">
        <v>0</v>
      </c>
      <c r="X137" s="515">
        <v>0</v>
      </c>
      <c r="Y137" s="408">
        <v>0</v>
      </c>
      <c r="Z137" s="408">
        <v>0</v>
      </c>
      <c r="AA137" s="408">
        <v>0</v>
      </c>
      <c r="AB137" s="408">
        <v>0</v>
      </c>
      <c r="AC137" s="408">
        <v>0</v>
      </c>
      <c r="AD137" s="408">
        <v>0</v>
      </c>
      <c r="AE137" s="408">
        <v>0</v>
      </c>
      <c r="AF137" s="408">
        <v>0</v>
      </c>
      <c r="AG137" s="515">
        <v>0</v>
      </c>
      <c r="AH137" s="408">
        <v>0</v>
      </c>
      <c r="AI137" s="408">
        <v>0</v>
      </c>
      <c r="AJ137" s="408">
        <v>0</v>
      </c>
      <c r="AK137" s="408">
        <v>0</v>
      </c>
      <c r="AL137" s="410"/>
    </row>
    <row r="138" spans="1:51" s="272" customFormat="1" ht="32.25" customHeight="1" x14ac:dyDescent="0.25">
      <c r="A138" s="696" t="s">
        <v>577</v>
      </c>
      <c r="B138" s="696"/>
      <c r="C138" s="696"/>
      <c r="D138" s="696"/>
      <c r="E138" s="696"/>
      <c r="F138" s="696"/>
      <c r="G138" s="696"/>
      <c r="H138" s="696"/>
      <c r="I138" s="696"/>
      <c r="J138" s="696"/>
      <c r="K138" s="696"/>
      <c r="L138" s="696"/>
      <c r="M138" s="696"/>
      <c r="N138" s="696"/>
      <c r="O138" s="696"/>
      <c r="P138" s="696"/>
      <c r="Q138" s="696"/>
      <c r="R138" s="696"/>
      <c r="S138" s="696"/>
      <c r="T138" s="696"/>
      <c r="U138" s="696"/>
      <c r="V138" s="696"/>
      <c r="W138" s="696"/>
      <c r="X138" s="696"/>
      <c r="Y138" s="696"/>
      <c r="Z138" s="696"/>
      <c r="AA138" s="696"/>
      <c r="AB138" s="696"/>
      <c r="AC138" s="696"/>
      <c r="AD138" s="696"/>
      <c r="AE138" s="696"/>
      <c r="AF138" s="696"/>
      <c r="AG138" s="696"/>
      <c r="AH138" s="696"/>
      <c r="AI138" s="696"/>
      <c r="AJ138" s="696"/>
      <c r="AK138" s="696"/>
      <c r="AL138" s="306"/>
      <c r="AM138" s="266"/>
      <c r="AN138" s="266"/>
      <c r="AO138" s="266"/>
      <c r="AP138" s="266"/>
      <c r="AQ138" s="266"/>
      <c r="AR138" s="266"/>
      <c r="AS138" s="266"/>
      <c r="AT138" s="266"/>
      <c r="AU138" s="266"/>
      <c r="AV138" s="266"/>
      <c r="AW138" s="266"/>
      <c r="AX138" s="266"/>
      <c r="AY138" s="266"/>
    </row>
    <row r="139" spans="1:51" s="265" customFormat="1" ht="186" customHeight="1" outlineLevel="1" x14ac:dyDescent="0.3">
      <c r="A139" s="431" t="s">
        <v>578</v>
      </c>
      <c r="B139" s="432" t="s">
        <v>1392</v>
      </c>
      <c r="C139" s="431">
        <v>0.69299999999999995</v>
      </c>
      <c r="D139" s="431">
        <f>F139+J139+O139+T139+Y139+AC139+AH139</f>
        <v>43342.559999999998</v>
      </c>
      <c r="E139" s="431">
        <v>0.69299999999999995</v>
      </c>
      <c r="F139" s="431">
        <f>G139+H139</f>
        <v>43342.559999999998</v>
      </c>
      <c r="G139" s="431">
        <v>40958.720000000001</v>
      </c>
      <c r="H139" s="431">
        <v>2383.84</v>
      </c>
      <c r="I139" s="431">
        <v>0</v>
      </c>
      <c r="J139" s="431">
        <v>0</v>
      </c>
      <c r="K139" s="431">
        <v>0</v>
      </c>
      <c r="L139" s="431">
        <v>0</v>
      </c>
      <c r="M139" s="431">
        <v>0</v>
      </c>
      <c r="N139" s="431">
        <v>0</v>
      </c>
      <c r="O139" s="431">
        <v>0</v>
      </c>
      <c r="P139" s="431">
        <v>0</v>
      </c>
      <c r="Q139" s="431">
        <v>0</v>
      </c>
      <c r="R139" s="431">
        <v>0</v>
      </c>
      <c r="S139" s="431">
        <v>0</v>
      </c>
      <c r="T139" s="431">
        <f>W139</f>
        <v>0</v>
      </c>
      <c r="U139" s="431">
        <v>0</v>
      </c>
      <c r="V139" s="433">
        <v>0</v>
      </c>
      <c r="W139" s="433">
        <v>0</v>
      </c>
      <c r="X139" s="516">
        <v>0</v>
      </c>
      <c r="Y139" s="433">
        <v>0</v>
      </c>
      <c r="Z139" s="431">
        <v>0</v>
      </c>
      <c r="AA139" s="431">
        <v>0</v>
      </c>
      <c r="AB139" s="431">
        <v>0</v>
      </c>
      <c r="AC139" s="431">
        <v>0</v>
      </c>
      <c r="AD139" s="433">
        <v>0</v>
      </c>
      <c r="AE139" s="431">
        <v>0</v>
      </c>
      <c r="AF139" s="431">
        <v>0</v>
      </c>
      <c r="AG139" s="481">
        <v>0</v>
      </c>
      <c r="AH139" s="431">
        <v>0</v>
      </c>
      <c r="AI139" s="431">
        <v>0</v>
      </c>
      <c r="AJ139" s="431">
        <v>0</v>
      </c>
      <c r="AK139" s="431">
        <v>0</v>
      </c>
      <c r="AL139" s="299"/>
      <c r="AM139" s="206"/>
      <c r="AN139" s="206"/>
      <c r="AO139" s="206"/>
      <c r="AP139" s="206"/>
      <c r="AQ139" s="206"/>
      <c r="AR139" s="206"/>
      <c r="AS139" s="206"/>
      <c r="AT139" s="206"/>
      <c r="AU139" s="206"/>
      <c r="AV139" s="206"/>
      <c r="AW139" s="206"/>
      <c r="AX139" s="206"/>
      <c r="AY139" s="206"/>
    </row>
    <row r="140" spans="1:51" s="266" customFormat="1" ht="258" customHeight="1" outlineLevel="1" x14ac:dyDescent="0.25">
      <c r="A140" s="303" t="s">
        <v>579</v>
      </c>
      <c r="B140" s="302" t="s">
        <v>1393</v>
      </c>
      <c r="C140" s="303">
        <v>0</v>
      </c>
      <c r="D140" s="303">
        <f>F140</f>
        <v>326.92</v>
      </c>
      <c r="E140" s="303">
        <v>0</v>
      </c>
      <c r="F140" s="307">
        <f>H140</f>
        <v>326.92</v>
      </c>
      <c r="G140" s="303">
        <v>0</v>
      </c>
      <c r="H140" s="303">
        <v>326.92</v>
      </c>
      <c r="I140" s="303">
        <v>0</v>
      </c>
      <c r="J140" s="307">
        <v>0</v>
      </c>
      <c r="K140" s="303">
        <v>0</v>
      </c>
      <c r="L140" s="303">
        <v>0</v>
      </c>
      <c r="M140" s="303">
        <v>0</v>
      </c>
      <c r="N140" s="303">
        <v>0</v>
      </c>
      <c r="O140" s="307">
        <v>0</v>
      </c>
      <c r="P140" s="303">
        <v>0</v>
      </c>
      <c r="Q140" s="303">
        <v>0</v>
      </c>
      <c r="R140" s="303">
        <v>0</v>
      </c>
      <c r="S140" s="303">
        <v>0</v>
      </c>
      <c r="T140" s="307">
        <v>0</v>
      </c>
      <c r="U140" s="303">
        <v>0</v>
      </c>
      <c r="V140" s="303">
        <v>0</v>
      </c>
      <c r="W140" s="303">
        <v>0</v>
      </c>
      <c r="X140" s="496">
        <v>0</v>
      </c>
      <c r="Y140" s="312">
        <v>0</v>
      </c>
      <c r="Z140" s="303">
        <v>0</v>
      </c>
      <c r="AA140" s="303">
        <v>0</v>
      </c>
      <c r="AB140" s="303">
        <v>0</v>
      </c>
      <c r="AC140" s="307">
        <v>0</v>
      </c>
      <c r="AD140" s="303">
        <v>0</v>
      </c>
      <c r="AE140" s="303">
        <v>0</v>
      </c>
      <c r="AF140" s="303">
        <v>0</v>
      </c>
      <c r="AG140" s="496">
        <v>0</v>
      </c>
      <c r="AH140" s="307">
        <v>0</v>
      </c>
      <c r="AI140" s="303">
        <v>0</v>
      </c>
      <c r="AJ140" s="303">
        <v>0</v>
      </c>
      <c r="AK140" s="303">
        <v>0</v>
      </c>
      <c r="AL140" s="306"/>
    </row>
    <row r="141" spans="1:51" s="265" customFormat="1" ht="183.6" customHeight="1" outlineLevel="1" x14ac:dyDescent="0.3">
      <c r="A141" s="431" t="s">
        <v>580</v>
      </c>
      <c r="B141" s="432" t="s">
        <v>581</v>
      </c>
      <c r="C141" s="431">
        <f>I141+N141+S141+X141+AB141+AG141</f>
        <v>0</v>
      </c>
      <c r="D141" s="297">
        <f>F141+J141+O141+T141+Y141+AC141+AH141</f>
        <v>0</v>
      </c>
      <c r="E141" s="297">
        <v>0</v>
      </c>
      <c r="F141" s="297">
        <f>F142+F143</f>
        <v>0</v>
      </c>
      <c r="G141" s="297">
        <f>G142+G143</f>
        <v>0</v>
      </c>
      <c r="H141" s="297">
        <f>H142+H143</f>
        <v>0</v>
      </c>
      <c r="I141" s="297">
        <v>0</v>
      </c>
      <c r="J141" s="297">
        <v>0</v>
      </c>
      <c r="K141" s="297">
        <v>0</v>
      </c>
      <c r="L141" s="297">
        <f>L142+L143</f>
        <v>0</v>
      </c>
      <c r="M141" s="297">
        <v>0</v>
      </c>
      <c r="N141" s="297">
        <f>N142+N143</f>
        <v>0</v>
      </c>
      <c r="O141" s="297">
        <f>O142+O143</f>
        <v>0</v>
      </c>
      <c r="P141" s="297">
        <v>0</v>
      </c>
      <c r="Q141" s="297">
        <f t="shared" ref="Q141:AK141" si="26">Q142+Q143</f>
        <v>0</v>
      </c>
      <c r="R141" s="297">
        <f t="shared" si="26"/>
        <v>0</v>
      </c>
      <c r="S141" s="297">
        <f t="shared" si="26"/>
        <v>0</v>
      </c>
      <c r="T141" s="297">
        <f t="shared" si="26"/>
        <v>0</v>
      </c>
      <c r="U141" s="297">
        <v>0</v>
      </c>
      <c r="V141" s="298">
        <f t="shared" si="26"/>
        <v>0</v>
      </c>
      <c r="W141" s="298">
        <f t="shared" si="26"/>
        <v>0</v>
      </c>
      <c r="X141" s="509">
        <f t="shared" si="26"/>
        <v>0</v>
      </c>
      <c r="Y141" s="298">
        <f t="shared" si="26"/>
        <v>0</v>
      </c>
      <c r="Z141" s="297">
        <f t="shared" si="26"/>
        <v>0</v>
      </c>
      <c r="AA141" s="297">
        <f t="shared" si="26"/>
        <v>0</v>
      </c>
      <c r="AB141" s="297">
        <f t="shared" si="26"/>
        <v>0</v>
      </c>
      <c r="AC141" s="297">
        <f t="shared" si="26"/>
        <v>0</v>
      </c>
      <c r="AD141" s="298">
        <v>0</v>
      </c>
      <c r="AE141" s="297">
        <f t="shared" si="26"/>
        <v>0</v>
      </c>
      <c r="AF141" s="297">
        <f t="shared" si="26"/>
        <v>0</v>
      </c>
      <c r="AG141" s="508">
        <f t="shared" si="26"/>
        <v>0</v>
      </c>
      <c r="AH141" s="297">
        <f t="shared" si="26"/>
        <v>0</v>
      </c>
      <c r="AI141" s="297">
        <v>0</v>
      </c>
      <c r="AJ141" s="297">
        <f t="shared" si="26"/>
        <v>0</v>
      </c>
      <c r="AK141" s="297">
        <f t="shared" si="26"/>
        <v>0</v>
      </c>
      <c r="AL141" s="299"/>
      <c r="AM141" s="206"/>
      <c r="AN141" s="206"/>
      <c r="AO141" s="206"/>
      <c r="AP141" s="206"/>
      <c r="AQ141" s="206"/>
      <c r="AR141" s="206"/>
      <c r="AS141" s="206"/>
      <c r="AT141" s="206"/>
      <c r="AU141" s="206"/>
      <c r="AV141" s="206"/>
      <c r="AW141" s="206"/>
      <c r="AX141" s="206"/>
      <c r="AY141" s="206"/>
    </row>
    <row r="142" spans="1:51" s="266" customFormat="1" ht="204" customHeight="1" outlineLevel="1" x14ac:dyDescent="0.25">
      <c r="A142" s="303" t="s">
        <v>582</v>
      </c>
      <c r="B142" s="302" t="s">
        <v>560</v>
      </c>
      <c r="C142" s="303">
        <v>0</v>
      </c>
      <c r="D142" s="301">
        <f>F142+J142+O142+T142+Y142+AC142+AH142</f>
        <v>0</v>
      </c>
      <c r="E142" s="301">
        <v>0</v>
      </c>
      <c r="F142" s="304">
        <v>0</v>
      </c>
      <c r="G142" s="301">
        <v>0</v>
      </c>
      <c r="H142" s="301">
        <v>0</v>
      </c>
      <c r="I142" s="303">
        <v>0</v>
      </c>
      <c r="J142" s="307">
        <v>0</v>
      </c>
      <c r="K142" s="303">
        <v>0</v>
      </c>
      <c r="L142" s="301">
        <v>0</v>
      </c>
      <c r="M142" s="301">
        <v>0</v>
      </c>
      <c r="N142" s="301">
        <v>0</v>
      </c>
      <c r="O142" s="304">
        <v>0</v>
      </c>
      <c r="P142" s="301">
        <v>0</v>
      </c>
      <c r="Q142" s="301">
        <v>0</v>
      </c>
      <c r="R142" s="301">
        <v>0</v>
      </c>
      <c r="S142" s="301">
        <v>0</v>
      </c>
      <c r="T142" s="304">
        <v>0</v>
      </c>
      <c r="U142" s="301">
        <v>0</v>
      </c>
      <c r="V142" s="301">
        <v>0</v>
      </c>
      <c r="W142" s="301">
        <v>0</v>
      </c>
      <c r="X142" s="510">
        <v>0</v>
      </c>
      <c r="Y142" s="305">
        <v>0</v>
      </c>
      <c r="Z142" s="301">
        <v>0</v>
      </c>
      <c r="AA142" s="301">
        <v>0</v>
      </c>
      <c r="AB142" s="301">
        <v>0</v>
      </c>
      <c r="AC142" s="304">
        <v>0</v>
      </c>
      <c r="AD142" s="301"/>
      <c r="AE142" s="301">
        <v>0</v>
      </c>
      <c r="AF142" s="301">
        <v>0</v>
      </c>
      <c r="AG142" s="510">
        <v>0</v>
      </c>
      <c r="AH142" s="304">
        <v>0</v>
      </c>
      <c r="AI142" s="301">
        <v>0</v>
      </c>
      <c r="AJ142" s="301">
        <v>0</v>
      </c>
      <c r="AK142" s="301">
        <v>0</v>
      </c>
      <c r="AL142" s="306"/>
    </row>
    <row r="143" spans="1:51" s="266" customFormat="1" ht="199.2" customHeight="1" outlineLevel="1" x14ac:dyDescent="0.25">
      <c r="A143" s="303" t="s">
        <v>583</v>
      </c>
      <c r="B143" s="302" t="s">
        <v>584</v>
      </c>
      <c r="C143" s="303">
        <v>0</v>
      </c>
      <c r="D143" s="301">
        <f>F143+J143+O143+T143+Y143+AC143+AH143</f>
        <v>0</v>
      </c>
      <c r="E143" s="301">
        <v>0</v>
      </c>
      <c r="F143" s="304">
        <v>0</v>
      </c>
      <c r="G143" s="301">
        <v>0</v>
      </c>
      <c r="H143" s="301">
        <v>0</v>
      </c>
      <c r="I143" s="303">
        <v>0</v>
      </c>
      <c r="J143" s="304">
        <f>L143+M143</f>
        <v>0</v>
      </c>
      <c r="K143" s="301">
        <v>0</v>
      </c>
      <c r="L143" s="301">
        <v>0</v>
      </c>
      <c r="M143" s="301">
        <v>0</v>
      </c>
      <c r="N143" s="301">
        <v>0</v>
      </c>
      <c r="O143" s="304">
        <v>0</v>
      </c>
      <c r="P143" s="301">
        <v>0</v>
      </c>
      <c r="Q143" s="301">
        <v>0</v>
      </c>
      <c r="R143" s="301">
        <v>0</v>
      </c>
      <c r="S143" s="301">
        <v>0</v>
      </c>
      <c r="T143" s="304">
        <v>0</v>
      </c>
      <c r="U143" s="301">
        <v>0</v>
      </c>
      <c r="V143" s="301">
        <v>0</v>
      </c>
      <c r="W143" s="301">
        <v>0</v>
      </c>
      <c r="X143" s="510">
        <v>0</v>
      </c>
      <c r="Y143" s="305">
        <f>AA143</f>
        <v>0</v>
      </c>
      <c r="Z143" s="301">
        <v>0</v>
      </c>
      <c r="AA143" s="301">
        <v>0</v>
      </c>
      <c r="AB143" s="301">
        <v>0</v>
      </c>
      <c r="AC143" s="304">
        <v>0</v>
      </c>
      <c r="AD143" s="301">
        <v>0</v>
      </c>
      <c r="AE143" s="301">
        <v>0</v>
      </c>
      <c r="AF143" s="301">
        <v>0</v>
      </c>
      <c r="AG143" s="510">
        <v>0</v>
      </c>
      <c r="AH143" s="304">
        <v>0</v>
      </c>
      <c r="AI143" s="301">
        <v>0</v>
      </c>
      <c r="AJ143" s="301">
        <v>0</v>
      </c>
      <c r="AK143" s="301">
        <v>0</v>
      </c>
      <c r="AL143" s="306"/>
    </row>
    <row r="144" spans="1:51" s="265" customFormat="1" ht="305.39999999999998" customHeight="1" outlineLevel="1" x14ac:dyDescent="0.3">
      <c r="A144" s="431" t="s">
        <v>585</v>
      </c>
      <c r="B144" s="432" t="s">
        <v>586</v>
      </c>
      <c r="C144" s="431">
        <v>0</v>
      </c>
      <c r="D144" s="297">
        <f>F144+J144+O144+T144+Y144+AC144+AH144</f>
        <v>0</v>
      </c>
      <c r="E144" s="297">
        <v>0</v>
      </c>
      <c r="F144" s="297">
        <f>F145+F146+F147+F148</f>
        <v>0</v>
      </c>
      <c r="G144" s="297">
        <f t="shared" ref="G144:AK144" si="27">G145+G146+G147+G148</f>
        <v>0</v>
      </c>
      <c r="H144" s="297">
        <f t="shared" si="27"/>
        <v>0</v>
      </c>
      <c r="I144" s="297">
        <f t="shared" si="27"/>
        <v>0</v>
      </c>
      <c r="J144" s="297">
        <f t="shared" si="27"/>
        <v>0</v>
      </c>
      <c r="K144" s="297">
        <v>0</v>
      </c>
      <c r="L144" s="297">
        <f t="shared" si="27"/>
        <v>0</v>
      </c>
      <c r="M144" s="297">
        <f t="shared" si="27"/>
        <v>0</v>
      </c>
      <c r="N144" s="297">
        <f t="shared" si="27"/>
        <v>0</v>
      </c>
      <c r="O144" s="297">
        <f t="shared" si="27"/>
        <v>0</v>
      </c>
      <c r="P144" s="297">
        <v>0</v>
      </c>
      <c r="Q144" s="297">
        <f t="shared" si="27"/>
        <v>0</v>
      </c>
      <c r="R144" s="297">
        <f t="shared" si="27"/>
        <v>0</v>
      </c>
      <c r="S144" s="297">
        <f t="shared" si="27"/>
        <v>0</v>
      </c>
      <c r="T144" s="297">
        <f t="shared" si="27"/>
        <v>0</v>
      </c>
      <c r="U144" s="297">
        <v>0</v>
      </c>
      <c r="V144" s="298">
        <f t="shared" si="27"/>
        <v>0</v>
      </c>
      <c r="W144" s="298">
        <f t="shared" si="27"/>
        <v>0</v>
      </c>
      <c r="X144" s="508">
        <f t="shared" si="27"/>
        <v>0</v>
      </c>
      <c r="Y144" s="298">
        <f t="shared" si="27"/>
        <v>0</v>
      </c>
      <c r="Z144" s="297">
        <f t="shared" si="27"/>
        <v>0</v>
      </c>
      <c r="AA144" s="297">
        <f t="shared" si="27"/>
        <v>0</v>
      </c>
      <c r="AB144" s="297">
        <f t="shared" si="27"/>
        <v>0</v>
      </c>
      <c r="AC144" s="297">
        <f t="shared" si="27"/>
        <v>0</v>
      </c>
      <c r="AD144" s="298">
        <v>0</v>
      </c>
      <c r="AE144" s="297">
        <f t="shared" si="27"/>
        <v>0</v>
      </c>
      <c r="AF144" s="297">
        <f t="shared" si="27"/>
        <v>0</v>
      </c>
      <c r="AG144" s="508">
        <f t="shared" si="27"/>
        <v>0</v>
      </c>
      <c r="AH144" s="297">
        <f t="shared" si="27"/>
        <v>0</v>
      </c>
      <c r="AI144" s="297">
        <v>0</v>
      </c>
      <c r="AJ144" s="297">
        <f t="shared" si="27"/>
        <v>0</v>
      </c>
      <c r="AK144" s="297">
        <f t="shared" si="27"/>
        <v>0</v>
      </c>
      <c r="AL144" s="299"/>
      <c r="AM144" s="206"/>
      <c r="AN144" s="206"/>
      <c r="AO144" s="206"/>
      <c r="AP144" s="206"/>
      <c r="AQ144" s="206"/>
      <c r="AR144" s="206"/>
      <c r="AS144" s="206"/>
      <c r="AT144" s="206"/>
      <c r="AU144" s="206"/>
      <c r="AV144" s="206"/>
      <c r="AW144" s="206"/>
      <c r="AX144" s="206"/>
      <c r="AY144" s="206"/>
    </row>
    <row r="145" spans="1:51" s="266" customFormat="1" ht="159" customHeight="1" outlineLevel="1" x14ac:dyDescent="0.25">
      <c r="A145" s="303" t="s">
        <v>587</v>
      </c>
      <c r="B145" s="302" t="s">
        <v>500</v>
      </c>
      <c r="C145" s="303"/>
      <c r="D145" s="301">
        <v>0</v>
      </c>
      <c r="E145" s="301"/>
      <c r="F145" s="304">
        <v>0</v>
      </c>
      <c r="G145" s="301"/>
      <c r="H145" s="301">
        <v>0</v>
      </c>
      <c r="I145" s="317"/>
      <c r="J145" s="307">
        <v>0</v>
      </c>
      <c r="K145" s="303"/>
      <c r="L145" s="301"/>
      <c r="M145" s="301">
        <v>0</v>
      </c>
      <c r="N145" s="301"/>
      <c r="O145" s="304">
        <v>0</v>
      </c>
      <c r="P145" s="301">
        <v>0</v>
      </c>
      <c r="Q145" s="301"/>
      <c r="R145" s="301">
        <v>0</v>
      </c>
      <c r="S145" s="301"/>
      <c r="T145" s="304">
        <v>0</v>
      </c>
      <c r="U145" s="301">
        <v>0</v>
      </c>
      <c r="V145" s="301">
        <v>0</v>
      </c>
      <c r="W145" s="301">
        <v>0</v>
      </c>
      <c r="X145" s="510"/>
      <c r="Y145" s="305">
        <v>0</v>
      </c>
      <c r="Z145" s="301"/>
      <c r="AA145" s="301">
        <v>0</v>
      </c>
      <c r="AB145" s="301"/>
      <c r="AC145" s="304">
        <v>0</v>
      </c>
      <c r="AD145" s="301"/>
      <c r="AE145" s="301"/>
      <c r="AF145" s="301">
        <v>0</v>
      </c>
      <c r="AG145" s="510"/>
      <c r="AH145" s="304">
        <v>0</v>
      </c>
      <c r="AI145" s="301"/>
      <c r="AJ145" s="301"/>
      <c r="AK145" s="301">
        <v>0</v>
      </c>
      <c r="AL145" s="306"/>
    </row>
    <row r="146" spans="1:51" s="266" customFormat="1" ht="226.2" customHeight="1" outlineLevel="1" x14ac:dyDescent="0.25">
      <c r="A146" s="303" t="s">
        <v>588</v>
      </c>
      <c r="B146" s="302" t="s">
        <v>423</v>
      </c>
      <c r="C146" s="303">
        <v>0</v>
      </c>
      <c r="D146" s="301">
        <f>F146+J146+O146+T146+Y146+AC146+AH146</f>
        <v>0</v>
      </c>
      <c r="E146" s="301">
        <v>0</v>
      </c>
      <c r="F146" s="304">
        <v>0</v>
      </c>
      <c r="G146" s="301">
        <v>0</v>
      </c>
      <c r="H146" s="301">
        <v>0</v>
      </c>
      <c r="I146" s="303">
        <v>0</v>
      </c>
      <c r="J146" s="307">
        <v>0</v>
      </c>
      <c r="K146" s="303">
        <v>0</v>
      </c>
      <c r="L146" s="301">
        <v>0</v>
      </c>
      <c r="M146" s="301">
        <v>0</v>
      </c>
      <c r="N146" s="301">
        <v>0</v>
      </c>
      <c r="O146" s="304">
        <v>0</v>
      </c>
      <c r="P146" s="301">
        <v>0</v>
      </c>
      <c r="Q146" s="301">
        <v>0</v>
      </c>
      <c r="R146" s="301">
        <v>0</v>
      </c>
      <c r="S146" s="301">
        <v>0</v>
      </c>
      <c r="T146" s="304">
        <v>0</v>
      </c>
      <c r="U146" s="301">
        <v>0</v>
      </c>
      <c r="V146" s="301">
        <v>0</v>
      </c>
      <c r="W146" s="301">
        <v>0</v>
      </c>
      <c r="X146" s="510">
        <v>0</v>
      </c>
      <c r="Y146" s="312">
        <v>0</v>
      </c>
      <c r="Z146" s="301">
        <v>0</v>
      </c>
      <c r="AA146" s="301">
        <v>0</v>
      </c>
      <c r="AB146" s="301">
        <v>0</v>
      </c>
      <c r="AC146" s="304">
        <f>AF146</f>
        <v>0</v>
      </c>
      <c r="AD146" s="301">
        <v>0</v>
      </c>
      <c r="AE146" s="301">
        <v>0</v>
      </c>
      <c r="AF146" s="301">
        <v>0</v>
      </c>
      <c r="AG146" s="510">
        <v>0</v>
      </c>
      <c r="AH146" s="304">
        <f>AK146</f>
        <v>0</v>
      </c>
      <c r="AI146" s="301"/>
      <c r="AJ146" s="301">
        <v>0</v>
      </c>
      <c r="AK146" s="301">
        <v>0</v>
      </c>
      <c r="AL146" s="306"/>
    </row>
    <row r="147" spans="1:51" s="266" customFormat="1" ht="308.39999999999998" customHeight="1" outlineLevel="1" x14ac:dyDescent="0.25">
      <c r="A147" s="303" t="s">
        <v>589</v>
      </c>
      <c r="B147" s="302" t="s">
        <v>1394</v>
      </c>
      <c r="C147" s="303">
        <v>0</v>
      </c>
      <c r="D147" s="301">
        <v>0</v>
      </c>
      <c r="E147" s="301">
        <v>0</v>
      </c>
      <c r="F147" s="304">
        <v>0</v>
      </c>
      <c r="G147" s="301">
        <v>0</v>
      </c>
      <c r="H147" s="301">
        <v>0</v>
      </c>
      <c r="I147" s="303">
        <v>0</v>
      </c>
      <c r="J147" s="307">
        <v>0</v>
      </c>
      <c r="K147" s="303">
        <v>0</v>
      </c>
      <c r="L147" s="301">
        <v>0</v>
      </c>
      <c r="M147" s="301">
        <v>0</v>
      </c>
      <c r="N147" s="301">
        <v>0</v>
      </c>
      <c r="O147" s="304">
        <v>0</v>
      </c>
      <c r="P147" s="301">
        <v>0</v>
      </c>
      <c r="Q147" s="301">
        <v>0</v>
      </c>
      <c r="R147" s="301">
        <v>0</v>
      </c>
      <c r="S147" s="301">
        <v>0</v>
      </c>
      <c r="T147" s="304">
        <v>0</v>
      </c>
      <c r="U147" s="301">
        <v>0</v>
      </c>
      <c r="V147" s="301">
        <v>0</v>
      </c>
      <c r="W147" s="301">
        <v>0</v>
      </c>
      <c r="X147" s="510">
        <v>0</v>
      </c>
      <c r="Y147" s="305">
        <v>0</v>
      </c>
      <c r="Z147" s="301">
        <v>0</v>
      </c>
      <c r="AA147" s="301">
        <v>0</v>
      </c>
      <c r="AB147" s="301">
        <v>0</v>
      </c>
      <c r="AC147" s="304">
        <v>0</v>
      </c>
      <c r="AD147" s="301">
        <v>0</v>
      </c>
      <c r="AE147" s="301">
        <v>0</v>
      </c>
      <c r="AF147" s="301">
        <v>0</v>
      </c>
      <c r="AG147" s="510">
        <v>0</v>
      </c>
      <c r="AH147" s="304">
        <v>0</v>
      </c>
      <c r="AI147" s="301">
        <v>0</v>
      </c>
      <c r="AJ147" s="301">
        <v>0</v>
      </c>
      <c r="AK147" s="301">
        <v>0</v>
      </c>
      <c r="AL147" s="306"/>
    </row>
    <row r="148" spans="1:51" s="266" customFormat="1" ht="38.4" customHeight="1" outlineLevel="1" x14ac:dyDescent="0.25">
      <c r="A148" s="303" t="s">
        <v>590</v>
      </c>
      <c r="B148" s="302" t="s">
        <v>1395</v>
      </c>
      <c r="C148" s="303">
        <v>0</v>
      </c>
      <c r="D148" s="301">
        <v>0</v>
      </c>
      <c r="E148" s="301">
        <v>0</v>
      </c>
      <c r="F148" s="304">
        <v>0</v>
      </c>
      <c r="G148" s="301">
        <v>0</v>
      </c>
      <c r="H148" s="301">
        <v>0</v>
      </c>
      <c r="I148" s="303">
        <v>0</v>
      </c>
      <c r="J148" s="307">
        <v>0</v>
      </c>
      <c r="K148" s="303">
        <v>0</v>
      </c>
      <c r="L148" s="301">
        <v>0</v>
      </c>
      <c r="M148" s="301">
        <v>0</v>
      </c>
      <c r="N148" s="301">
        <v>0</v>
      </c>
      <c r="O148" s="313">
        <v>0</v>
      </c>
      <c r="P148" s="314">
        <v>0</v>
      </c>
      <c r="Q148" s="314">
        <v>0</v>
      </c>
      <c r="R148" s="314">
        <v>0</v>
      </c>
      <c r="S148" s="314">
        <v>0</v>
      </c>
      <c r="T148" s="313">
        <v>0</v>
      </c>
      <c r="U148" s="314">
        <v>0</v>
      </c>
      <c r="V148" s="314">
        <v>0</v>
      </c>
      <c r="W148" s="314">
        <v>0</v>
      </c>
      <c r="X148" s="511">
        <v>0</v>
      </c>
      <c r="Y148" s="305">
        <v>0</v>
      </c>
      <c r="Z148" s="301">
        <v>0</v>
      </c>
      <c r="AA148" s="301">
        <v>0</v>
      </c>
      <c r="AB148" s="301">
        <v>0</v>
      </c>
      <c r="AC148" s="304">
        <v>0</v>
      </c>
      <c r="AD148" s="301"/>
      <c r="AE148" s="301">
        <v>0</v>
      </c>
      <c r="AF148" s="301">
        <v>0</v>
      </c>
      <c r="AG148" s="510">
        <v>0</v>
      </c>
      <c r="AH148" s="304">
        <v>0</v>
      </c>
      <c r="AI148" s="301">
        <v>0</v>
      </c>
      <c r="AJ148" s="301">
        <v>0</v>
      </c>
      <c r="AK148" s="301">
        <v>0</v>
      </c>
      <c r="AL148" s="306"/>
    </row>
    <row r="149" spans="1:51" s="265" customFormat="1" ht="172.2" customHeight="1" outlineLevel="1" x14ac:dyDescent="0.3">
      <c r="A149" s="308" t="s">
        <v>592</v>
      </c>
      <c r="B149" s="432" t="s">
        <v>593</v>
      </c>
      <c r="C149" s="431">
        <f>I149+N149+S149+X149+AB149+AG149</f>
        <v>0</v>
      </c>
      <c r="D149" s="297">
        <f>F149+J149+O149+T149+Y149+AC149+AH149</f>
        <v>0</v>
      </c>
      <c r="E149" s="297">
        <v>0</v>
      </c>
      <c r="F149" s="297">
        <f>F150+F151+F152+F153+F154</f>
        <v>0</v>
      </c>
      <c r="G149" s="297">
        <f t="shared" ref="G149:AG149" si="28">G150+G151+G152+G153+G154</f>
        <v>0</v>
      </c>
      <c r="H149" s="297">
        <f t="shared" si="28"/>
        <v>0</v>
      </c>
      <c r="I149" s="297">
        <f t="shared" si="28"/>
        <v>0</v>
      </c>
      <c r="J149" s="297">
        <f t="shared" si="28"/>
        <v>0</v>
      </c>
      <c r="K149" s="297">
        <v>0</v>
      </c>
      <c r="L149" s="297">
        <f t="shared" si="28"/>
        <v>0</v>
      </c>
      <c r="M149" s="297">
        <f t="shared" si="28"/>
        <v>0</v>
      </c>
      <c r="N149" s="297">
        <f t="shared" si="28"/>
        <v>0</v>
      </c>
      <c r="O149" s="297">
        <f t="shared" si="28"/>
        <v>0</v>
      </c>
      <c r="P149" s="297">
        <v>0</v>
      </c>
      <c r="Q149" s="297">
        <f t="shared" si="28"/>
        <v>0</v>
      </c>
      <c r="R149" s="297">
        <f t="shared" si="28"/>
        <v>0</v>
      </c>
      <c r="S149" s="297">
        <f t="shared" si="28"/>
        <v>0</v>
      </c>
      <c r="T149" s="297">
        <f t="shared" si="28"/>
        <v>0</v>
      </c>
      <c r="U149" s="297">
        <v>0</v>
      </c>
      <c r="V149" s="298">
        <f t="shared" si="28"/>
        <v>0</v>
      </c>
      <c r="W149" s="298">
        <f t="shared" si="28"/>
        <v>0</v>
      </c>
      <c r="X149" s="509">
        <f t="shared" si="28"/>
        <v>0</v>
      </c>
      <c r="Y149" s="298">
        <f t="shared" si="28"/>
        <v>0</v>
      </c>
      <c r="Z149" s="297">
        <f t="shared" si="28"/>
        <v>0</v>
      </c>
      <c r="AA149" s="297">
        <f t="shared" si="28"/>
        <v>0</v>
      </c>
      <c r="AB149" s="297">
        <f t="shared" si="28"/>
        <v>0</v>
      </c>
      <c r="AC149" s="297">
        <f t="shared" si="28"/>
        <v>0</v>
      </c>
      <c r="AD149" s="298">
        <v>0</v>
      </c>
      <c r="AE149" s="297">
        <f t="shared" si="28"/>
        <v>0</v>
      </c>
      <c r="AF149" s="297">
        <f t="shared" si="28"/>
        <v>0</v>
      </c>
      <c r="AG149" s="508">
        <f t="shared" si="28"/>
        <v>0</v>
      </c>
      <c r="AH149" s="297">
        <f>AH150+AH151+AH152+AH153+AH154</f>
        <v>0</v>
      </c>
      <c r="AI149" s="297">
        <v>0</v>
      </c>
      <c r="AJ149" s="297">
        <f>AJ150+AJ151+AJ152+AJ153+AJ154</f>
        <v>0</v>
      </c>
      <c r="AK149" s="297">
        <f>AK150+AK151+AK152+AK153+AK154</f>
        <v>0</v>
      </c>
      <c r="AL149" s="299"/>
      <c r="AM149" s="206"/>
      <c r="AN149" s="206"/>
      <c r="AO149" s="206"/>
      <c r="AP149" s="206"/>
      <c r="AQ149" s="206"/>
      <c r="AR149" s="206"/>
      <c r="AS149" s="206"/>
      <c r="AT149" s="206"/>
      <c r="AU149" s="206"/>
      <c r="AV149" s="206"/>
      <c r="AW149" s="206"/>
      <c r="AX149" s="206"/>
      <c r="AY149" s="206"/>
    </row>
    <row r="150" spans="1:51" s="266" customFormat="1" ht="203.4" customHeight="1" outlineLevel="1" x14ac:dyDescent="0.25">
      <c r="A150" s="303" t="s">
        <v>594</v>
      </c>
      <c r="B150" s="302" t="s">
        <v>1396</v>
      </c>
      <c r="C150" s="303">
        <v>0</v>
      </c>
      <c r="D150" s="301">
        <f t="shared" ref="D150:D173" si="29">F150+J150+O150+T150+Y150+AC150+AH150</f>
        <v>0</v>
      </c>
      <c r="E150" s="301">
        <v>0</v>
      </c>
      <c r="F150" s="304">
        <v>0</v>
      </c>
      <c r="G150" s="301">
        <v>0</v>
      </c>
      <c r="H150" s="301">
        <v>0</v>
      </c>
      <c r="I150" s="303">
        <v>0</v>
      </c>
      <c r="J150" s="307">
        <v>0</v>
      </c>
      <c r="K150" s="303">
        <v>0</v>
      </c>
      <c r="L150" s="301">
        <v>0</v>
      </c>
      <c r="M150" s="301">
        <v>0</v>
      </c>
      <c r="N150" s="301">
        <v>0</v>
      </c>
      <c r="O150" s="304">
        <v>0</v>
      </c>
      <c r="P150" s="301">
        <v>0</v>
      </c>
      <c r="Q150" s="301">
        <v>0</v>
      </c>
      <c r="R150" s="301">
        <v>0</v>
      </c>
      <c r="S150" s="301">
        <v>0</v>
      </c>
      <c r="T150" s="304">
        <v>0</v>
      </c>
      <c r="U150" s="301">
        <v>0</v>
      </c>
      <c r="V150" s="301">
        <v>0</v>
      </c>
      <c r="W150" s="301">
        <v>0</v>
      </c>
      <c r="X150" s="510">
        <v>0</v>
      </c>
      <c r="Y150" s="312">
        <v>0</v>
      </c>
      <c r="Z150" s="301">
        <v>0</v>
      </c>
      <c r="AA150" s="301">
        <v>0</v>
      </c>
      <c r="AB150" s="301">
        <v>0</v>
      </c>
      <c r="AC150" s="304">
        <f>AF150</f>
        <v>0</v>
      </c>
      <c r="AD150" s="301">
        <v>0</v>
      </c>
      <c r="AE150" s="301">
        <v>0</v>
      </c>
      <c r="AF150" s="301">
        <v>0</v>
      </c>
      <c r="AG150" s="510">
        <v>0</v>
      </c>
      <c r="AH150" s="304">
        <f>AK150</f>
        <v>0</v>
      </c>
      <c r="AI150" s="301">
        <v>0</v>
      </c>
      <c r="AJ150" s="301">
        <v>0</v>
      </c>
      <c r="AK150" s="301">
        <v>0</v>
      </c>
      <c r="AL150" s="306"/>
    </row>
    <row r="151" spans="1:51" s="266" customFormat="1" ht="237.6" customHeight="1" outlineLevel="1" x14ac:dyDescent="0.25">
      <c r="A151" s="303" t="s">
        <v>595</v>
      </c>
      <c r="B151" s="302" t="s">
        <v>423</v>
      </c>
      <c r="C151" s="303">
        <v>0</v>
      </c>
      <c r="D151" s="301">
        <f t="shared" si="29"/>
        <v>0</v>
      </c>
      <c r="E151" s="301">
        <v>0</v>
      </c>
      <c r="F151" s="304">
        <v>0</v>
      </c>
      <c r="G151" s="301">
        <v>0</v>
      </c>
      <c r="H151" s="301">
        <v>0</v>
      </c>
      <c r="I151" s="303">
        <v>0</v>
      </c>
      <c r="J151" s="307">
        <v>0</v>
      </c>
      <c r="K151" s="303">
        <v>0</v>
      </c>
      <c r="L151" s="301">
        <v>0</v>
      </c>
      <c r="M151" s="301">
        <v>0</v>
      </c>
      <c r="N151" s="301">
        <v>0</v>
      </c>
      <c r="O151" s="313">
        <v>0</v>
      </c>
      <c r="P151" s="314">
        <v>0</v>
      </c>
      <c r="Q151" s="314">
        <v>0</v>
      </c>
      <c r="R151" s="314">
        <v>0</v>
      </c>
      <c r="S151" s="314">
        <v>0</v>
      </c>
      <c r="T151" s="304">
        <v>0</v>
      </c>
      <c r="U151" s="301">
        <v>0</v>
      </c>
      <c r="V151" s="301">
        <v>0</v>
      </c>
      <c r="W151" s="301">
        <v>0</v>
      </c>
      <c r="X151" s="510">
        <v>0</v>
      </c>
      <c r="Y151" s="305">
        <v>0</v>
      </c>
      <c r="Z151" s="301">
        <v>0</v>
      </c>
      <c r="AA151" s="301">
        <v>0</v>
      </c>
      <c r="AB151" s="301">
        <v>0</v>
      </c>
      <c r="AC151" s="304">
        <f>AF151</f>
        <v>0</v>
      </c>
      <c r="AD151" s="301">
        <v>0</v>
      </c>
      <c r="AE151" s="301">
        <v>0</v>
      </c>
      <c r="AF151" s="301">
        <v>0</v>
      </c>
      <c r="AG151" s="510">
        <v>0</v>
      </c>
      <c r="AH151" s="304">
        <f>AK151</f>
        <v>0</v>
      </c>
      <c r="AI151" s="301">
        <v>0</v>
      </c>
      <c r="AJ151" s="301">
        <v>0</v>
      </c>
      <c r="AK151" s="301">
        <v>0</v>
      </c>
      <c r="AL151" s="306"/>
    </row>
    <row r="152" spans="1:51" s="266" customFormat="1" ht="39" customHeight="1" outlineLevel="1" x14ac:dyDescent="0.25">
      <c r="A152" s="303" t="s">
        <v>596</v>
      </c>
      <c r="B152" s="302" t="s">
        <v>435</v>
      </c>
      <c r="C152" s="303">
        <v>0</v>
      </c>
      <c r="D152" s="301">
        <f t="shared" si="29"/>
        <v>0</v>
      </c>
      <c r="E152" s="301">
        <v>0</v>
      </c>
      <c r="F152" s="304">
        <v>0</v>
      </c>
      <c r="G152" s="301">
        <v>0</v>
      </c>
      <c r="H152" s="301">
        <v>0</v>
      </c>
      <c r="I152" s="303"/>
      <c r="J152" s="307">
        <v>0</v>
      </c>
      <c r="K152" s="303">
        <v>0</v>
      </c>
      <c r="L152" s="301">
        <v>0</v>
      </c>
      <c r="M152" s="301">
        <v>0</v>
      </c>
      <c r="N152" s="301">
        <v>0</v>
      </c>
      <c r="O152" s="313">
        <v>0</v>
      </c>
      <c r="P152" s="314">
        <v>0</v>
      </c>
      <c r="Q152" s="314">
        <v>0</v>
      </c>
      <c r="R152" s="314">
        <v>0</v>
      </c>
      <c r="S152" s="314">
        <v>0</v>
      </c>
      <c r="T152" s="304">
        <v>0</v>
      </c>
      <c r="U152" s="301">
        <v>0</v>
      </c>
      <c r="V152" s="301">
        <v>0</v>
      </c>
      <c r="W152" s="301"/>
      <c r="X152" s="510">
        <v>0</v>
      </c>
      <c r="Y152" s="305">
        <v>0</v>
      </c>
      <c r="Z152" s="301">
        <v>0</v>
      </c>
      <c r="AA152" s="301">
        <v>0</v>
      </c>
      <c r="AB152" s="301">
        <v>0</v>
      </c>
      <c r="AC152" s="304">
        <f>AF152</f>
        <v>0</v>
      </c>
      <c r="AD152" s="301">
        <v>0</v>
      </c>
      <c r="AE152" s="301">
        <v>0</v>
      </c>
      <c r="AF152" s="301">
        <v>0</v>
      </c>
      <c r="AG152" s="528"/>
      <c r="AH152" s="304">
        <f>AK152</f>
        <v>0</v>
      </c>
      <c r="AI152" s="301">
        <v>0</v>
      </c>
      <c r="AJ152" s="301">
        <v>0</v>
      </c>
      <c r="AK152" s="301">
        <v>0</v>
      </c>
      <c r="AL152" s="306"/>
    </row>
    <row r="153" spans="1:51" s="266" customFormat="1" ht="105.6" customHeight="1" outlineLevel="1" x14ac:dyDescent="0.25">
      <c r="A153" s="303" t="s">
        <v>597</v>
      </c>
      <c r="B153" s="302" t="s">
        <v>1397</v>
      </c>
      <c r="C153" s="303">
        <v>0</v>
      </c>
      <c r="D153" s="301">
        <f t="shared" si="29"/>
        <v>0</v>
      </c>
      <c r="E153" s="301">
        <v>0</v>
      </c>
      <c r="F153" s="304">
        <v>0</v>
      </c>
      <c r="G153" s="301">
        <v>0</v>
      </c>
      <c r="H153" s="301">
        <v>0</v>
      </c>
      <c r="I153" s="303"/>
      <c r="J153" s="307">
        <v>0</v>
      </c>
      <c r="K153" s="303">
        <v>0</v>
      </c>
      <c r="L153" s="301">
        <v>0</v>
      </c>
      <c r="M153" s="301">
        <v>0</v>
      </c>
      <c r="N153" s="301">
        <v>0</v>
      </c>
      <c r="O153" s="313">
        <v>0</v>
      </c>
      <c r="P153" s="314">
        <v>0</v>
      </c>
      <c r="Q153" s="314">
        <v>0</v>
      </c>
      <c r="R153" s="314">
        <v>0</v>
      </c>
      <c r="S153" s="314">
        <v>0</v>
      </c>
      <c r="T153" s="304">
        <v>0</v>
      </c>
      <c r="U153" s="301">
        <v>0</v>
      </c>
      <c r="V153" s="301">
        <v>0</v>
      </c>
      <c r="W153" s="301">
        <v>0</v>
      </c>
      <c r="X153" s="510">
        <v>0</v>
      </c>
      <c r="Y153" s="305">
        <v>0</v>
      </c>
      <c r="Z153" s="301">
        <v>0</v>
      </c>
      <c r="AA153" s="301">
        <v>0</v>
      </c>
      <c r="AB153" s="301">
        <v>0</v>
      </c>
      <c r="AC153" s="304">
        <f>AF153</f>
        <v>0</v>
      </c>
      <c r="AD153" s="301">
        <v>0</v>
      </c>
      <c r="AE153" s="301">
        <v>0</v>
      </c>
      <c r="AF153" s="301">
        <v>0</v>
      </c>
      <c r="AG153" s="510">
        <v>0</v>
      </c>
      <c r="AH153" s="304">
        <f>AK153</f>
        <v>0</v>
      </c>
      <c r="AI153" s="301">
        <v>0</v>
      </c>
      <c r="AJ153" s="301">
        <v>0</v>
      </c>
      <c r="AK153" s="301">
        <v>0</v>
      </c>
      <c r="AL153" s="306"/>
    </row>
    <row r="154" spans="1:51" s="266" customFormat="1" ht="35.4" customHeight="1" outlineLevel="1" x14ac:dyDescent="0.25">
      <c r="A154" s="303" t="s">
        <v>598</v>
      </c>
      <c r="B154" s="302" t="s">
        <v>1395</v>
      </c>
      <c r="C154" s="303">
        <v>0</v>
      </c>
      <c r="D154" s="301">
        <f t="shared" si="29"/>
        <v>0</v>
      </c>
      <c r="E154" s="301">
        <v>0</v>
      </c>
      <c r="F154" s="304">
        <v>0</v>
      </c>
      <c r="G154" s="301">
        <v>0</v>
      </c>
      <c r="H154" s="301">
        <v>0</v>
      </c>
      <c r="I154" s="303">
        <v>0</v>
      </c>
      <c r="J154" s="307">
        <v>0</v>
      </c>
      <c r="K154" s="303">
        <v>0</v>
      </c>
      <c r="L154" s="301">
        <v>0</v>
      </c>
      <c r="M154" s="301">
        <v>0</v>
      </c>
      <c r="N154" s="301">
        <v>0</v>
      </c>
      <c r="O154" s="304">
        <v>0</v>
      </c>
      <c r="P154" s="301">
        <v>0</v>
      </c>
      <c r="Q154" s="301">
        <v>0</v>
      </c>
      <c r="R154" s="301">
        <v>0</v>
      </c>
      <c r="S154" s="301">
        <v>0</v>
      </c>
      <c r="T154" s="313">
        <v>0</v>
      </c>
      <c r="U154" s="314">
        <v>0</v>
      </c>
      <c r="V154" s="314">
        <v>0</v>
      </c>
      <c r="W154" s="314">
        <v>0</v>
      </c>
      <c r="X154" s="511"/>
      <c r="Y154" s="305">
        <v>0</v>
      </c>
      <c r="Z154" s="301">
        <v>0</v>
      </c>
      <c r="AA154" s="301">
        <v>0</v>
      </c>
      <c r="AB154" s="301">
        <v>0</v>
      </c>
      <c r="AC154" s="304">
        <v>0</v>
      </c>
      <c r="AD154" s="301">
        <v>0</v>
      </c>
      <c r="AE154" s="301">
        <v>0</v>
      </c>
      <c r="AF154" s="301">
        <v>0</v>
      </c>
      <c r="AG154" s="511">
        <v>0</v>
      </c>
      <c r="AH154" s="304">
        <f>AJ154+AK154</f>
        <v>0</v>
      </c>
      <c r="AI154" s="301">
        <v>0</v>
      </c>
      <c r="AJ154" s="301">
        <v>0</v>
      </c>
      <c r="AK154" s="301">
        <v>0</v>
      </c>
      <c r="AL154" s="306"/>
    </row>
    <row r="155" spans="1:51" s="265" customFormat="1" ht="150" customHeight="1" outlineLevel="1" x14ac:dyDescent="0.3">
      <c r="A155" s="308" t="s">
        <v>599</v>
      </c>
      <c r="B155" s="432" t="s">
        <v>600</v>
      </c>
      <c r="C155" s="431">
        <f>E155+I155+N155+S155+X155+AB155+AG155</f>
        <v>0</v>
      </c>
      <c r="D155" s="297">
        <f>F155+J155+O155+T155+Y155+AC155+AH155</f>
        <v>0</v>
      </c>
      <c r="E155" s="297">
        <v>0</v>
      </c>
      <c r="F155" s="297">
        <f>F156+F157+F158+F159+F160</f>
        <v>0</v>
      </c>
      <c r="G155" s="297">
        <f t="shared" ref="G155:AJ155" si="30">G156+G157+G158+G159+G160</f>
        <v>0</v>
      </c>
      <c r="H155" s="297">
        <f t="shared" si="30"/>
        <v>0</v>
      </c>
      <c r="I155" s="297">
        <f t="shared" si="30"/>
        <v>0</v>
      </c>
      <c r="J155" s="297">
        <f t="shared" si="30"/>
        <v>0</v>
      </c>
      <c r="K155" s="297">
        <v>0</v>
      </c>
      <c r="L155" s="297">
        <f t="shared" si="30"/>
        <v>0</v>
      </c>
      <c r="M155" s="297">
        <f t="shared" si="30"/>
        <v>0</v>
      </c>
      <c r="N155" s="297">
        <f t="shared" si="30"/>
        <v>0</v>
      </c>
      <c r="O155" s="297">
        <f t="shared" si="30"/>
        <v>0</v>
      </c>
      <c r="P155" s="297">
        <v>0</v>
      </c>
      <c r="Q155" s="297">
        <f t="shared" si="30"/>
        <v>0</v>
      </c>
      <c r="R155" s="297">
        <f t="shared" si="30"/>
        <v>0</v>
      </c>
      <c r="S155" s="297">
        <f t="shared" si="30"/>
        <v>0</v>
      </c>
      <c r="T155" s="297">
        <f t="shared" si="30"/>
        <v>0</v>
      </c>
      <c r="U155" s="297">
        <v>0</v>
      </c>
      <c r="V155" s="298">
        <f t="shared" si="30"/>
        <v>0</v>
      </c>
      <c r="W155" s="298">
        <f t="shared" si="30"/>
        <v>0</v>
      </c>
      <c r="X155" s="508">
        <f t="shared" si="30"/>
        <v>0</v>
      </c>
      <c r="Y155" s="298">
        <f t="shared" si="30"/>
        <v>0</v>
      </c>
      <c r="Z155" s="297">
        <f t="shared" si="30"/>
        <v>0</v>
      </c>
      <c r="AA155" s="297">
        <f t="shared" si="30"/>
        <v>0</v>
      </c>
      <c r="AB155" s="297">
        <f t="shared" si="30"/>
        <v>0</v>
      </c>
      <c r="AC155" s="297">
        <f t="shared" si="30"/>
        <v>0</v>
      </c>
      <c r="AD155" s="298">
        <v>0</v>
      </c>
      <c r="AE155" s="297">
        <f t="shared" si="30"/>
        <v>0</v>
      </c>
      <c r="AF155" s="297">
        <f t="shared" si="30"/>
        <v>0</v>
      </c>
      <c r="AG155" s="508">
        <f t="shared" si="30"/>
        <v>0</v>
      </c>
      <c r="AH155" s="297">
        <f t="shared" si="30"/>
        <v>0</v>
      </c>
      <c r="AI155" s="297">
        <v>0</v>
      </c>
      <c r="AJ155" s="297">
        <f t="shared" si="30"/>
        <v>0</v>
      </c>
      <c r="AK155" s="431">
        <f>AK156+AK157+AK158+AK159+AK160</f>
        <v>0</v>
      </c>
      <c r="AL155" s="299"/>
      <c r="AM155" s="206"/>
      <c r="AN155" s="206"/>
      <c r="AO155" s="206"/>
      <c r="AP155" s="206"/>
      <c r="AQ155" s="206"/>
      <c r="AR155" s="206"/>
      <c r="AS155" s="206"/>
      <c r="AT155" s="206"/>
      <c r="AU155" s="206"/>
      <c r="AV155" s="206"/>
      <c r="AW155" s="206"/>
      <c r="AX155" s="206"/>
      <c r="AY155" s="206"/>
    </row>
    <row r="156" spans="1:51" s="266" customFormat="1" ht="185.4" customHeight="1" outlineLevel="1" x14ac:dyDescent="0.25">
      <c r="A156" s="303" t="s">
        <v>601</v>
      </c>
      <c r="B156" s="302" t="s">
        <v>602</v>
      </c>
      <c r="C156" s="303">
        <v>0</v>
      </c>
      <c r="D156" s="301">
        <f t="shared" si="29"/>
        <v>0</v>
      </c>
      <c r="E156" s="301">
        <v>0</v>
      </c>
      <c r="F156" s="304">
        <v>0</v>
      </c>
      <c r="G156" s="301">
        <v>0</v>
      </c>
      <c r="H156" s="301">
        <v>0</v>
      </c>
      <c r="I156" s="303">
        <v>0</v>
      </c>
      <c r="J156" s="307">
        <v>0</v>
      </c>
      <c r="K156" s="303">
        <v>0</v>
      </c>
      <c r="L156" s="301">
        <v>0</v>
      </c>
      <c r="M156" s="301">
        <v>0</v>
      </c>
      <c r="N156" s="301"/>
      <c r="O156" s="304">
        <v>0</v>
      </c>
      <c r="P156" s="301">
        <v>0</v>
      </c>
      <c r="Q156" s="301">
        <v>0</v>
      </c>
      <c r="R156" s="301">
        <v>0</v>
      </c>
      <c r="S156" s="301">
        <v>0</v>
      </c>
      <c r="T156" s="304">
        <v>0</v>
      </c>
      <c r="U156" s="301">
        <v>0</v>
      </c>
      <c r="V156" s="301">
        <v>0</v>
      </c>
      <c r="W156" s="301">
        <v>0</v>
      </c>
      <c r="X156" s="510">
        <v>0</v>
      </c>
      <c r="Y156" s="305">
        <v>0</v>
      </c>
      <c r="Z156" s="301">
        <v>0</v>
      </c>
      <c r="AA156" s="301">
        <v>0</v>
      </c>
      <c r="AB156" s="301">
        <v>0</v>
      </c>
      <c r="AC156" s="304">
        <f>AF156</f>
        <v>0</v>
      </c>
      <c r="AD156" s="301">
        <v>0</v>
      </c>
      <c r="AE156" s="301">
        <v>0</v>
      </c>
      <c r="AF156" s="301">
        <v>0</v>
      </c>
      <c r="AG156" s="510">
        <v>0</v>
      </c>
      <c r="AH156" s="304">
        <f>AK156</f>
        <v>0</v>
      </c>
      <c r="AI156" s="301">
        <v>0</v>
      </c>
      <c r="AJ156" s="301">
        <v>0</v>
      </c>
      <c r="AK156" s="301">
        <v>0</v>
      </c>
      <c r="AL156" s="306"/>
    </row>
    <row r="157" spans="1:51" s="266" customFormat="1" ht="220.95" customHeight="1" outlineLevel="1" x14ac:dyDescent="0.25">
      <c r="A157" s="303" t="s">
        <v>603</v>
      </c>
      <c r="B157" s="302" t="s">
        <v>423</v>
      </c>
      <c r="C157" s="303">
        <v>0</v>
      </c>
      <c r="D157" s="301">
        <f t="shared" si="29"/>
        <v>0</v>
      </c>
      <c r="E157" s="301">
        <v>0</v>
      </c>
      <c r="F157" s="304">
        <v>0</v>
      </c>
      <c r="G157" s="301">
        <v>0</v>
      </c>
      <c r="H157" s="301">
        <v>0</v>
      </c>
      <c r="I157" s="303">
        <v>0</v>
      </c>
      <c r="J157" s="307">
        <v>0</v>
      </c>
      <c r="K157" s="303">
        <v>0</v>
      </c>
      <c r="L157" s="301">
        <v>0</v>
      </c>
      <c r="M157" s="301">
        <v>0</v>
      </c>
      <c r="N157" s="301">
        <v>0</v>
      </c>
      <c r="O157" s="304">
        <v>0</v>
      </c>
      <c r="P157" s="301">
        <v>0</v>
      </c>
      <c r="Q157" s="301">
        <v>0</v>
      </c>
      <c r="R157" s="301">
        <v>0</v>
      </c>
      <c r="S157" s="301">
        <v>0</v>
      </c>
      <c r="T157" s="304">
        <v>0</v>
      </c>
      <c r="U157" s="301">
        <v>0</v>
      </c>
      <c r="V157" s="301">
        <v>0</v>
      </c>
      <c r="W157" s="301">
        <v>0</v>
      </c>
      <c r="X157" s="510">
        <v>0</v>
      </c>
      <c r="Y157" s="305">
        <v>0</v>
      </c>
      <c r="Z157" s="301">
        <v>0</v>
      </c>
      <c r="AA157" s="301">
        <v>0</v>
      </c>
      <c r="AB157" s="301">
        <v>0</v>
      </c>
      <c r="AC157" s="304">
        <v>0</v>
      </c>
      <c r="AD157" s="301">
        <v>0</v>
      </c>
      <c r="AE157" s="301">
        <v>0</v>
      </c>
      <c r="AF157" s="301">
        <v>0</v>
      </c>
      <c r="AG157" s="510">
        <v>0</v>
      </c>
      <c r="AH157" s="304">
        <v>0</v>
      </c>
      <c r="AI157" s="301">
        <v>0</v>
      </c>
      <c r="AJ157" s="301">
        <v>0</v>
      </c>
      <c r="AK157" s="301">
        <v>0</v>
      </c>
      <c r="AL157" s="306"/>
    </row>
    <row r="158" spans="1:51" s="266" customFormat="1" ht="37.5" customHeight="1" outlineLevel="1" x14ac:dyDescent="0.25">
      <c r="A158" s="303" t="s">
        <v>604</v>
      </c>
      <c r="B158" s="302" t="s">
        <v>435</v>
      </c>
      <c r="C158" s="303">
        <v>0</v>
      </c>
      <c r="D158" s="301">
        <f t="shared" si="29"/>
        <v>0</v>
      </c>
      <c r="E158" s="301">
        <v>0</v>
      </c>
      <c r="F158" s="304">
        <v>0</v>
      </c>
      <c r="G158" s="301">
        <v>0</v>
      </c>
      <c r="H158" s="301">
        <v>0</v>
      </c>
      <c r="I158" s="303">
        <v>0</v>
      </c>
      <c r="J158" s="307">
        <v>0</v>
      </c>
      <c r="K158" s="303">
        <v>0</v>
      </c>
      <c r="L158" s="301">
        <v>0</v>
      </c>
      <c r="M158" s="301">
        <v>0</v>
      </c>
      <c r="N158" s="301">
        <v>0</v>
      </c>
      <c r="O158" s="304">
        <v>0</v>
      </c>
      <c r="P158" s="301">
        <v>0</v>
      </c>
      <c r="Q158" s="301">
        <v>0</v>
      </c>
      <c r="R158" s="301">
        <v>0</v>
      </c>
      <c r="S158" s="301">
        <v>0</v>
      </c>
      <c r="T158" s="304">
        <v>0</v>
      </c>
      <c r="U158" s="301">
        <v>0</v>
      </c>
      <c r="V158" s="301">
        <v>0</v>
      </c>
      <c r="W158" s="301">
        <v>0</v>
      </c>
      <c r="X158" s="510">
        <v>0</v>
      </c>
      <c r="Y158" s="305">
        <v>0</v>
      </c>
      <c r="Z158" s="301">
        <v>0</v>
      </c>
      <c r="AA158" s="301">
        <v>0</v>
      </c>
      <c r="AB158" s="301">
        <v>0</v>
      </c>
      <c r="AC158" s="304">
        <v>0</v>
      </c>
      <c r="AD158" s="301">
        <v>0</v>
      </c>
      <c r="AE158" s="301">
        <v>0</v>
      </c>
      <c r="AF158" s="301">
        <v>0</v>
      </c>
      <c r="AG158" s="510">
        <v>0</v>
      </c>
      <c r="AH158" s="304">
        <v>0</v>
      </c>
      <c r="AI158" s="301">
        <v>0</v>
      </c>
      <c r="AJ158" s="301">
        <v>0</v>
      </c>
      <c r="AK158" s="301">
        <v>0</v>
      </c>
      <c r="AL158" s="306"/>
    </row>
    <row r="159" spans="1:51" s="266" customFormat="1" ht="105" customHeight="1" outlineLevel="1" x14ac:dyDescent="0.25">
      <c r="A159" s="303" t="s">
        <v>605</v>
      </c>
      <c r="B159" s="302" t="s">
        <v>1397</v>
      </c>
      <c r="C159" s="303">
        <v>0</v>
      </c>
      <c r="D159" s="301">
        <f t="shared" si="29"/>
        <v>0</v>
      </c>
      <c r="E159" s="301">
        <v>0</v>
      </c>
      <c r="F159" s="304">
        <v>0</v>
      </c>
      <c r="G159" s="301">
        <v>0</v>
      </c>
      <c r="H159" s="301">
        <v>0</v>
      </c>
      <c r="I159" s="303">
        <v>0</v>
      </c>
      <c r="J159" s="307">
        <v>0</v>
      </c>
      <c r="K159" s="303">
        <v>0</v>
      </c>
      <c r="L159" s="301">
        <v>0</v>
      </c>
      <c r="M159" s="301">
        <v>0</v>
      </c>
      <c r="N159" s="301">
        <v>0</v>
      </c>
      <c r="O159" s="304">
        <v>0</v>
      </c>
      <c r="P159" s="301">
        <v>0</v>
      </c>
      <c r="Q159" s="301">
        <v>0</v>
      </c>
      <c r="R159" s="301">
        <v>0</v>
      </c>
      <c r="S159" s="301">
        <v>0</v>
      </c>
      <c r="T159" s="304">
        <v>0</v>
      </c>
      <c r="U159" s="301">
        <v>0</v>
      </c>
      <c r="V159" s="301">
        <v>0</v>
      </c>
      <c r="W159" s="301">
        <v>0</v>
      </c>
      <c r="X159" s="510">
        <v>0</v>
      </c>
      <c r="Y159" s="315">
        <v>0</v>
      </c>
      <c r="Z159" s="314">
        <v>0</v>
      </c>
      <c r="AA159" s="314">
        <v>0</v>
      </c>
      <c r="AB159" s="314">
        <v>0</v>
      </c>
      <c r="AC159" s="304">
        <f>AF159</f>
        <v>0</v>
      </c>
      <c r="AD159" s="301">
        <v>0</v>
      </c>
      <c r="AE159" s="301">
        <v>0</v>
      </c>
      <c r="AF159" s="301">
        <v>0</v>
      </c>
      <c r="AG159" s="510">
        <v>0</v>
      </c>
      <c r="AH159" s="304">
        <f>AK159</f>
        <v>0</v>
      </c>
      <c r="AI159" s="301">
        <v>0</v>
      </c>
      <c r="AJ159" s="301">
        <v>0</v>
      </c>
      <c r="AK159" s="301">
        <v>0</v>
      </c>
      <c r="AL159" s="306"/>
    </row>
    <row r="160" spans="1:51" s="266" customFormat="1" ht="42" customHeight="1" outlineLevel="1" x14ac:dyDescent="0.25">
      <c r="A160" s="303" t="s">
        <v>606</v>
      </c>
      <c r="B160" s="302" t="s">
        <v>1395</v>
      </c>
      <c r="C160" s="303">
        <f>E160+I160+N160+S160+X160+AB160+AG160</f>
        <v>0</v>
      </c>
      <c r="D160" s="301">
        <f t="shared" si="29"/>
        <v>0</v>
      </c>
      <c r="E160" s="301">
        <v>0</v>
      </c>
      <c r="F160" s="304">
        <v>0</v>
      </c>
      <c r="G160" s="301">
        <v>0</v>
      </c>
      <c r="H160" s="301">
        <v>0</v>
      </c>
      <c r="I160" s="303">
        <v>0</v>
      </c>
      <c r="J160" s="307">
        <v>0</v>
      </c>
      <c r="K160" s="303">
        <v>0</v>
      </c>
      <c r="L160" s="301">
        <v>0</v>
      </c>
      <c r="M160" s="301">
        <v>0</v>
      </c>
      <c r="N160" s="301">
        <v>0</v>
      </c>
      <c r="O160" s="304">
        <v>0</v>
      </c>
      <c r="P160" s="301">
        <v>0</v>
      </c>
      <c r="Q160" s="301">
        <v>0</v>
      </c>
      <c r="R160" s="301">
        <v>0</v>
      </c>
      <c r="S160" s="301">
        <v>0</v>
      </c>
      <c r="T160" s="304">
        <v>0</v>
      </c>
      <c r="U160" s="301">
        <v>0</v>
      </c>
      <c r="V160" s="301">
        <v>0</v>
      </c>
      <c r="W160" s="301">
        <v>0</v>
      </c>
      <c r="X160" s="510">
        <v>0</v>
      </c>
      <c r="Y160" s="305">
        <v>0</v>
      </c>
      <c r="Z160" s="301">
        <v>0</v>
      </c>
      <c r="AA160" s="301">
        <v>0</v>
      </c>
      <c r="AB160" s="301">
        <v>0</v>
      </c>
      <c r="AC160" s="313">
        <v>0</v>
      </c>
      <c r="AD160" s="314">
        <v>0</v>
      </c>
      <c r="AE160" s="314">
        <v>0</v>
      </c>
      <c r="AF160" s="314">
        <v>0</v>
      </c>
      <c r="AG160" s="511">
        <v>0</v>
      </c>
      <c r="AH160" s="304">
        <v>0</v>
      </c>
      <c r="AI160" s="301">
        <v>0</v>
      </c>
      <c r="AJ160" s="301">
        <v>0</v>
      </c>
      <c r="AK160" s="301">
        <v>0</v>
      </c>
      <c r="AL160" s="306"/>
    </row>
    <row r="161" spans="1:51" s="265" customFormat="1" ht="109.95" customHeight="1" outlineLevel="1" x14ac:dyDescent="0.3">
      <c r="A161" s="431" t="s">
        <v>607</v>
      </c>
      <c r="B161" s="432" t="s">
        <v>608</v>
      </c>
      <c r="C161" s="431">
        <v>0</v>
      </c>
      <c r="D161" s="431">
        <f>F161+J161+O161+T161+Y161+AC161+AH161</f>
        <v>0</v>
      </c>
      <c r="E161" s="297">
        <v>0</v>
      </c>
      <c r="F161" s="297">
        <f>F162+F163+F164+F165+F166+F167</f>
        <v>0</v>
      </c>
      <c r="G161" s="297">
        <f t="shared" ref="G161:AK161" si="31">G162+G163+G164+G165+G166+G167</f>
        <v>0</v>
      </c>
      <c r="H161" s="297">
        <f t="shared" si="31"/>
        <v>0</v>
      </c>
      <c r="I161" s="297">
        <f t="shared" si="31"/>
        <v>0</v>
      </c>
      <c r="J161" s="297">
        <f t="shared" si="31"/>
        <v>0</v>
      </c>
      <c r="K161" s="297">
        <v>0</v>
      </c>
      <c r="L161" s="297">
        <f t="shared" si="31"/>
        <v>0</v>
      </c>
      <c r="M161" s="297">
        <f t="shared" si="31"/>
        <v>0</v>
      </c>
      <c r="N161" s="297">
        <f t="shared" si="31"/>
        <v>0</v>
      </c>
      <c r="O161" s="297">
        <f t="shared" si="31"/>
        <v>0</v>
      </c>
      <c r="P161" s="297">
        <v>0</v>
      </c>
      <c r="Q161" s="297">
        <f t="shared" si="31"/>
        <v>0</v>
      </c>
      <c r="R161" s="297">
        <f t="shared" si="31"/>
        <v>0</v>
      </c>
      <c r="S161" s="297">
        <v>0</v>
      </c>
      <c r="T161" s="297">
        <f>T162+T163+T164+T165+T166+T167</f>
        <v>0</v>
      </c>
      <c r="U161" s="297">
        <v>0</v>
      </c>
      <c r="V161" s="298">
        <f>V162+V163+V164+V165+V166+V167</f>
        <v>0</v>
      </c>
      <c r="W161" s="298">
        <f>W162+W163+W164+W165+W166+W167</f>
        <v>0</v>
      </c>
      <c r="X161" s="508">
        <f t="shared" si="31"/>
        <v>0</v>
      </c>
      <c r="Y161" s="298">
        <f t="shared" si="31"/>
        <v>0</v>
      </c>
      <c r="Z161" s="297">
        <f t="shared" si="31"/>
        <v>0</v>
      </c>
      <c r="AA161" s="297">
        <f t="shared" si="31"/>
        <v>0</v>
      </c>
      <c r="AB161" s="297">
        <f t="shared" si="31"/>
        <v>0</v>
      </c>
      <c r="AC161" s="297">
        <f t="shared" si="31"/>
        <v>0</v>
      </c>
      <c r="AD161" s="298">
        <v>0</v>
      </c>
      <c r="AE161" s="297">
        <f t="shared" si="31"/>
        <v>0</v>
      </c>
      <c r="AF161" s="297">
        <f t="shared" si="31"/>
        <v>0</v>
      </c>
      <c r="AG161" s="508">
        <f t="shared" si="31"/>
        <v>0</v>
      </c>
      <c r="AH161" s="297">
        <f t="shared" si="31"/>
        <v>0</v>
      </c>
      <c r="AI161" s="297">
        <v>0</v>
      </c>
      <c r="AJ161" s="297">
        <f t="shared" si="31"/>
        <v>0</v>
      </c>
      <c r="AK161" s="297">
        <f t="shared" si="31"/>
        <v>0</v>
      </c>
      <c r="AL161" s="299"/>
      <c r="AM161" s="206"/>
      <c r="AN161" s="206"/>
      <c r="AO161" s="206"/>
      <c r="AP161" s="206"/>
      <c r="AQ161" s="206"/>
      <c r="AR161" s="206"/>
      <c r="AS161" s="206"/>
      <c r="AT161" s="206"/>
      <c r="AU161" s="206"/>
      <c r="AV161" s="206"/>
      <c r="AW161" s="206"/>
      <c r="AX161" s="206"/>
      <c r="AY161" s="206"/>
    </row>
    <row r="162" spans="1:51" s="266" customFormat="1" ht="176.4" customHeight="1" outlineLevel="1" x14ac:dyDescent="0.25">
      <c r="A162" s="303" t="s">
        <v>609</v>
      </c>
      <c r="B162" s="302" t="s">
        <v>610</v>
      </c>
      <c r="C162" s="303">
        <v>0</v>
      </c>
      <c r="D162" s="301">
        <f t="shared" si="29"/>
        <v>0</v>
      </c>
      <c r="E162" s="301">
        <v>0</v>
      </c>
      <c r="F162" s="304">
        <v>0</v>
      </c>
      <c r="G162" s="301">
        <v>0</v>
      </c>
      <c r="H162" s="301">
        <v>0</v>
      </c>
      <c r="I162" s="303">
        <v>0</v>
      </c>
      <c r="J162" s="307">
        <v>0</v>
      </c>
      <c r="K162" s="303">
        <v>0</v>
      </c>
      <c r="L162" s="301">
        <v>0</v>
      </c>
      <c r="M162" s="301">
        <v>0</v>
      </c>
      <c r="N162" s="301">
        <v>0</v>
      </c>
      <c r="O162" s="304">
        <v>0</v>
      </c>
      <c r="P162" s="301">
        <v>0</v>
      </c>
      <c r="Q162" s="301">
        <v>0</v>
      </c>
      <c r="R162" s="301">
        <v>0</v>
      </c>
      <c r="S162" s="301">
        <v>0</v>
      </c>
      <c r="T162" s="304">
        <v>0</v>
      </c>
      <c r="U162" s="301">
        <v>0</v>
      </c>
      <c r="V162" s="301"/>
      <c r="W162" s="301">
        <v>0</v>
      </c>
      <c r="X162" s="510"/>
      <c r="Y162" s="305">
        <v>0</v>
      </c>
      <c r="Z162" s="301">
        <v>0</v>
      </c>
      <c r="AA162" s="301">
        <v>0</v>
      </c>
      <c r="AB162" s="301">
        <v>0</v>
      </c>
      <c r="AC162" s="304">
        <f>AF162</f>
        <v>0</v>
      </c>
      <c r="AD162" s="301">
        <v>0</v>
      </c>
      <c r="AE162" s="301">
        <v>0</v>
      </c>
      <c r="AF162" s="301">
        <v>0</v>
      </c>
      <c r="AG162" s="510">
        <v>0</v>
      </c>
      <c r="AH162" s="304">
        <f>AK162</f>
        <v>0</v>
      </c>
      <c r="AI162" s="301">
        <v>0</v>
      </c>
      <c r="AJ162" s="301">
        <v>0</v>
      </c>
      <c r="AK162" s="301">
        <v>0</v>
      </c>
      <c r="AL162" s="306"/>
    </row>
    <row r="163" spans="1:51" s="266" customFormat="1" ht="231" customHeight="1" outlineLevel="1" x14ac:dyDescent="0.25">
      <c r="A163" s="303" t="s">
        <v>611</v>
      </c>
      <c r="B163" s="302" t="s">
        <v>423</v>
      </c>
      <c r="C163" s="303">
        <v>0</v>
      </c>
      <c r="D163" s="301">
        <f t="shared" si="29"/>
        <v>0</v>
      </c>
      <c r="E163" s="301">
        <v>0</v>
      </c>
      <c r="F163" s="304">
        <v>0</v>
      </c>
      <c r="G163" s="301">
        <v>0</v>
      </c>
      <c r="H163" s="301">
        <v>0</v>
      </c>
      <c r="I163" s="303">
        <v>0</v>
      </c>
      <c r="J163" s="307">
        <v>0</v>
      </c>
      <c r="K163" s="303">
        <v>0</v>
      </c>
      <c r="L163" s="301">
        <v>0</v>
      </c>
      <c r="M163" s="301">
        <v>0</v>
      </c>
      <c r="N163" s="301">
        <v>0</v>
      </c>
      <c r="O163" s="304">
        <v>0</v>
      </c>
      <c r="P163" s="301">
        <v>0</v>
      </c>
      <c r="Q163" s="301">
        <v>0</v>
      </c>
      <c r="R163" s="301">
        <v>0</v>
      </c>
      <c r="S163" s="301">
        <v>0</v>
      </c>
      <c r="T163" s="304">
        <v>0</v>
      </c>
      <c r="U163" s="301">
        <v>0</v>
      </c>
      <c r="V163" s="301"/>
      <c r="W163" s="301">
        <v>0</v>
      </c>
      <c r="X163" s="510"/>
      <c r="Y163" s="305">
        <v>0</v>
      </c>
      <c r="Z163" s="301">
        <v>0</v>
      </c>
      <c r="AA163" s="301">
        <v>0</v>
      </c>
      <c r="AB163" s="301">
        <v>0</v>
      </c>
      <c r="AC163" s="304">
        <v>0</v>
      </c>
      <c r="AD163" s="301">
        <v>0</v>
      </c>
      <c r="AE163" s="301">
        <v>0</v>
      </c>
      <c r="AF163" s="301">
        <v>0</v>
      </c>
      <c r="AG163" s="510">
        <v>0</v>
      </c>
      <c r="AH163" s="313">
        <v>0</v>
      </c>
      <c r="AI163" s="314">
        <v>0</v>
      </c>
      <c r="AJ163" s="314">
        <v>0</v>
      </c>
      <c r="AK163" s="314">
        <v>0</v>
      </c>
      <c r="AL163" s="306"/>
    </row>
    <row r="164" spans="1:51" s="266" customFormat="1" ht="45" customHeight="1" outlineLevel="1" x14ac:dyDescent="0.25">
      <c r="A164" s="303" t="s">
        <v>612</v>
      </c>
      <c r="B164" s="302" t="s">
        <v>435</v>
      </c>
      <c r="C164" s="303">
        <v>0</v>
      </c>
      <c r="D164" s="301">
        <f t="shared" si="29"/>
        <v>0</v>
      </c>
      <c r="E164" s="301">
        <v>0</v>
      </c>
      <c r="F164" s="304">
        <v>0</v>
      </c>
      <c r="G164" s="301">
        <v>0</v>
      </c>
      <c r="H164" s="301">
        <v>0</v>
      </c>
      <c r="I164" s="303">
        <v>0</v>
      </c>
      <c r="J164" s="307">
        <v>0</v>
      </c>
      <c r="K164" s="303">
        <v>0</v>
      </c>
      <c r="L164" s="301">
        <v>0</v>
      </c>
      <c r="M164" s="301">
        <v>0</v>
      </c>
      <c r="N164" s="301">
        <v>0</v>
      </c>
      <c r="O164" s="304">
        <v>0</v>
      </c>
      <c r="P164" s="301">
        <v>0</v>
      </c>
      <c r="Q164" s="301">
        <v>0</v>
      </c>
      <c r="R164" s="301">
        <v>0</v>
      </c>
      <c r="S164" s="301">
        <v>0</v>
      </c>
      <c r="T164" s="304">
        <v>0</v>
      </c>
      <c r="U164" s="301">
        <v>0</v>
      </c>
      <c r="V164" s="301">
        <v>0</v>
      </c>
      <c r="W164" s="301">
        <v>0</v>
      </c>
      <c r="X164" s="510">
        <v>0</v>
      </c>
      <c r="Y164" s="305">
        <v>0</v>
      </c>
      <c r="Z164" s="301">
        <v>0</v>
      </c>
      <c r="AA164" s="301">
        <v>0</v>
      </c>
      <c r="AB164" s="301">
        <v>0</v>
      </c>
      <c r="AC164" s="304">
        <v>0</v>
      </c>
      <c r="AD164" s="301">
        <v>0</v>
      </c>
      <c r="AE164" s="301">
        <v>0</v>
      </c>
      <c r="AF164" s="301">
        <v>0</v>
      </c>
      <c r="AG164" s="510">
        <v>0</v>
      </c>
      <c r="AH164" s="313">
        <v>0</v>
      </c>
      <c r="AI164" s="314">
        <v>0</v>
      </c>
      <c r="AJ164" s="314">
        <v>0</v>
      </c>
      <c r="AK164" s="314">
        <v>0</v>
      </c>
      <c r="AL164" s="306"/>
    </row>
    <row r="165" spans="1:51" s="266" customFormat="1" ht="150.6" customHeight="1" outlineLevel="1" x14ac:dyDescent="0.25">
      <c r="A165" s="303" t="s">
        <v>613</v>
      </c>
      <c r="B165" s="302" t="s">
        <v>1398</v>
      </c>
      <c r="C165" s="303">
        <v>0</v>
      </c>
      <c r="D165" s="301">
        <f t="shared" si="29"/>
        <v>0</v>
      </c>
      <c r="E165" s="301">
        <v>0</v>
      </c>
      <c r="F165" s="304">
        <v>0</v>
      </c>
      <c r="G165" s="301">
        <v>0</v>
      </c>
      <c r="H165" s="301">
        <v>0</v>
      </c>
      <c r="I165" s="303">
        <v>0</v>
      </c>
      <c r="J165" s="307">
        <v>0</v>
      </c>
      <c r="K165" s="303">
        <v>0</v>
      </c>
      <c r="L165" s="301">
        <v>0</v>
      </c>
      <c r="M165" s="301">
        <v>0</v>
      </c>
      <c r="N165" s="301">
        <v>0</v>
      </c>
      <c r="O165" s="304">
        <v>0</v>
      </c>
      <c r="P165" s="301">
        <v>0</v>
      </c>
      <c r="Q165" s="301">
        <v>0</v>
      </c>
      <c r="R165" s="301">
        <v>0</v>
      </c>
      <c r="S165" s="301">
        <v>0</v>
      </c>
      <c r="T165" s="304">
        <v>0</v>
      </c>
      <c r="U165" s="301">
        <v>0</v>
      </c>
      <c r="V165" s="301">
        <v>0</v>
      </c>
      <c r="W165" s="301">
        <v>0</v>
      </c>
      <c r="X165" s="510">
        <v>0</v>
      </c>
      <c r="Y165" s="305">
        <v>0</v>
      </c>
      <c r="Z165" s="301">
        <v>0</v>
      </c>
      <c r="AA165" s="301">
        <v>0</v>
      </c>
      <c r="AB165" s="301">
        <v>0</v>
      </c>
      <c r="AC165" s="304">
        <v>0</v>
      </c>
      <c r="AD165" s="301">
        <v>0</v>
      </c>
      <c r="AE165" s="301">
        <v>0</v>
      </c>
      <c r="AF165" s="301">
        <v>0</v>
      </c>
      <c r="AG165" s="510">
        <v>0</v>
      </c>
      <c r="AH165" s="313">
        <v>0</v>
      </c>
      <c r="AI165" s="314">
        <v>0</v>
      </c>
      <c r="AJ165" s="314">
        <v>0</v>
      </c>
      <c r="AK165" s="314">
        <v>0</v>
      </c>
      <c r="AL165" s="306"/>
    </row>
    <row r="166" spans="1:51" s="266" customFormat="1" ht="106.2" customHeight="1" outlineLevel="1" x14ac:dyDescent="0.25">
      <c r="A166" s="303" t="s">
        <v>614</v>
      </c>
      <c r="B166" s="302" t="s">
        <v>1399</v>
      </c>
      <c r="C166" s="303">
        <v>0</v>
      </c>
      <c r="D166" s="301">
        <f t="shared" si="29"/>
        <v>0</v>
      </c>
      <c r="E166" s="301">
        <v>1</v>
      </c>
      <c r="F166" s="304">
        <v>0</v>
      </c>
      <c r="G166" s="301">
        <v>0</v>
      </c>
      <c r="H166" s="301">
        <v>0</v>
      </c>
      <c r="I166" s="303">
        <v>0</v>
      </c>
      <c r="J166" s="307">
        <v>0</v>
      </c>
      <c r="K166" s="303">
        <v>0</v>
      </c>
      <c r="L166" s="301">
        <v>0</v>
      </c>
      <c r="M166" s="301">
        <v>0</v>
      </c>
      <c r="N166" s="301">
        <v>0</v>
      </c>
      <c r="O166" s="304">
        <v>0</v>
      </c>
      <c r="P166" s="301">
        <v>0</v>
      </c>
      <c r="Q166" s="301">
        <v>0</v>
      </c>
      <c r="R166" s="301">
        <v>0</v>
      </c>
      <c r="S166" s="301">
        <v>0</v>
      </c>
      <c r="T166" s="304">
        <v>0</v>
      </c>
      <c r="U166" s="301">
        <v>0</v>
      </c>
      <c r="V166" s="301">
        <v>0</v>
      </c>
      <c r="W166" s="301">
        <v>0</v>
      </c>
      <c r="X166" s="510">
        <v>0</v>
      </c>
      <c r="Y166" s="305">
        <v>0</v>
      </c>
      <c r="Z166" s="301">
        <v>0</v>
      </c>
      <c r="AA166" s="301">
        <v>0</v>
      </c>
      <c r="AB166" s="301">
        <v>0</v>
      </c>
      <c r="AC166" s="304">
        <v>0</v>
      </c>
      <c r="AD166" s="301">
        <v>0</v>
      </c>
      <c r="AE166" s="301">
        <v>0</v>
      </c>
      <c r="AF166" s="301">
        <v>0</v>
      </c>
      <c r="AG166" s="510">
        <v>0</v>
      </c>
      <c r="AH166" s="313">
        <v>0</v>
      </c>
      <c r="AI166" s="314">
        <v>0</v>
      </c>
      <c r="AJ166" s="314">
        <v>0</v>
      </c>
      <c r="AK166" s="314">
        <v>0</v>
      </c>
      <c r="AL166" s="306"/>
    </row>
    <row r="167" spans="1:51" s="266" customFormat="1" ht="157.19999999999999" customHeight="1" outlineLevel="1" x14ac:dyDescent="0.25">
      <c r="A167" s="303" t="s">
        <v>615</v>
      </c>
      <c r="B167" s="302" t="s">
        <v>1400</v>
      </c>
      <c r="C167" s="303">
        <v>0</v>
      </c>
      <c r="D167" s="301">
        <f t="shared" si="29"/>
        <v>0</v>
      </c>
      <c r="E167" s="301">
        <v>0</v>
      </c>
      <c r="F167" s="304">
        <v>0</v>
      </c>
      <c r="G167" s="301">
        <v>0</v>
      </c>
      <c r="H167" s="301">
        <v>0</v>
      </c>
      <c r="I167" s="303">
        <v>0</v>
      </c>
      <c r="J167" s="307">
        <v>0</v>
      </c>
      <c r="K167" s="303">
        <v>0</v>
      </c>
      <c r="L167" s="301">
        <v>0</v>
      </c>
      <c r="M167" s="301">
        <v>0</v>
      </c>
      <c r="N167" s="301">
        <v>0</v>
      </c>
      <c r="O167" s="304">
        <v>0</v>
      </c>
      <c r="P167" s="301">
        <v>0</v>
      </c>
      <c r="Q167" s="301">
        <v>0</v>
      </c>
      <c r="R167" s="301">
        <v>0</v>
      </c>
      <c r="S167" s="301">
        <v>0</v>
      </c>
      <c r="T167" s="304">
        <v>0</v>
      </c>
      <c r="U167" s="301">
        <v>0</v>
      </c>
      <c r="V167" s="301">
        <v>0</v>
      </c>
      <c r="W167" s="301">
        <v>0</v>
      </c>
      <c r="X167" s="510">
        <v>0</v>
      </c>
      <c r="Y167" s="305">
        <v>0</v>
      </c>
      <c r="Z167" s="301">
        <v>0</v>
      </c>
      <c r="AA167" s="301">
        <v>0</v>
      </c>
      <c r="AB167" s="301">
        <v>0</v>
      </c>
      <c r="AC167" s="304">
        <v>0</v>
      </c>
      <c r="AD167" s="301">
        <v>0</v>
      </c>
      <c r="AE167" s="301">
        <v>0</v>
      </c>
      <c r="AF167" s="301">
        <v>0</v>
      </c>
      <c r="AG167" s="510">
        <v>0</v>
      </c>
      <c r="AH167" s="313">
        <v>0</v>
      </c>
      <c r="AI167" s="314"/>
      <c r="AJ167" s="314">
        <v>0</v>
      </c>
      <c r="AK167" s="314">
        <v>0</v>
      </c>
      <c r="AL167" s="306"/>
    </row>
    <row r="168" spans="1:51" s="265" customFormat="1" ht="109.95" customHeight="1" outlineLevel="1" x14ac:dyDescent="0.3">
      <c r="A168" s="431" t="s">
        <v>616</v>
      </c>
      <c r="B168" s="432" t="s">
        <v>617</v>
      </c>
      <c r="C168" s="431">
        <f>I168+N168+S168+X168+AB168+AG168</f>
        <v>0</v>
      </c>
      <c r="D168" s="297">
        <f>F168+J168+O168+T168+Y168+AC168+AH168</f>
        <v>716</v>
      </c>
      <c r="E168" s="297">
        <v>0</v>
      </c>
      <c r="F168" s="297">
        <f>F169+F170+F171+F172+F173</f>
        <v>0</v>
      </c>
      <c r="G168" s="297">
        <f t="shared" ref="G168:AK168" si="32">G169+G170+G171+G172+G173</f>
        <v>0</v>
      </c>
      <c r="H168" s="297">
        <f t="shared" si="32"/>
        <v>0</v>
      </c>
      <c r="I168" s="297">
        <f t="shared" si="32"/>
        <v>0</v>
      </c>
      <c r="J168" s="297">
        <f t="shared" si="32"/>
        <v>716</v>
      </c>
      <c r="K168" s="297">
        <v>0</v>
      </c>
      <c r="L168" s="297">
        <f t="shared" si="32"/>
        <v>0</v>
      </c>
      <c r="M168" s="297">
        <f t="shared" si="32"/>
        <v>716</v>
      </c>
      <c r="N168" s="297">
        <f t="shared" si="32"/>
        <v>0</v>
      </c>
      <c r="O168" s="297">
        <f t="shared" si="32"/>
        <v>0</v>
      </c>
      <c r="P168" s="297">
        <v>0</v>
      </c>
      <c r="Q168" s="297">
        <f t="shared" si="32"/>
        <v>0</v>
      </c>
      <c r="R168" s="297">
        <f t="shared" si="32"/>
        <v>0</v>
      </c>
      <c r="S168" s="297">
        <f t="shared" si="32"/>
        <v>0</v>
      </c>
      <c r="T168" s="297">
        <f t="shared" si="32"/>
        <v>0</v>
      </c>
      <c r="U168" s="297">
        <v>0</v>
      </c>
      <c r="V168" s="298">
        <f t="shared" si="32"/>
        <v>0</v>
      </c>
      <c r="W168" s="298">
        <f t="shared" si="32"/>
        <v>0</v>
      </c>
      <c r="X168" s="508">
        <f t="shared" si="32"/>
        <v>0</v>
      </c>
      <c r="Y168" s="298">
        <f t="shared" si="32"/>
        <v>0</v>
      </c>
      <c r="Z168" s="297">
        <f t="shared" si="32"/>
        <v>0</v>
      </c>
      <c r="AA168" s="297">
        <f t="shared" si="32"/>
        <v>0</v>
      </c>
      <c r="AB168" s="297">
        <v>0</v>
      </c>
      <c r="AC168" s="297">
        <f t="shared" si="32"/>
        <v>0</v>
      </c>
      <c r="AD168" s="298">
        <v>0</v>
      </c>
      <c r="AE168" s="297">
        <f t="shared" si="32"/>
        <v>0</v>
      </c>
      <c r="AF168" s="297">
        <f t="shared" si="32"/>
        <v>0</v>
      </c>
      <c r="AG168" s="508">
        <f t="shared" si="32"/>
        <v>0</v>
      </c>
      <c r="AH168" s="297">
        <f t="shared" si="32"/>
        <v>0</v>
      </c>
      <c r="AI168" s="297">
        <v>0</v>
      </c>
      <c r="AJ168" s="297">
        <f t="shared" si="32"/>
        <v>0</v>
      </c>
      <c r="AK168" s="297">
        <f t="shared" si="32"/>
        <v>0</v>
      </c>
      <c r="AL168" s="299"/>
      <c r="AM168" s="206"/>
      <c r="AN168" s="206"/>
      <c r="AO168" s="206"/>
      <c r="AP168" s="206"/>
      <c r="AQ168" s="206"/>
      <c r="AR168" s="206"/>
      <c r="AS168" s="206"/>
      <c r="AT168" s="206"/>
      <c r="AU168" s="206"/>
      <c r="AV168" s="206"/>
      <c r="AW168" s="206"/>
      <c r="AX168" s="206"/>
      <c r="AY168" s="206"/>
    </row>
    <row r="169" spans="1:51" s="266" customFormat="1" ht="136.19999999999999" customHeight="1" outlineLevel="1" x14ac:dyDescent="0.25">
      <c r="A169" s="303" t="s">
        <v>618</v>
      </c>
      <c r="B169" s="302" t="s">
        <v>619</v>
      </c>
      <c r="C169" s="303">
        <v>0</v>
      </c>
      <c r="D169" s="301">
        <f t="shared" si="29"/>
        <v>716</v>
      </c>
      <c r="E169" s="301">
        <v>0</v>
      </c>
      <c r="F169" s="304">
        <v>0</v>
      </c>
      <c r="G169" s="301">
        <v>0</v>
      </c>
      <c r="H169" s="301">
        <v>0</v>
      </c>
      <c r="I169" s="303">
        <v>0</v>
      </c>
      <c r="J169" s="307">
        <v>716</v>
      </c>
      <c r="K169" s="303">
        <v>0</v>
      </c>
      <c r="L169" s="301">
        <v>0</v>
      </c>
      <c r="M169" s="301">
        <v>716</v>
      </c>
      <c r="N169" s="301">
        <v>0</v>
      </c>
      <c r="O169" s="304">
        <v>0</v>
      </c>
      <c r="P169" s="301">
        <v>0</v>
      </c>
      <c r="Q169" s="301">
        <v>0</v>
      </c>
      <c r="R169" s="301">
        <v>0</v>
      </c>
      <c r="S169" s="301">
        <v>0</v>
      </c>
      <c r="T169" s="304">
        <f>SUM(V169:W169)</f>
        <v>0</v>
      </c>
      <c r="U169" s="301">
        <v>0</v>
      </c>
      <c r="V169" s="301">
        <v>0</v>
      </c>
      <c r="W169" s="301">
        <v>0</v>
      </c>
      <c r="X169" s="510">
        <v>0</v>
      </c>
      <c r="Y169" s="305">
        <v>0</v>
      </c>
      <c r="Z169" s="301">
        <v>0</v>
      </c>
      <c r="AA169" s="301">
        <v>0</v>
      </c>
      <c r="AB169" s="301">
        <v>0</v>
      </c>
      <c r="AC169" s="304">
        <f>AF169</f>
        <v>0</v>
      </c>
      <c r="AD169" s="301">
        <v>0</v>
      </c>
      <c r="AE169" s="301">
        <v>0</v>
      </c>
      <c r="AF169" s="301">
        <v>0</v>
      </c>
      <c r="AG169" s="510">
        <v>0</v>
      </c>
      <c r="AH169" s="304">
        <f>AK169</f>
        <v>0</v>
      </c>
      <c r="AI169" s="301">
        <v>0</v>
      </c>
      <c r="AJ169" s="301">
        <v>0</v>
      </c>
      <c r="AK169" s="301">
        <v>0</v>
      </c>
      <c r="AL169" s="306"/>
    </row>
    <row r="170" spans="1:51" s="266" customFormat="1" ht="222.6" customHeight="1" outlineLevel="1" x14ac:dyDescent="0.25">
      <c r="A170" s="303" t="s">
        <v>620</v>
      </c>
      <c r="B170" s="302" t="s">
        <v>423</v>
      </c>
      <c r="C170" s="303">
        <v>0</v>
      </c>
      <c r="D170" s="301">
        <f t="shared" si="29"/>
        <v>0</v>
      </c>
      <c r="E170" s="301">
        <v>0</v>
      </c>
      <c r="F170" s="304">
        <v>0</v>
      </c>
      <c r="G170" s="301">
        <v>0</v>
      </c>
      <c r="H170" s="301">
        <v>0</v>
      </c>
      <c r="I170" s="303">
        <v>0</v>
      </c>
      <c r="J170" s="307">
        <v>0</v>
      </c>
      <c r="K170" s="303">
        <v>0</v>
      </c>
      <c r="L170" s="301">
        <v>0</v>
      </c>
      <c r="M170" s="301">
        <v>0</v>
      </c>
      <c r="N170" s="301">
        <v>0</v>
      </c>
      <c r="O170" s="313">
        <v>0</v>
      </c>
      <c r="P170" s="314">
        <v>0</v>
      </c>
      <c r="Q170" s="314">
        <v>0</v>
      </c>
      <c r="R170" s="314">
        <v>0</v>
      </c>
      <c r="S170" s="314">
        <v>0</v>
      </c>
      <c r="T170" s="304">
        <v>0</v>
      </c>
      <c r="U170" s="301">
        <v>0</v>
      </c>
      <c r="V170" s="301">
        <v>0</v>
      </c>
      <c r="W170" s="301">
        <v>0</v>
      </c>
      <c r="X170" s="510">
        <v>0</v>
      </c>
      <c r="Y170" s="305">
        <v>0</v>
      </c>
      <c r="Z170" s="301">
        <v>0</v>
      </c>
      <c r="AA170" s="301">
        <v>0</v>
      </c>
      <c r="AB170" s="301">
        <v>0</v>
      </c>
      <c r="AC170" s="304">
        <f>AF170</f>
        <v>0</v>
      </c>
      <c r="AD170" s="301">
        <v>0</v>
      </c>
      <c r="AE170" s="301">
        <v>0</v>
      </c>
      <c r="AF170" s="301">
        <v>0</v>
      </c>
      <c r="AG170" s="510">
        <v>0</v>
      </c>
      <c r="AH170" s="304">
        <f>AK170</f>
        <v>0</v>
      </c>
      <c r="AI170" s="301">
        <v>0</v>
      </c>
      <c r="AJ170" s="301">
        <v>0</v>
      </c>
      <c r="AK170" s="301">
        <v>0</v>
      </c>
      <c r="AL170" s="306"/>
    </row>
    <row r="171" spans="1:51" s="266" customFormat="1" ht="40.65" customHeight="1" outlineLevel="1" x14ac:dyDescent="0.25">
      <c r="A171" s="303" t="s">
        <v>621</v>
      </c>
      <c r="B171" s="302" t="s">
        <v>435</v>
      </c>
      <c r="C171" s="303">
        <v>0</v>
      </c>
      <c r="D171" s="301">
        <f t="shared" si="29"/>
        <v>0</v>
      </c>
      <c r="E171" s="301">
        <v>0</v>
      </c>
      <c r="F171" s="304">
        <v>0</v>
      </c>
      <c r="G171" s="301">
        <v>0</v>
      </c>
      <c r="H171" s="301">
        <v>0</v>
      </c>
      <c r="I171" s="303">
        <v>0</v>
      </c>
      <c r="J171" s="307">
        <v>0</v>
      </c>
      <c r="K171" s="303">
        <v>0</v>
      </c>
      <c r="L171" s="301">
        <v>0</v>
      </c>
      <c r="M171" s="301">
        <v>0</v>
      </c>
      <c r="N171" s="301">
        <v>0</v>
      </c>
      <c r="O171" s="304">
        <v>0</v>
      </c>
      <c r="P171" s="301">
        <v>0</v>
      </c>
      <c r="Q171" s="301">
        <v>0</v>
      </c>
      <c r="R171" s="301">
        <v>0</v>
      </c>
      <c r="S171" s="301">
        <v>0</v>
      </c>
      <c r="T171" s="304">
        <v>0</v>
      </c>
      <c r="U171" s="301">
        <v>0</v>
      </c>
      <c r="V171" s="301">
        <v>0</v>
      </c>
      <c r="W171" s="301">
        <v>0</v>
      </c>
      <c r="X171" s="510">
        <v>0</v>
      </c>
      <c r="Y171" s="305">
        <v>0</v>
      </c>
      <c r="Z171" s="301">
        <v>0</v>
      </c>
      <c r="AA171" s="301">
        <v>0</v>
      </c>
      <c r="AB171" s="301">
        <v>0</v>
      </c>
      <c r="AC171" s="304">
        <f>AF171</f>
        <v>0</v>
      </c>
      <c r="AD171" s="301">
        <v>0</v>
      </c>
      <c r="AE171" s="301">
        <v>0</v>
      </c>
      <c r="AF171" s="301">
        <v>0</v>
      </c>
      <c r="AG171" s="510">
        <v>0</v>
      </c>
      <c r="AH171" s="304">
        <f>AK171</f>
        <v>0</v>
      </c>
      <c r="AI171" s="301">
        <v>0</v>
      </c>
      <c r="AJ171" s="301">
        <v>0</v>
      </c>
      <c r="AK171" s="301">
        <v>0</v>
      </c>
      <c r="AL171" s="306"/>
    </row>
    <row r="172" spans="1:51" s="266" customFormat="1" ht="144.6" customHeight="1" outlineLevel="1" x14ac:dyDescent="0.25">
      <c r="A172" s="303" t="s">
        <v>622</v>
      </c>
      <c r="B172" s="302" t="s">
        <v>623</v>
      </c>
      <c r="C172" s="303">
        <v>0</v>
      </c>
      <c r="D172" s="301">
        <f t="shared" si="29"/>
        <v>0</v>
      </c>
      <c r="E172" s="301"/>
      <c r="F172" s="304">
        <v>0</v>
      </c>
      <c r="G172" s="301">
        <v>0</v>
      </c>
      <c r="H172" s="301">
        <v>0</v>
      </c>
      <c r="I172" s="303">
        <v>0</v>
      </c>
      <c r="J172" s="307">
        <v>0</v>
      </c>
      <c r="K172" s="303">
        <v>0</v>
      </c>
      <c r="L172" s="301">
        <v>0</v>
      </c>
      <c r="M172" s="301">
        <v>0</v>
      </c>
      <c r="N172" s="301">
        <v>0</v>
      </c>
      <c r="O172" s="304">
        <v>0</v>
      </c>
      <c r="P172" s="301">
        <v>0</v>
      </c>
      <c r="Q172" s="301">
        <v>0</v>
      </c>
      <c r="R172" s="301">
        <v>0</v>
      </c>
      <c r="S172" s="301">
        <v>0</v>
      </c>
      <c r="T172" s="304">
        <v>0</v>
      </c>
      <c r="U172" s="301">
        <v>0</v>
      </c>
      <c r="V172" s="301">
        <v>0</v>
      </c>
      <c r="W172" s="301">
        <v>0</v>
      </c>
      <c r="X172" s="510">
        <v>0</v>
      </c>
      <c r="Y172" s="305">
        <v>0</v>
      </c>
      <c r="Z172" s="301">
        <v>0</v>
      </c>
      <c r="AA172" s="301">
        <v>0</v>
      </c>
      <c r="AB172" s="301">
        <v>0</v>
      </c>
      <c r="AC172" s="304">
        <f>AF172</f>
        <v>0</v>
      </c>
      <c r="AD172" s="301">
        <v>0</v>
      </c>
      <c r="AE172" s="301">
        <v>0</v>
      </c>
      <c r="AF172" s="301">
        <v>0</v>
      </c>
      <c r="AG172" s="510">
        <v>0</v>
      </c>
      <c r="AH172" s="304">
        <f>AK172</f>
        <v>0</v>
      </c>
      <c r="AI172" s="301">
        <v>0</v>
      </c>
      <c r="AJ172" s="301">
        <v>0</v>
      </c>
      <c r="AK172" s="301">
        <v>0</v>
      </c>
      <c r="AL172" s="306"/>
    </row>
    <row r="173" spans="1:51" s="266" customFormat="1" ht="46.35" customHeight="1" outlineLevel="1" x14ac:dyDescent="0.25">
      <c r="A173" s="303" t="s">
        <v>624</v>
      </c>
      <c r="B173" s="302" t="s">
        <v>1395</v>
      </c>
      <c r="C173" s="303">
        <v>0</v>
      </c>
      <c r="D173" s="301">
        <f t="shared" si="29"/>
        <v>0</v>
      </c>
      <c r="E173" s="301">
        <v>0</v>
      </c>
      <c r="F173" s="304">
        <v>0</v>
      </c>
      <c r="G173" s="301">
        <v>0</v>
      </c>
      <c r="H173" s="301">
        <v>0</v>
      </c>
      <c r="I173" s="303">
        <v>0</v>
      </c>
      <c r="J173" s="307">
        <v>0</v>
      </c>
      <c r="K173" s="303">
        <v>0</v>
      </c>
      <c r="L173" s="301">
        <v>0</v>
      </c>
      <c r="M173" s="301">
        <v>0</v>
      </c>
      <c r="N173" s="301">
        <v>0</v>
      </c>
      <c r="O173" s="304">
        <v>0</v>
      </c>
      <c r="P173" s="301">
        <v>0</v>
      </c>
      <c r="Q173" s="301">
        <v>0</v>
      </c>
      <c r="R173" s="301">
        <v>0</v>
      </c>
      <c r="S173" s="301">
        <v>0</v>
      </c>
      <c r="T173" s="304">
        <v>0</v>
      </c>
      <c r="U173" s="301">
        <v>0</v>
      </c>
      <c r="V173" s="301">
        <v>0</v>
      </c>
      <c r="W173" s="301">
        <v>0</v>
      </c>
      <c r="X173" s="510">
        <v>0</v>
      </c>
      <c r="Y173" s="305">
        <v>0</v>
      </c>
      <c r="Z173" s="301">
        <v>0</v>
      </c>
      <c r="AA173" s="301">
        <v>0</v>
      </c>
      <c r="AB173" s="301">
        <v>0</v>
      </c>
      <c r="AC173" s="304">
        <f>AE173+AF173</f>
        <v>0</v>
      </c>
      <c r="AD173" s="301">
        <v>0</v>
      </c>
      <c r="AE173" s="301">
        <v>0</v>
      </c>
      <c r="AF173" s="301">
        <v>0</v>
      </c>
      <c r="AG173" s="510">
        <v>0</v>
      </c>
      <c r="AH173" s="304">
        <f>AJ173+AK173</f>
        <v>0</v>
      </c>
      <c r="AI173" s="301">
        <v>0</v>
      </c>
      <c r="AJ173" s="301">
        <v>0</v>
      </c>
      <c r="AK173" s="301">
        <v>0</v>
      </c>
      <c r="AL173" s="306"/>
    </row>
    <row r="174" spans="1:51" s="265" customFormat="1" ht="91.2" customHeight="1" outlineLevel="1" x14ac:dyDescent="0.3">
      <c r="A174" s="688" t="s">
        <v>625</v>
      </c>
      <c r="B174" s="698" t="s">
        <v>626</v>
      </c>
      <c r="C174" s="688">
        <v>0</v>
      </c>
      <c r="D174" s="688">
        <f>F174+J174+O174+T174+Y174+AC174+AH174</f>
        <v>0</v>
      </c>
      <c r="E174" s="688">
        <v>0</v>
      </c>
      <c r="F174" s="688">
        <f>F176+F177+F178+F179+F180</f>
        <v>0</v>
      </c>
      <c r="G174" s="688">
        <f t="shared" ref="G174:AK174" si="33">G176+G177+G178+G179+G180</f>
        <v>0</v>
      </c>
      <c r="H174" s="688">
        <f t="shared" si="33"/>
        <v>0</v>
      </c>
      <c r="I174" s="688">
        <f t="shared" si="33"/>
        <v>0</v>
      </c>
      <c r="J174" s="688">
        <f t="shared" si="33"/>
        <v>0</v>
      </c>
      <c r="K174" s="688">
        <v>0</v>
      </c>
      <c r="L174" s="688">
        <f t="shared" si="33"/>
        <v>0</v>
      </c>
      <c r="M174" s="688">
        <f t="shared" si="33"/>
        <v>0</v>
      </c>
      <c r="N174" s="688">
        <f t="shared" si="33"/>
        <v>0</v>
      </c>
      <c r="O174" s="688">
        <f t="shared" si="33"/>
        <v>0</v>
      </c>
      <c r="P174" s="431">
        <v>0</v>
      </c>
      <c r="Q174" s="688">
        <f t="shared" si="33"/>
        <v>0</v>
      </c>
      <c r="R174" s="688">
        <f t="shared" si="33"/>
        <v>0</v>
      </c>
      <c r="S174" s="688">
        <f t="shared" si="33"/>
        <v>0</v>
      </c>
      <c r="T174" s="688">
        <f t="shared" si="33"/>
        <v>0</v>
      </c>
      <c r="U174" s="431"/>
      <c r="V174" s="694">
        <f t="shared" si="33"/>
        <v>0</v>
      </c>
      <c r="W174" s="694">
        <f t="shared" si="33"/>
        <v>0</v>
      </c>
      <c r="X174" s="693">
        <f t="shared" si="33"/>
        <v>0</v>
      </c>
      <c r="Y174" s="694">
        <f t="shared" si="33"/>
        <v>0</v>
      </c>
      <c r="Z174" s="688">
        <f t="shared" si="33"/>
        <v>0</v>
      </c>
      <c r="AA174" s="688">
        <f t="shared" si="33"/>
        <v>0</v>
      </c>
      <c r="AB174" s="688">
        <f t="shared" si="33"/>
        <v>0</v>
      </c>
      <c r="AC174" s="688">
        <f t="shared" si="33"/>
        <v>0</v>
      </c>
      <c r="AD174" s="433">
        <v>0</v>
      </c>
      <c r="AE174" s="688">
        <f t="shared" si="33"/>
        <v>0</v>
      </c>
      <c r="AF174" s="688">
        <f t="shared" si="33"/>
        <v>0</v>
      </c>
      <c r="AG174" s="693">
        <f t="shared" si="33"/>
        <v>0</v>
      </c>
      <c r="AH174" s="688">
        <f t="shared" si="33"/>
        <v>0</v>
      </c>
      <c r="AI174" s="431">
        <v>0</v>
      </c>
      <c r="AJ174" s="688">
        <f t="shared" si="33"/>
        <v>0</v>
      </c>
      <c r="AK174" s="688">
        <f t="shared" si="33"/>
        <v>0</v>
      </c>
      <c r="AL174" s="299"/>
      <c r="AM174" s="206"/>
      <c r="AN174" s="206"/>
      <c r="AO174" s="206"/>
      <c r="AP174" s="206"/>
      <c r="AQ174" s="206"/>
      <c r="AR174" s="206"/>
      <c r="AS174" s="206"/>
      <c r="AT174" s="206"/>
      <c r="AU174" s="206"/>
      <c r="AV174" s="206"/>
      <c r="AW174" s="206"/>
      <c r="AX174" s="206"/>
      <c r="AY174" s="206"/>
    </row>
    <row r="175" spans="1:51" s="266" customFormat="1" ht="3.9" customHeight="1" outlineLevel="1" x14ac:dyDescent="0.25">
      <c r="A175" s="697"/>
      <c r="B175" s="698"/>
      <c r="C175" s="688"/>
      <c r="D175" s="688"/>
      <c r="E175" s="689"/>
      <c r="F175" s="688"/>
      <c r="G175" s="688"/>
      <c r="H175" s="688"/>
      <c r="I175" s="688"/>
      <c r="J175" s="688"/>
      <c r="K175" s="689"/>
      <c r="L175" s="688"/>
      <c r="M175" s="688"/>
      <c r="N175" s="688"/>
      <c r="O175" s="688"/>
      <c r="P175" s="431"/>
      <c r="Q175" s="688"/>
      <c r="R175" s="688"/>
      <c r="S175" s="688"/>
      <c r="T175" s="688"/>
      <c r="U175" s="431"/>
      <c r="V175" s="694"/>
      <c r="W175" s="694"/>
      <c r="X175" s="693"/>
      <c r="Y175" s="694"/>
      <c r="Z175" s="688"/>
      <c r="AA175" s="688"/>
      <c r="AB175" s="688"/>
      <c r="AC175" s="688"/>
      <c r="AD175" s="317"/>
      <c r="AE175" s="688"/>
      <c r="AF175" s="688"/>
      <c r="AG175" s="693"/>
      <c r="AH175" s="688"/>
      <c r="AI175" s="431"/>
      <c r="AJ175" s="688"/>
      <c r="AK175" s="688"/>
      <c r="AL175" s="306"/>
    </row>
    <row r="176" spans="1:51" s="266" customFormat="1" ht="198.6" customHeight="1" outlineLevel="1" x14ac:dyDescent="0.25">
      <c r="A176" s="303" t="s">
        <v>627</v>
      </c>
      <c r="B176" s="302" t="s">
        <v>628</v>
      </c>
      <c r="C176" s="303">
        <v>0</v>
      </c>
      <c r="D176" s="303">
        <f t="shared" ref="D176:D222" si="34">F176+J176+O176+T176+Y176+AC176+AH176</f>
        <v>0</v>
      </c>
      <c r="E176" s="303">
        <v>0</v>
      </c>
      <c r="F176" s="307">
        <v>0</v>
      </c>
      <c r="G176" s="303">
        <v>0</v>
      </c>
      <c r="H176" s="303">
        <v>0</v>
      </c>
      <c r="I176" s="303">
        <v>0</v>
      </c>
      <c r="J176" s="307">
        <v>0</v>
      </c>
      <c r="K176" s="303">
        <v>0</v>
      </c>
      <c r="L176" s="301">
        <v>0</v>
      </c>
      <c r="M176" s="301">
        <v>0</v>
      </c>
      <c r="N176" s="301">
        <v>0</v>
      </c>
      <c r="O176" s="304">
        <v>0</v>
      </c>
      <c r="P176" s="301">
        <v>0</v>
      </c>
      <c r="Q176" s="301">
        <v>0</v>
      </c>
      <c r="R176" s="301">
        <v>0</v>
      </c>
      <c r="S176" s="301">
        <v>0</v>
      </c>
      <c r="T176" s="304">
        <v>0</v>
      </c>
      <c r="U176" s="301">
        <v>0</v>
      </c>
      <c r="V176" s="301">
        <v>0</v>
      </c>
      <c r="W176" s="301">
        <v>0</v>
      </c>
      <c r="X176" s="510">
        <v>0</v>
      </c>
      <c r="Y176" s="305">
        <v>0</v>
      </c>
      <c r="Z176" s="301">
        <v>0</v>
      </c>
      <c r="AA176" s="301">
        <v>0</v>
      </c>
      <c r="AB176" s="301">
        <v>0</v>
      </c>
      <c r="AC176" s="304">
        <f>AF176</f>
        <v>0</v>
      </c>
      <c r="AD176" s="301">
        <v>0</v>
      </c>
      <c r="AE176" s="301">
        <v>0</v>
      </c>
      <c r="AF176" s="301">
        <v>0</v>
      </c>
      <c r="AG176" s="510">
        <v>0</v>
      </c>
      <c r="AH176" s="304">
        <f>AK176</f>
        <v>0</v>
      </c>
      <c r="AI176" s="301">
        <v>0</v>
      </c>
      <c r="AJ176" s="301">
        <v>0</v>
      </c>
      <c r="AK176" s="301">
        <v>0</v>
      </c>
      <c r="AL176" s="306"/>
    </row>
    <row r="177" spans="1:51" s="266" customFormat="1" ht="220.2" customHeight="1" outlineLevel="1" x14ac:dyDescent="0.25">
      <c r="A177" s="303" t="s">
        <v>629</v>
      </c>
      <c r="B177" s="302" t="s">
        <v>423</v>
      </c>
      <c r="C177" s="303">
        <v>0</v>
      </c>
      <c r="D177" s="303">
        <f t="shared" si="34"/>
        <v>0</v>
      </c>
      <c r="E177" s="303">
        <v>0</v>
      </c>
      <c r="F177" s="307">
        <v>0</v>
      </c>
      <c r="G177" s="303">
        <v>0</v>
      </c>
      <c r="H177" s="303">
        <v>0</v>
      </c>
      <c r="I177" s="303">
        <v>0</v>
      </c>
      <c r="J177" s="307">
        <v>0</v>
      </c>
      <c r="K177" s="303">
        <v>0</v>
      </c>
      <c r="L177" s="301">
        <v>0</v>
      </c>
      <c r="M177" s="301">
        <v>0</v>
      </c>
      <c r="N177" s="301">
        <v>0</v>
      </c>
      <c r="O177" s="304">
        <v>0</v>
      </c>
      <c r="P177" s="301">
        <v>0</v>
      </c>
      <c r="Q177" s="301">
        <v>0</v>
      </c>
      <c r="R177" s="301">
        <v>0</v>
      </c>
      <c r="S177" s="301">
        <v>0</v>
      </c>
      <c r="T177" s="304">
        <v>0</v>
      </c>
      <c r="U177" s="301">
        <v>0</v>
      </c>
      <c r="V177" s="301">
        <v>0</v>
      </c>
      <c r="W177" s="301">
        <v>0</v>
      </c>
      <c r="X177" s="510">
        <v>0</v>
      </c>
      <c r="Y177" s="305">
        <v>0</v>
      </c>
      <c r="Z177" s="301">
        <v>0</v>
      </c>
      <c r="AA177" s="301">
        <v>0</v>
      </c>
      <c r="AB177" s="301">
        <v>0</v>
      </c>
      <c r="AC177" s="304">
        <v>0</v>
      </c>
      <c r="AD177" s="301">
        <v>0</v>
      </c>
      <c r="AE177" s="311">
        <v>0</v>
      </c>
      <c r="AF177" s="311">
        <v>0</v>
      </c>
      <c r="AG177" s="493">
        <v>0</v>
      </c>
      <c r="AH177" s="304">
        <v>0</v>
      </c>
      <c r="AI177" s="301">
        <v>0</v>
      </c>
      <c r="AJ177" s="301">
        <v>0</v>
      </c>
      <c r="AK177" s="301">
        <v>0</v>
      </c>
      <c r="AL177" s="306"/>
    </row>
    <row r="178" spans="1:51" s="266" customFormat="1" ht="37.35" customHeight="1" outlineLevel="1" x14ac:dyDescent="0.25">
      <c r="A178" s="303" t="s">
        <v>630</v>
      </c>
      <c r="B178" s="302" t="s">
        <v>435</v>
      </c>
      <c r="C178" s="303">
        <v>0</v>
      </c>
      <c r="D178" s="303">
        <f t="shared" si="34"/>
        <v>0</v>
      </c>
      <c r="E178" s="303">
        <v>0</v>
      </c>
      <c r="F178" s="307">
        <v>0</v>
      </c>
      <c r="G178" s="303">
        <v>0</v>
      </c>
      <c r="H178" s="303">
        <v>0</v>
      </c>
      <c r="I178" s="303">
        <v>0</v>
      </c>
      <c r="J178" s="307">
        <v>0</v>
      </c>
      <c r="K178" s="303">
        <v>0</v>
      </c>
      <c r="L178" s="301">
        <v>0</v>
      </c>
      <c r="M178" s="301">
        <v>0</v>
      </c>
      <c r="N178" s="301">
        <v>0</v>
      </c>
      <c r="O178" s="304">
        <v>0</v>
      </c>
      <c r="P178" s="301">
        <v>0</v>
      </c>
      <c r="Q178" s="301">
        <v>0</v>
      </c>
      <c r="R178" s="301">
        <v>0</v>
      </c>
      <c r="S178" s="301">
        <v>0</v>
      </c>
      <c r="T178" s="304">
        <v>0</v>
      </c>
      <c r="U178" s="301">
        <v>0</v>
      </c>
      <c r="V178" s="301">
        <v>0</v>
      </c>
      <c r="W178" s="301">
        <v>0</v>
      </c>
      <c r="X178" s="510">
        <v>0</v>
      </c>
      <c r="Y178" s="305">
        <v>0</v>
      </c>
      <c r="Z178" s="301">
        <v>0</v>
      </c>
      <c r="AA178" s="301">
        <v>0</v>
      </c>
      <c r="AB178" s="301">
        <v>0</v>
      </c>
      <c r="AC178" s="304">
        <v>0</v>
      </c>
      <c r="AD178" s="301">
        <v>0</v>
      </c>
      <c r="AE178" s="311">
        <v>0</v>
      </c>
      <c r="AF178" s="311">
        <v>0</v>
      </c>
      <c r="AG178" s="493">
        <v>0</v>
      </c>
      <c r="AH178" s="304">
        <v>0</v>
      </c>
      <c r="AI178" s="301">
        <v>0</v>
      </c>
      <c r="AJ178" s="301">
        <v>0</v>
      </c>
      <c r="AK178" s="301">
        <v>0</v>
      </c>
      <c r="AL178" s="306"/>
    </row>
    <row r="179" spans="1:51" s="266" customFormat="1" ht="105" customHeight="1" outlineLevel="1" x14ac:dyDescent="0.25">
      <c r="A179" s="303" t="s">
        <v>631</v>
      </c>
      <c r="B179" s="302" t="s">
        <v>1397</v>
      </c>
      <c r="C179" s="303">
        <v>0</v>
      </c>
      <c r="D179" s="303">
        <f t="shared" si="34"/>
        <v>0</v>
      </c>
      <c r="E179" s="303">
        <v>0</v>
      </c>
      <c r="F179" s="307">
        <v>0</v>
      </c>
      <c r="G179" s="303">
        <v>0</v>
      </c>
      <c r="H179" s="303">
        <v>0</v>
      </c>
      <c r="I179" s="303">
        <v>0</v>
      </c>
      <c r="J179" s="307">
        <v>0</v>
      </c>
      <c r="K179" s="303">
        <v>0</v>
      </c>
      <c r="L179" s="301">
        <v>0</v>
      </c>
      <c r="M179" s="301">
        <v>0</v>
      </c>
      <c r="N179" s="301">
        <v>0</v>
      </c>
      <c r="O179" s="304">
        <v>0</v>
      </c>
      <c r="P179" s="301">
        <v>0</v>
      </c>
      <c r="Q179" s="301">
        <v>0</v>
      </c>
      <c r="R179" s="301">
        <v>0</v>
      </c>
      <c r="S179" s="301">
        <v>0</v>
      </c>
      <c r="T179" s="304">
        <v>0</v>
      </c>
      <c r="U179" s="301">
        <v>0</v>
      </c>
      <c r="V179" s="301">
        <v>0</v>
      </c>
      <c r="W179" s="301">
        <v>0</v>
      </c>
      <c r="X179" s="510">
        <v>0</v>
      </c>
      <c r="Y179" s="305">
        <v>0</v>
      </c>
      <c r="Z179" s="301">
        <v>0</v>
      </c>
      <c r="AA179" s="301">
        <v>0</v>
      </c>
      <c r="AB179" s="301">
        <v>0</v>
      </c>
      <c r="AC179" s="313">
        <v>0</v>
      </c>
      <c r="AD179" s="314">
        <v>0</v>
      </c>
      <c r="AE179" s="314">
        <v>0</v>
      </c>
      <c r="AF179" s="314">
        <v>0</v>
      </c>
      <c r="AG179" s="511">
        <v>0</v>
      </c>
      <c r="AH179" s="304">
        <f>AK179</f>
        <v>0</v>
      </c>
      <c r="AI179" s="301">
        <v>0</v>
      </c>
      <c r="AJ179" s="301">
        <v>0</v>
      </c>
      <c r="AK179" s="301">
        <v>0</v>
      </c>
      <c r="AL179" s="306"/>
    </row>
    <row r="180" spans="1:51" s="266" customFormat="1" ht="40.65" customHeight="1" outlineLevel="1" x14ac:dyDescent="0.25">
      <c r="A180" s="303" t="s">
        <v>632</v>
      </c>
      <c r="B180" s="302" t="s">
        <v>1395</v>
      </c>
      <c r="C180" s="303">
        <v>0</v>
      </c>
      <c r="D180" s="303">
        <f t="shared" si="34"/>
        <v>0</v>
      </c>
      <c r="E180" s="303">
        <v>0</v>
      </c>
      <c r="F180" s="307">
        <v>0</v>
      </c>
      <c r="G180" s="303">
        <v>0</v>
      </c>
      <c r="H180" s="303">
        <v>0</v>
      </c>
      <c r="I180" s="303">
        <v>0</v>
      </c>
      <c r="J180" s="307">
        <v>0</v>
      </c>
      <c r="K180" s="303">
        <v>0</v>
      </c>
      <c r="L180" s="301">
        <v>0</v>
      </c>
      <c r="M180" s="301">
        <v>0</v>
      </c>
      <c r="N180" s="301">
        <v>0</v>
      </c>
      <c r="O180" s="304">
        <v>0</v>
      </c>
      <c r="P180" s="301">
        <v>0</v>
      </c>
      <c r="Q180" s="301">
        <v>0</v>
      </c>
      <c r="R180" s="301">
        <v>0</v>
      </c>
      <c r="S180" s="301">
        <v>0</v>
      </c>
      <c r="T180" s="304">
        <v>0</v>
      </c>
      <c r="U180" s="301">
        <v>0</v>
      </c>
      <c r="V180" s="301">
        <v>0</v>
      </c>
      <c r="W180" s="301">
        <v>0</v>
      </c>
      <c r="X180" s="510">
        <v>0</v>
      </c>
      <c r="Y180" s="305">
        <v>0</v>
      </c>
      <c r="Z180" s="301">
        <v>0</v>
      </c>
      <c r="AA180" s="301">
        <v>0</v>
      </c>
      <c r="AB180" s="301">
        <v>0</v>
      </c>
      <c r="AC180" s="313">
        <v>0</v>
      </c>
      <c r="AD180" s="314">
        <v>0</v>
      </c>
      <c r="AE180" s="314">
        <v>0</v>
      </c>
      <c r="AF180" s="314">
        <v>0</v>
      </c>
      <c r="AG180" s="511">
        <v>0</v>
      </c>
      <c r="AH180" s="304">
        <v>0</v>
      </c>
      <c r="AI180" s="301">
        <v>0</v>
      </c>
      <c r="AJ180" s="301">
        <v>0</v>
      </c>
      <c r="AK180" s="301">
        <v>0</v>
      </c>
      <c r="AL180" s="306"/>
    </row>
    <row r="181" spans="1:51" s="265" customFormat="1" ht="102.6" customHeight="1" outlineLevel="1" x14ac:dyDescent="0.3">
      <c r="A181" s="431" t="s">
        <v>633</v>
      </c>
      <c r="B181" s="432" t="s">
        <v>1401</v>
      </c>
      <c r="C181" s="431">
        <f>I181+N181+S181+X181+AB181+AG181</f>
        <v>0</v>
      </c>
      <c r="D181" s="431">
        <f>F181+J181+O181+T181+Y181+AC181+AH181</f>
        <v>0</v>
      </c>
      <c r="E181" s="431"/>
      <c r="F181" s="431">
        <f>F182+F183+F184+F185+F186</f>
        <v>0</v>
      </c>
      <c r="G181" s="431">
        <f t="shared" ref="G181:AK181" si="35">G182+G183+G184+G185+G186</f>
        <v>0</v>
      </c>
      <c r="H181" s="431">
        <f t="shared" si="35"/>
        <v>0</v>
      </c>
      <c r="I181" s="431">
        <f t="shared" si="35"/>
        <v>0</v>
      </c>
      <c r="J181" s="431">
        <f t="shared" si="35"/>
        <v>0</v>
      </c>
      <c r="K181" s="431">
        <v>0</v>
      </c>
      <c r="L181" s="431">
        <f t="shared" si="35"/>
        <v>0</v>
      </c>
      <c r="M181" s="431">
        <f t="shared" si="35"/>
        <v>0</v>
      </c>
      <c r="N181" s="431">
        <f t="shared" si="35"/>
        <v>0</v>
      </c>
      <c r="O181" s="431">
        <f t="shared" si="35"/>
        <v>0</v>
      </c>
      <c r="P181" s="431">
        <v>0</v>
      </c>
      <c r="Q181" s="431">
        <f t="shared" si="35"/>
        <v>0</v>
      </c>
      <c r="R181" s="431">
        <f t="shared" si="35"/>
        <v>0</v>
      </c>
      <c r="S181" s="431">
        <f t="shared" si="35"/>
        <v>0</v>
      </c>
      <c r="T181" s="431">
        <f t="shared" si="35"/>
        <v>0</v>
      </c>
      <c r="U181" s="431">
        <v>0</v>
      </c>
      <c r="V181" s="433">
        <f t="shared" si="35"/>
        <v>0</v>
      </c>
      <c r="W181" s="433">
        <f t="shared" si="35"/>
        <v>0</v>
      </c>
      <c r="X181" s="481">
        <f t="shared" si="35"/>
        <v>0</v>
      </c>
      <c r="Y181" s="433">
        <f t="shared" si="35"/>
        <v>0</v>
      </c>
      <c r="Z181" s="431">
        <f t="shared" si="35"/>
        <v>0</v>
      </c>
      <c r="AA181" s="431">
        <f t="shared" si="35"/>
        <v>0</v>
      </c>
      <c r="AB181" s="431">
        <f t="shared" si="35"/>
        <v>0</v>
      </c>
      <c r="AC181" s="431">
        <f t="shared" si="35"/>
        <v>0</v>
      </c>
      <c r="AD181" s="433">
        <v>0</v>
      </c>
      <c r="AE181" s="431">
        <f t="shared" si="35"/>
        <v>0</v>
      </c>
      <c r="AF181" s="431">
        <f t="shared" si="35"/>
        <v>0</v>
      </c>
      <c r="AG181" s="481">
        <f t="shared" si="35"/>
        <v>0</v>
      </c>
      <c r="AH181" s="431">
        <f t="shared" si="35"/>
        <v>0</v>
      </c>
      <c r="AI181" s="431">
        <v>0</v>
      </c>
      <c r="AJ181" s="431">
        <f t="shared" si="35"/>
        <v>0</v>
      </c>
      <c r="AK181" s="431">
        <f t="shared" si="35"/>
        <v>0</v>
      </c>
      <c r="AL181" s="299"/>
      <c r="AM181" s="206"/>
      <c r="AN181" s="206"/>
      <c r="AO181" s="206"/>
      <c r="AP181" s="206"/>
      <c r="AQ181" s="206"/>
      <c r="AR181" s="206"/>
      <c r="AS181" s="206"/>
      <c r="AT181" s="206"/>
      <c r="AU181" s="206"/>
      <c r="AV181" s="206"/>
      <c r="AW181" s="206"/>
      <c r="AX181" s="206"/>
      <c r="AY181" s="206"/>
    </row>
    <row r="182" spans="1:51" s="266" customFormat="1" ht="183.6" customHeight="1" outlineLevel="1" x14ac:dyDescent="0.25">
      <c r="A182" s="303" t="s">
        <v>634</v>
      </c>
      <c r="B182" s="302" t="s">
        <v>635</v>
      </c>
      <c r="C182" s="303">
        <v>0</v>
      </c>
      <c r="D182" s="303">
        <f t="shared" si="34"/>
        <v>0</v>
      </c>
      <c r="E182" s="303"/>
      <c r="F182" s="307">
        <v>0</v>
      </c>
      <c r="G182" s="303">
        <v>0</v>
      </c>
      <c r="H182" s="303">
        <v>0</v>
      </c>
      <c r="I182" s="303"/>
      <c r="J182" s="307">
        <v>0</v>
      </c>
      <c r="K182" s="303">
        <v>0</v>
      </c>
      <c r="L182" s="301">
        <v>0</v>
      </c>
      <c r="M182" s="301">
        <v>0</v>
      </c>
      <c r="N182" s="301"/>
      <c r="O182" s="304">
        <v>0</v>
      </c>
      <c r="P182" s="301">
        <v>0</v>
      </c>
      <c r="Q182" s="301"/>
      <c r="R182" s="301">
        <v>0</v>
      </c>
      <c r="S182" s="301"/>
      <c r="T182" s="304">
        <v>0</v>
      </c>
      <c r="U182" s="301">
        <v>0</v>
      </c>
      <c r="V182" s="301">
        <v>0</v>
      </c>
      <c r="W182" s="301">
        <v>0</v>
      </c>
      <c r="X182" s="510">
        <v>0</v>
      </c>
      <c r="Y182" s="312">
        <f>AA182</f>
        <v>0</v>
      </c>
      <c r="Z182" s="301">
        <v>0</v>
      </c>
      <c r="AA182" s="301">
        <v>0</v>
      </c>
      <c r="AB182" s="301">
        <v>0</v>
      </c>
      <c r="AC182" s="304">
        <f>AF182</f>
        <v>0</v>
      </c>
      <c r="AD182" s="301">
        <v>0</v>
      </c>
      <c r="AE182" s="301">
        <v>0</v>
      </c>
      <c r="AF182" s="301">
        <v>0</v>
      </c>
      <c r="AG182" s="510">
        <v>0</v>
      </c>
      <c r="AH182" s="304">
        <f>AK182</f>
        <v>0</v>
      </c>
      <c r="AI182" s="301">
        <v>0</v>
      </c>
      <c r="AJ182" s="301">
        <v>0</v>
      </c>
      <c r="AK182" s="301">
        <v>0</v>
      </c>
      <c r="AL182" s="306"/>
    </row>
    <row r="183" spans="1:51" s="266" customFormat="1" ht="217.95" customHeight="1" outlineLevel="1" x14ac:dyDescent="0.25">
      <c r="A183" s="303" t="s">
        <v>636</v>
      </c>
      <c r="B183" s="302" t="s">
        <v>423</v>
      </c>
      <c r="C183" s="303">
        <v>0</v>
      </c>
      <c r="D183" s="303">
        <f t="shared" si="34"/>
        <v>0</v>
      </c>
      <c r="E183" s="303">
        <v>0</v>
      </c>
      <c r="F183" s="307">
        <v>0</v>
      </c>
      <c r="G183" s="303">
        <v>0</v>
      </c>
      <c r="H183" s="303">
        <v>0</v>
      </c>
      <c r="I183" s="303">
        <v>0</v>
      </c>
      <c r="J183" s="307">
        <v>0</v>
      </c>
      <c r="K183" s="303">
        <v>0</v>
      </c>
      <c r="L183" s="301">
        <v>0</v>
      </c>
      <c r="M183" s="301">
        <v>0</v>
      </c>
      <c r="N183" s="301">
        <v>0</v>
      </c>
      <c r="O183" s="304">
        <v>0</v>
      </c>
      <c r="P183" s="301">
        <v>0</v>
      </c>
      <c r="Q183" s="301">
        <v>0</v>
      </c>
      <c r="R183" s="301">
        <v>0</v>
      </c>
      <c r="S183" s="301">
        <v>0</v>
      </c>
      <c r="T183" s="313">
        <v>0</v>
      </c>
      <c r="U183" s="314">
        <v>0</v>
      </c>
      <c r="V183" s="314">
        <v>0</v>
      </c>
      <c r="W183" s="314">
        <v>0</v>
      </c>
      <c r="X183" s="511">
        <v>0</v>
      </c>
      <c r="Y183" s="305">
        <v>0</v>
      </c>
      <c r="Z183" s="301">
        <v>0</v>
      </c>
      <c r="AA183" s="301">
        <v>0</v>
      </c>
      <c r="AB183" s="301">
        <v>0</v>
      </c>
      <c r="AC183" s="304">
        <f>AF183</f>
        <v>0</v>
      </c>
      <c r="AD183" s="301">
        <v>0</v>
      </c>
      <c r="AE183" s="301">
        <v>0</v>
      </c>
      <c r="AF183" s="301">
        <v>0</v>
      </c>
      <c r="AG183" s="510">
        <v>0</v>
      </c>
      <c r="AH183" s="304">
        <f>AK183</f>
        <v>0</v>
      </c>
      <c r="AI183" s="301">
        <v>0</v>
      </c>
      <c r="AJ183" s="301">
        <v>0</v>
      </c>
      <c r="AK183" s="301">
        <v>0</v>
      </c>
      <c r="AL183" s="306"/>
    </row>
    <row r="184" spans="1:51" s="266" customFormat="1" ht="39.6" customHeight="1" outlineLevel="1" x14ac:dyDescent="0.25">
      <c r="A184" s="303" t="s">
        <v>637</v>
      </c>
      <c r="B184" s="302" t="s">
        <v>435</v>
      </c>
      <c r="C184" s="303">
        <v>0</v>
      </c>
      <c r="D184" s="303">
        <f t="shared" si="34"/>
        <v>0</v>
      </c>
      <c r="E184" s="303">
        <v>0</v>
      </c>
      <c r="F184" s="307">
        <v>0</v>
      </c>
      <c r="G184" s="303">
        <v>0</v>
      </c>
      <c r="H184" s="303">
        <v>0</v>
      </c>
      <c r="I184" s="303">
        <v>0</v>
      </c>
      <c r="J184" s="307">
        <v>0</v>
      </c>
      <c r="K184" s="303">
        <v>0</v>
      </c>
      <c r="L184" s="301">
        <v>0</v>
      </c>
      <c r="M184" s="301">
        <v>0</v>
      </c>
      <c r="N184" s="301">
        <v>0</v>
      </c>
      <c r="O184" s="304">
        <v>0</v>
      </c>
      <c r="P184" s="301">
        <v>0</v>
      </c>
      <c r="Q184" s="301">
        <v>0</v>
      </c>
      <c r="R184" s="301">
        <v>0</v>
      </c>
      <c r="S184" s="301">
        <v>0</v>
      </c>
      <c r="T184" s="313">
        <v>0</v>
      </c>
      <c r="U184" s="314">
        <v>0</v>
      </c>
      <c r="V184" s="314">
        <v>0</v>
      </c>
      <c r="W184" s="314">
        <v>0</v>
      </c>
      <c r="X184" s="511"/>
      <c r="Y184" s="305">
        <v>0</v>
      </c>
      <c r="Z184" s="301">
        <v>0</v>
      </c>
      <c r="AA184" s="301">
        <v>0</v>
      </c>
      <c r="AB184" s="301">
        <v>0</v>
      </c>
      <c r="AC184" s="304">
        <f>AF184</f>
        <v>0</v>
      </c>
      <c r="AD184" s="301">
        <v>0</v>
      </c>
      <c r="AE184" s="301">
        <v>0</v>
      </c>
      <c r="AF184" s="301">
        <v>0</v>
      </c>
      <c r="AG184" s="510">
        <v>0</v>
      </c>
      <c r="AH184" s="304">
        <f>AK184</f>
        <v>0</v>
      </c>
      <c r="AI184" s="301">
        <v>0</v>
      </c>
      <c r="AJ184" s="301">
        <v>0</v>
      </c>
      <c r="AK184" s="301">
        <v>0</v>
      </c>
      <c r="AL184" s="306"/>
    </row>
    <row r="185" spans="1:51" s="266" customFormat="1" ht="115.95" customHeight="1" outlineLevel="1" x14ac:dyDescent="0.25">
      <c r="A185" s="303" t="s">
        <v>638</v>
      </c>
      <c r="B185" s="302" t="s">
        <v>1402</v>
      </c>
      <c r="C185" s="303">
        <v>0</v>
      </c>
      <c r="D185" s="303">
        <f t="shared" si="34"/>
        <v>0</v>
      </c>
      <c r="E185" s="303">
        <v>0</v>
      </c>
      <c r="F185" s="307">
        <v>0</v>
      </c>
      <c r="G185" s="303">
        <v>0</v>
      </c>
      <c r="H185" s="303">
        <v>0</v>
      </c>
      <c r="I185" s="303">
        <v>0</v>
      </c>
      <c r="J185" s="307">
        <v>0</v>
      </c>
      <c r="K185" s="303">
        <v>0</v>
      </c>
      <c r="L185" s="301">
        <v>0</v>
      </c>
      <c r="M185" s="301">
        <v>0</v>
      </c>
      <c r="N185" s="301">
        <v>0</v>
      </c>
      <c r="O185" s="304">
        <v>0</v>
      </c>
      <c r="P185" s="301">
        <v>0</v>
      </c>
      <c r="Q185" s="301">
        <v>0</v>
      </c>
      <c r="R185" s="301">
        <v>0</v>
      </c>
      <c r="S185" s="301">
        <v>0</v>
      </c>
      <c r="T185" s="313">
        <v>0</v>
      </c>
      <c r="U185" s="314">
        <v>0</v>
      </c>
      <c r="V185" s="314">
        <v>0</v>
      </c>
      <c r="W185" s="314">
        <v>0</v>
      </c>
      <c r="X185" s="511"/>
      <c r="Y185" s="305">
        <v>0</v>
      </c>
      <c r="Z185" s="301">
        <v>0</v>
      </c>
      <c r="AA185" s="301">
        <v>0</v>
      </c>
      <c r="AB185" s="301">
        <v>0</v>
      </c>
      <c r="AC185" s="304">
        <f>AF185</f>
        <v>0</v>
      </c>
      <c r="AD185" s="301">
        <v>0</v>
      </c>
      <c r="AE185" s="301">
        <v>0</v>
      </c>
      <c r="AF185" s="301">
        <v>0</v>
      </c>
      <c r="AG185" s="510">
        <v>0</v>
      </c>
      <c r="AH185" s="304">
        <f>AK185</f>
        <v>0</v>
      </c>
      <c r="AI185" s="301">
        <v>0</v>
      </c>
      <c r="AJ185" s="301">
        <v>0</v>
      </c>
      <c r="AK185" s="301">
        <v>0</v>
      </c>
      <c r="AL185" s="306"/>
    </row>
    <row r="186" spans="1:51" s="266" customFormat="1" ht="43.35" customHeight="1" outlineLevel="1" x14ac:dyDescent="0.25">
      <c r="A186" s="303" t="s">
        <v>639</v>
      </c>
      <c r="B186" s="302" t="s">
        <v>1395</v>
      </c>
      <c r="C186" s="303">
        <v>0</v>
      </c>
      <c r="D186" s="303">
        <f t="shared" si="34"/>
        <v>0</v>
      </c>
      <c r="E186" s="303">
        <v>0</v>
      </c>
      <c r="F186" s="307">
        <v>0</v>
      </c>
      <c r="G186" s="303">
        <v>0</v>
      </c>
      <c r="H186" s="303">
        <v>0</v>
      </c>
      <c r="I186" s="303">
        <v>0</v>
      </c>
      <c r="J186" s="307">
        <v>0</v>
      </c>
      <c r="K186" s="303">
        <v>0</v>
      </c>
      <c r="L186" s="301">
        <v>0</v>
      </c>
      <c r="M186" s="301">
        <v>0</v>
      </c>
      <c r="N186" s="301">
        <v>0</v>
      </c>
      <c r="O186" s="304">
        <v>0</v>
      </c>
      <c r="P186" s="301">
        <v>0</v>
      </c>
      <c r="Q186" s="301">
        <v>0</v>
      </c>
      <c r="R186" s="301">
        <v>0</v>
      </c>
      <c r="S186" s="301">
        <v>0</v>
      </c>
      <c r="T186" s="313">
        <v>0</v>
      </c>
      <c r="U186" s="314">
        <v>0</v>
      </c>
      <c r="V186" s="314">
        <v>0</v>
      </c>
      <c r="W186" s="314">
        <v>0</v>
      </c>
      <c r="X186" s="511">
        <v>0</v>
      </c>
      <c r="Y186" s="305">
        <v>0</v>
      </c>
      <c r="Z186" s="301">
        <v>0</v>
      </c>
      <c r="AA186" s="301">
        <v>0</v>
      </c>
      <c r="AB186" s="301">
        <v>0</v>
      </c>
      <c r="AC186" s="304">
        <v>0</v>
      </c>
      <c r="AD186" s="301">
        <v>0</v>
      </c>
      <c r="AE186" s="301">
        <v>0</v>
      </c>
      <c r="AF186" s="301">
        <v>0</v>
      </c>
      <c r="AG186" s="510">
        <v>0</v>
      </c>
      <c r="AH186" s="304">
        <f>AJ186+AK186</f>
        <v>0</v>
      </c>
      <c r="AI186" s="301">
        <v>0</v>
      </c>
      <c r="AJ186" s="301">
        <v>0</v>
      </c>
      <c r="AK186" s="301">
        <v>0</v>
      </c>
      <c r="AL186" s="306"/>
    </row>
    <row r="187" spans="1:51" s="265" customFormat="1" ht="82.2" customHeight="1" outlineLevel="1" x14ac:dyDescent="0.3">
      <c r="A187" s="431" t="s">
        <v>640</v>
      </c>
      <c r="B187" s="432" t="s">
        <v>641</v>
      </c>
      <c r="C187" s="431">
        <f>I187+N187+S187+X187+AB187+AG187</f>
        <v>0</v>
      </c>
      <c r="D187" s="431">
        <f>F187+J187+O187+T187+Y187+AC187+AH187</f>
        <v>0</v>
      </c>
      <c r="E187" s="431">
        <v>0</v>
      </c>
      <c r="F187" s="431">
        <f>F188+F189+F190+F191+F192</f>
        <v>0</v>
      </c>
      <c r="G187" s="431">
        <f t="shared" ref="G187:AK187" si="36">G188+G189+G190+G191+G192</f>
        <v>0</v>
      </c>
      <c r="H187" s="431">
        <f t="shared" si="36"/>
        <v>0</v>
      </c>
      <c r="I187" s="431">
        <f t="shared" si="36"/>
        <v>0</v>
      </c>
      <c r="J187" s="431">
        <f t="shared" si="36"/>
        <v>0</v>
      </c>
      <c r="K187" s="431">
        <v>0</v>
      </c>
      <c r="L187" s="431">
        <f t="shared" si="36"/>
        <v>0</v>
      </c>
      <c r="M187" s="431">
        <f t="shared" si="36"/>
        <v>0</v>
      </c>
      <c r="N187" s="431">
        <f t="shared" si="36"/>
        <v>0</v>
      </c>
      <c r="O187" s="431">
        <f t="shared" si="36"/>
        <v>0</v>
      </c>
      <c r="P187" s="431">
        <v>0</v>
      </c>
      <c r="Q187" s="431">
        <f t="shared" si="36"/>
        <v>0</v>
      </c>
      <c r="R187" s="431">
        <f t="shared" si="36"/>
        <v>0</v>
      </c>
      <c r="S187" s="431">
        <f t="shared" si="36"/>
        <v>0</v>
      </c>
      <c r="T187" s="431">
        <f t="shared" si="36"/>
        <v>0</v>
      </c>
      <c r="U187" s="431">
        <v>0</v>
      </c>
      <c r="V187" s="433">
        <f t="shared" si="36"/>
        <v>0</v>
      </c>
      <c r="W187" s="433">
        <f t="shared" si="36"/>
        <v>0</v>
      </c>
      <c r="X187" s="481">
        <f t="shared" si="36"/>
        <v>0</v>
      </c>
      <c r="Y187" s="433">
        <f t="shared" si="36"/>
        <v>0</v>
      </c>
      <c r="Z187" s="431">
        <f t="shared" si="36"/>
        <v>0</v>
      </c>
      <c r="AA187" s="431">
        <f t="shared" si="36"/>
        <v>0</v>
      </c>
      <c r="AB187" s="431">
        <f t="shared" si="36"/>
        <v>0</v>
      </c>
      <c r="AC187" s="431">
        <f t="shared" si="36"/>
        <v>0</v>
      </c>
      <c r="AD187" s="433">
        <v>0</v>
      </c>
      <c r="AE187" s="431">
        <f t="shared" si="36"/>
        <v>0</v>
      </c>
      <c r="AF187" s="431">
        <f t="shared" si="36"/>
        <v>0</v>
      </c>
      <c r="AG187" s="481">
        <v>0</v>
      </c>
      <c r="AH187" s="431">
        <f t="shared" si="36"/>
        <v>0</v>
      </c>
      <c r="AI187" s="431">
        <v>0</v>
      </c>
      <c r="AJ187" s="431">
        <f t="shared" si="36"/>
        <v>0</v>
      </c>
      <c r="AK187" s="431">
        <f t="shared" si="36"/>
        <v>0</v>
      </c>
      <c r="AL187" s="299"/>
      <c r="AM187" s="206"/>
      <c r="AN187" s="206"/>
      <c r="AO187" s="206"/>
      <c r="AP187" s="206"/>
      <c r="AQ187" s="206"/>
      <c r="AR187" s="206"/>
      <c r="AS187" s="206"/>
      <c r="AT187" s="206"/>
      <c r="AU187" s="206"/>
      <c r="AV187" s="206"/>
      <c r="AW187" s="206"/>
      <c r="AX187" s="206"/>
      <c r="AY187" s="206"/>
    </row>
    <row r="188" spans="1:51" s="266" customFormat="1" ht="178.95" customHeight="1" outlineLevel="1" x14ac:dyDescent="0.25">
      <c r="A188" s="303" t="s">
        <v>642</v>
      </c>
      <c r="B188" s="302" t="s">
        <v>643</v>
      </c>
      <c r="C188" s="303">
        <v>0</v>
      </c>
      <c r="D188" s="303">
        <f t="shared" si="34"/>
        <v>0</v>
      </c>
      <c r="E188" s="303">
        <v>0</v>
      </c>
      <c r="F188" s="307">
        <v>0</v>
      </c>
      <c r="G188" s="303">
        <v>0</v>
      </c>
      <c r="H188" s="303">
        <v>0</v>
      </c>
      <c r="I188" s="303">
        <v>0</v>
      </c>
      <c r="J188" s="307">
        <v>0</v>
      </c>
      <c r="K188" s="303">
        <v>0</v>
      </c>
      <c r="L188" s="301">
        <v>0</v>
      </c>
      <c r="M188" s="301">
        <v>0</v>
      </c>
      <c r="N188" s="301">
        <v>0</v>
      </c>
      <c r="O188" s="304">
        <v>0</v>
      </c>
      <c r="P188" s="301">
        <v>0</v>
      </c>
      <c r="Q188" s="301">
        <v>0</v>
      </c>
      <c r="R188" s="301">
        <v>0</v>
      </c>
      <c r="S188" s="301">
        <v>0</v>
      </c>
      <c r="T188" s="304">
        <v>0</v>
      </c>
      <c r="U188" s="301">
        <v>0</v>
      </c>
      <c r="V188" s="301">
        <v>0</v>
      </c>
      <c r="W188" s="301">
        <v>0</v>
      </c>
      <c r="X188" s="510">
        <v>0</v>
      </c>
      <c r="Y188" s="312">
        <f>AA188</f>
        <v>0</v>
      </c>
      <c r="Z188" s="301">
        <v>0</v>
      </c>
      <c r="AA188" s="301">
        <v>0</v>
      </c>
      <c r="AB188" s="301">
        <v>0</v>
      </c>
      <c r="AC188" s="304">
        <f>AF188</f>
        <v>0</v>
      </c>
      <c r="AD188" s="301">
        <v>0</v>
      </c>
      <c r="AE188" s="301">
        <v>0</v>
      </c>
      <c r="AF188" s="301">
        <v>0</v>
      </c>
      <c r="AG188" s="510">
        <v>0</v>
      </c>
      <c r="AH188" s="304">
        <f>AK188</f>
        <v>0</v>
      </c>
      <c r="AI188" s="301">
        <v>0</v>
      </c>
      <c r="AJ188" s="301">
        <v>0</v>
      </c>
      <c r="AK188" s="301">
        <v>0</v>
      </c>
      <c r="AL188" s="306"/>
    </row>
    <row r="189" spans="1:51" s="266" customFormat="1" ht="217.95" customHeight="1" outlineLevel="1" x14ac:dyDescent="0.25">
      <c r="A189" s="303" t="s">
        <v>644</v>
      </c>
      <c r="B189" s="302" t="s">
        <v>423</v>
      </c>
      <c r="C189" s="303">
        <v>0</v>
      </c>
      <c r="D189" s="303">
        <f t="shared" si="34"/>
        <v>0</v>
      </c>
      <c r="E189" s="303">
        <v>0</v>
      </c>
      <c r="F189" s="307">
        <v>0</v>
      </c>
      <c r="G189" s="303">
        <v>0</v>
      </c>
      <c r="H189" s="303">
        <v>0</v>
      </c>
      <c r="I189" s="303">
        <v>0</v>
      </c>
      <c r="J189" s="307">
        <v>0</v>
      </c>
      <c r="K189" s="303">
        <v>0</v>
      </c>
      <c r="L189" s="301">
        <v>0</v>
      </c>
      <c r="M189" s="301">
        <v>0</v>
      </c>
      <c r="N189" s="301">
        <v>0</v>
      </c>
      <c r="O189" s="304">
        <v>0</v>
      </c>
      <c r="P189" s="301">
        <v>0</v>
      </c>
      <c r="Q189" s="301">
        <v>0</v>
      </c>
      <c r="R189" s="301">
        <v>0</v>
      </c>
      <c r="S189" s="301">
        <v>0</v>
      </c>
      <c r="T189" s="313">
        <v>0</v>
      </c>
      <c r="U189" s="314">
        <v>0</v>
      </c>
      <c r="V189" s="314">
        <v>0</v>
      </c>
      <c r="W189" s="314">
        <v>0</v>
      </c>
      <c r="X189" s="511">
        <v>0</v>
      </c>
      <c r="Y189" s="305">
        <v>0</v>
      </c>
      <c r="Z189" s="301">
        <v>0</v>
      </c>
      <c r="AA189" s="301">
        <v>0</v>
      </c>
      <c r="AB189" s="301">
        <v>0</v>
      </c>
      <c r="AC189" s="304">
        <f>AF189</f>
        <v>0</v>
      </c>
      <c r="AD189" s="301">
        <v>0</v>
      </c>
      <c r="AE189" s="301">
        <v>0</v>
      </c>
      <c r="AF189" s="301">
        <v>0</v>
      </c>
      <c r="AG189" s="510">
        <v>0</v>
      </c>
      <c r="AH189" s="304">
        <f>AK189</f>
        <v>0</v>
      </c>
      <c r="AI189" s="301">
        <v>0</v>
      </c>
      <c r="AJ189" s="301">
        <v>0</v>
      </c>
      <c r="AK189" s="301">
        <v>0</v>
      </c>
      <c r="AL189" s="306"/>
    </row>
    <row r="190" spans="1:51" s="266" customFormat="1" ht="45.6" customHeight="1" outlineLevel="1" x14ac:dyDescent="0.25">
      <c r="A190" s="303" t="s">
        <v>645</v>
      </c>
      <c r="B190" s="302" t="s">
        <v>435</v>
      </c>
      <c r="C190" s="303">
        <v>0</v>
      </c>
      <c r="D190" s="303">
        <f t="shared" si="34"/>
        <v>0</v>
      </c>
      <c r="E190" s="303">
        <v>0</v>
      </c>
      <c r="F190" s="307">
        <v>0</v>
      </c>
      <c r="G190" s="303">
        <v>0</v>
      </c>
      <c r="H190" s="303">
        <v>0</v>
      </c>
      <c r="I190" s="303">
        <v>0</v>
      </c>
      <c r="J190" s="307">
        <v>0</v>
      </c>
      <c r="K190" s="303">
        <v>0</v>
      </c>
      <c r="L190" s="301">
        <v>0</v>
      </c>
      <c r="M190" s="301">
        <v>0</v>
      </c>
      <c r="N190" s="301">
        <v>0</v>
      </c>
      <c r="O190" s="304">
        <v>0</v>
      </c>
      <c r="P190" s="301">
        <v>0</v>
      </c>
      <c r="Q190" s="301">
        <v>0</v>
      </c>
      <c r="R190" s="301">
        <v>0</v>
      </c>
      <c r="S190" s="301">
        <v>0</v>
      </c>
      <c r="T190" s="313">
        <v>0</v>
      </c>
      <c r="U190" s="314">
        <v>0</v>
      </c>
      <c r="V190" s="314">
        <v>0</v>
      </c>
      <c r="W190" s="314">
        <v>0</v>
      </c>
      <c r="X190" s="511">
        <v>0</v>
      </c>
      <c r="Y190" s="305">
        <v>0</v>
      </c>
      <c r="Z190" s="301">
        <v>0</v>
      </c>
      <c r="AA190" s="301">
        <v>0</v>
      </c>
      <c r="AB190" s="301">
        <v>0</v>
      </c>
      <c r="AC190" s="304">
        <f>AF190</f>
        <v>0</v>
      </c>
      <c r="AD190" s="301"/>
      <c r="AE190" s="301">
        <v>0</v>
      </c>
      <c r="AF190" s="301">
        <v>0</v>
      </c>
      <c r="AG190" s="510">
        <v>0</v>
      </c>
      <c r="AH190" s="304">
        <f>AK190</f>
        <v>0</v>
      </c>
      <c r="AI190" s="301">
        <v>0</v>
      </c>
      <c r="AJ190" s="301">
        <v>0</v>
      </c>
      <c r="AK190" s="301">
        <v>0</v>
      </c>
      <c r="AL190" s="306"/>
    </row>
    <row r="191" spans="1:51" s="266" customFormat="1" ht="117.6" customHeight="1" outlineLevel="1" x14ac:dyDescent="0.25">
      <c r="A191" s="303" t="s">
        <v>646</v>
      </c>
      <c r="B191" s="302" t="s">
        <v>1397</v>
      </c>
      <c r="C191" s="303">
        <v>0</v>
      </c>
      <c r="D191" s="303">
        <f t="shared" si="34"/>
        <v>0</v>
      </c>
      <c r="E191" s="303">
        <v>0</v>
      </c>
      <c r="F191" s="307">
        <v>0</v>
      </c>
      <c r="G191" s="303">
        <v>0</v>
      </c>
      <c r="H191" s="303">
        <v>0</v>
      </c>
      <c r="I191" s="303">
        <v>0</v>
      </c>
      <c r="J191" s="307">
        <v>0</v>
      </c>
      <c r="K191" s="303">
        <v>0</v>
      </c>
      <c r="L191" s="301">
        <v>0</v>
      </c>
      <c r="M191" s="301">
        <v>0</v>
      </c>
      <c r="N191" s="301">
        <v>0</v>
      </c>
      <c r="O191" s="304">
        <v>0</v>
      </c>
      <c r="P191" s="301">
        <v>0</v>
      </c>
      <c r="Q191" s="301">
        <v>0</v>
      </c>
      <c r="R191" s="301">
        <v>0</v>
      </c>
      <c r="S191" s="301">
        <v>0</v>
      </c>
      <c r="T191" s="313">
        <v>0</v>
      </c>
      <c r="U191" s="314">
        <v>0</v>
      </c>
      <c r="V191" s="314">
        <v>0</v>
      </c>
      <c r="W191" s="314">
        <v>0</v>
      </c>
      <c r="X191" s="511">
        <v>0</v>
      </c>
      <c r="Y191" s="305">
        <f>AA191</f>
        <v>0</v>
      </c>
      <c r="Z191" s="301">
        <v>0</v>
      </c>
      <c r="AA191" s="301">
        <v>0</v>
      </c>
      <c r="AB191" s="301">
        <v>0</v>
      </c>
      <c r="AC191" s="304">
        <f>AF191</f>
        <v>0</v>
      </c>
      <c r="AD191" s="301">
        <v>0</v>
      </c>
      <c r="AE191" s="301">
        <v>0</v>
      </c>
      <c r="AF191" s="301">
        <v>0</v>
      </c>
      <c r="AG191" s="510">
        <v>0</v>
      </c>
      <c r="AH191" s="304">
        <f>AK191</f>
        <v>0</v>
      </c>
      <c r="AI191" s="301">
        <v>0</v>
      </c>
      <c r="AJ191" s="301">
        <v>0</v>
      </c>
      <c r="AK191" s="301">
        <v>0</v>
      </c>
      <c r="AL191" s="306"/>
    </row>
    <row r="192" spans="1:51" s="266" customFormat="1" ht="39.6" customHeight="1" outlineLevel="1" x14ac:dyDescent="0.25">
      <c r="A192" s="303" t="s">
        <v>647</v>
      </c>
      <c r="B192" s="302" t="s">
        <v>591</v>
      </c>
      <c r="C192" s="303">
        <v>0</v>
      </c>
      <c r="D192" s="303">
        <f t="shared" si="34"/>
        <v>0</v>
      </c>
      <c r="E192" s="303">
        <v>0</v>
      </c>
      <c r="F192" s="307">
        <v>0</v>
      </c>
      <c r="G192" s="303">
        <v>0</v>
      </c>
      <c r="H192" s="303">
        <v>0</v>
      </c>
      <c r="I192" s="303">
        <v>0</v>
      </c>
      <c r="J192" s="307">
        <v>0</v>
      </c>
      <c r="K192" s="303">
        <v>0</v>
      </c>
      <c r="L192" s="301">
        <v>0</v>
      </c>
      <c r="M192" s="301">
        <v>0</v>
      </c>
      <c r="N192" s="301">
        <v>0</v>
      </c>
      <c r="O192" s="304">
        <v>0</v>
      </c>
      <c r="P192" s="301">
        <v>0</v>
      </c>
      <c r="Q192" s="301">
        <v>0</v>
      </c>
      <c r="R192" s="301">
        <v>0</v>
      </c>
      <c r="S192" s="301">
        <v>0</v>
      </c>
      <c r="T192" s="313">
        <v>0</v>
      </c>
      <c r="U192" s="314">
        <v>0</v>
      </c>
      <c r="V192" s="314">
        <v>0</v>
      </c>
      <c r="W192" s="314">
        <v>0</v>
      </c>
      <c r="X192" s="511">
        <v>0</v>
      </c>
      <c r="Y192" s="305">
        <v>0</v>
      </c>
      <c r="Z192" s="301">
        <v>0</v>
      </c>
      <c r="AA192" s="301">
        <v>0</v>
      </c>
      <c r="AB192" s="301">
        <v>0</v>
      </c>
      <c r="AC192" s="304">
        <f>AE192+AF192</f>
        <v>0</v>
      </c>
      <c r="AD192" s="301">
        <v>0</v>
      </c>
      <c r="AE192" s="301">
        <v>0</v>
      </c>
      <c r="AF192" s="301">
        <v>0</v>
      </c>
      <c r="AG192" s="510">
        <v>0</v>
      </c>
      <c r="AH192" s="304">
        <f>AJ192+AK192</f>
        <v>0</v>
      </c>
      <c r="AI192" s="301">
        <v>0</v>
      </c>
      <c r="AJ192" s="301">
        <v>0</v>
      </c>
      <c r="AK192" s="301">
        <v>0</v>
      </c>
      <c r="AL192" s="306"/>
    </row>
    <row r="193" spans="1:51" s="265" customFormat="1" ht="64.650000000000006" customHeight="1" outlineLevel="1" x14ac:dyDescent="0.3">
      <c r="A193" s="431" t="s">
        <v>648</v>
      </c>
      <c r="B193" s="432" t="s">
        <v>649</v>
      </c>
      <c r="C193" s="431">
        <f>I193+N193+S193+X193+AB193+AG193</f>
        <v>0</v>
      </c>
      <c r="D193" s="431">
        <f>F193+J193+O193+T193+Y193+AC193+AH193</f>
        <v>0</v>
      </c>
      <c r="E193" s="431">
        <v>0</v>
      </c>
      <c r="F193" s="431">
        <f>F194+F195+F196+F197+F198</f>
        <v>0</v>
      </c>
      <c r="G193" s="431">
        <f t="shared" ref="G193:O193" si="37">G194+G195+G196+G197+G198</f>
        <v>0</v>
      </c>
      <c r="H193" s="431">
        <f t="shared" si="37"/>
        <v>0</v>
      </c>
      <c r="I193" s="431">
        <f t="shared" si="37"/>
        <v>0</v>
      </c>
      <c r="J193" s="431">
        <f t="shared" si="37"/>
        <v>0</v>
      </c>
      <c r="K193" s="431">
        <v>0</v>
      </c>
      <c r="L193" s="431">
        <f t="shared" si="37"/>
        <v>0</v>
      </c>
      <c r="M193" s="431">
        <f t="shared" si="37"/>
        <v>0</v>
      </c>
      <c r="N193" s="431">
        <f t="shared" si="37"/>
        <v>0</v>
      </c>
      <c r="O193" s="431">
        <f t="shared" si="37"/>
        <v>0</v>
      </c>
      <c r="P193" s="431">
        <v>0</v>
      </c>
      <c r="Q193" s="431">
        <f t="shared" ref="Q193:AK193" si="38">Q194+Q195+Q196+Q197+Q198</f>
        <v>0</v>
      </c>
      <c r="R193" s="431">
        <f t="shared" si="38"/>
        <v>0</v>
      </c>
      <c r="S193" s="431">
        <f t="shared" si="38"/>
        <v>0</v>
      </c>
      <c r="T193" s="431">
        <f t="shared" si="38"/>
        <v>0</v>
      </c>
      <c r="U193" s="431">
        <v>0</v>
      </c>
      <c r="V193" s="433">
        <f t="shared" si="38"/>
        <v>0</v>
      </c>
      <c r="W193" s="433">
        <f t="shared" si="38"/>
        <v>0</v>
      </c>
      <c r="X193" s="481">
        <f t="shared" si="38"/>
        <v>0</v>
      </c>
      <c r="Y193" s="433">
        <f t="shared" si="38"/>
        <v>0</v>
      </c>
      <c r="Z193" s="431">
        <f t="shared" si="38"/>
        <v>0</v>
      </c>
      <c r="AA193" s="431">
        <f t="shared" si="38"/>
        <v>0</v>
      </c>
      <c r="AB193" s="431">
        <f t="shared" si="38"/>
        <v>0</v>
      </c>
      <c r="AC193" s="431">
        <f t="shared" si="38"/>
        <v>0</v>
      </c>
      <c r="AD193" s="433">
        <v>0</v>
      </c>
      <c r="AE193" s="431">
        <f t="shared" si="38"/>
        <v>0</v>
      </c>
      <c r="AF193" s="431">
        <f t="shared" si="38"/>
        <v>0</v>
      </c>
      <c r="AG193" s="481">
        <v>0</v>
      </c>
      <c r="AH193" s="431">
        <f t="shared" si="38"/>
        <v>0</v>
      </c>
      <c r="AI193" s="431">
        <v>0</v>
      </c>
      <c r="AJ193" s="431">
        <f t="shared" si="38"/>
        <v>0</v>
      </c>
      <c r="AK193" s="431">
        <f t="shared" si="38"/>
        <v>0</v>
      </c>
      <c r="AL193" s="299"/>
      <c r="AM193" s="206"/>
      <c r="AN193" s="206"/>
      <c r="AO193" s="206"/>
      <c r="AP193" s="206"/>
      <c r="AQ193" s="206"/>
      <c r="AR193" s="206"/>
      <c r="AS193" s="206"/>
      <c r="AT193" s="206"/>
      <c r="AU193" s="206"/>
      <c r="AV193" s="206"/>
      <c r="AW193" s="206"/>
      <c r="AX193" s="206"/>
      <c r="AY193" s="206"/>
    </row>
    <row r="194" spans="1:51" s="266" customFormat="1" ht="181.95" customHeight="1" outlineLevel="1" x14ac:dyDescent="0.25">
      <c r="A194" s="303" t="s">
        <v>650</v>
      </c>
      <c r="B194" s="302" t="s">
        <v>651</v>
      </c>
      <c r="C194" s="303">
        <v>0</v>
      </c>
      <c r="D194" s="303">
        <f t="shared" si="34"/>
        <v>0</v>
      </c>
      <c r="E194" s="303">
        <v>0</v>
      </c>
      <c r="F194" s="307">
        <v>0</v>
      </c>
      <c r="G194" s="303">
        <v>0</v>
      </c>
      <c r="H194" s="303">
        <v>0</v>
      </c>
      <c r="I194" s="303">
        <v>0</v>
      </c>
      <c r="J194" s="307">
        <v>0</v>
      </c>
      <c r="K194" s="303">
        <v>0</v>
      </c>
      <c r="L194" s="301">
        <v>0</v>
      </c>
      <c r="M194" s="301">
        <v>0</v>
      </c>
      <c r="N194" s="301">
        <v>0</v>
      </c>
      <c r="O194" s="304">
        <v>0</v>
      </c>
      <c r="P194" s="301">
        <v>0</v>
      </c>
      <c r="Q194" s="301">
        <v>0</v>
      </c>
      <c r="R194" s="301">
        <v>0</v>
      </c>
      <c r="S194" s="301">
        <v>0</v>
      </c>
      <c r="T194" s="304">
        <v>0</v>
      </c>
      <c r="U194" s="301">
        <v>0</v>
      </c>
      <c r="V194" s="301">
        <v>0</v>
      </c>
      <c r="W194" s="301">
        <v>0</v>
      </c>
      <c r="X194" s="510">
        <v>0</v>
      </c>
      <c r="Y194" s="312">
        <f>AA194</f>
        <v>0</v>
      </c>
      <c r="Z194" s="301">
        <v>0</v>
      </c>
      <c r="AA194" s="301">
        <v>0</v>
      </c>
      <c r="AB194" s="301">
        <v>0</v>
      </c>
      <c r="AC194" s="304">
        <f>AF194</f>
        <v>0</v>
      </c>
      <c r="AD194" s="301">
        <v>0</v>
      </c>
      <c r="AE194" s="301">
        <v>0</v>
      </c>
      <c r="AF194" s="301">
        <v>0</v>
      </c>
      <c r="AG194" s="510">
        <v>0</v>
      </c>
      <c r="AH194" s="304">
        <f>AK194</f>
        <v>0</v>
      </c>
      <c r="AI194" s="301">
        <v>0</v>
      </c>
      <c r="AJ194" s="301">
        <v>0</v>
      </c>
      <c r="AK194" s="301">
        <v>0</v>
      </c>
      <c r="AL194" s="306"/>
    </row>
    <row r="195" spans="1:51" s="266" customFormat="1" ht="228" customHeight="1" outlineLevel="1" x14ac:dyDescent="0.25">
      <c r="A195" s="303" t="s">
        <v>652</v>
      </c>
      <c r="B195" s="302" t="s">
        <v>423</v>
      </c>
      <c r="C195" s="303">
        <v>0</v>
      </c>
      <c r="D195" s="303">
        <f t="shared" si="34"/>
        <v>0</v>
      </c>
      <c r="E195" s="303">
        <v>0</v>
      </c>
      <c r="F195" s="307">
        <v>0</v>
      </c>
      <c r="G195" s="303">
        <v>0</v>
      </c>
      <c r="H195" s="303">
        <v>0</v>
      </c>
      <c r="I195" s="303">
        <v>0</v>
      </c>
      <c r="J195" s="307">
        <v>0</v>
      </c>
      <c r="K195" s="303">
        <v>0</v>
      </c>
      <c r="L195" s="301">
        <v>0</v>
      </c>
      <c r="M195" s="301">
        <v>0</v>
      </c>
      <c r="N195" s="301">
        <v>0</v>
      </c>
      <c r="O195" s="304">
        <v>0</v>
      </c>
      <c r="P195" s="301">
        <v>0</v>
      </c>
      <c r="Q195" s="301">
        <v>0</v>
      </c>
      <c r="R195" s="301">
        <v>0</v>
      </c>
      <c r="S195" s="301">
        <v>0</v>
      </c>
      <c r="T195" s="313">
        <v>0</v>
      </c>
      <c r="U195" s="314">
        <v>0</v>
      </c>
      <c r="V195" s="314">
        <v>0</v>
      </c>
      <c r="W195" s="314">
        <v>0</v>
      </c>
      <c r="X195" s="511">
        <v>0</v>
      </c>
      <c r="Y195" s="305">
        <v>0</v>
      </c>
      <c r="Z195" s="301">
        <v>0</v>
      </c>
      <c r="AA195" s="301">
        <v>0</v>
      </c>
      <c r="AB195" s="301">
        <v>0</v>
      </c>
      <c r="AC195" s="304">
        <f>AF195</f>
        <v>0</v>
      </c>
      <c r="AD195" s="301">
        <v>0</v>
      </c>
      <c r="AE195" s="301">
        <v>0</v>
      </c>
      <c r="AF195" s="301">
        <v>0</v>
      </c>
      <c r="AG195" s="510">
        <v>0</v>
      </c>
      <c r="AH195" s="304">
        <f>AK195</f>
        <v>0</v>
      </c>
      <c r="AI195" s="301">
        <v>0</v>
      </c>
      <c r="AJ195" s="301">
        <v>0</v>
      </c>
      <c r="AK195" s="301">
        <v>0</v>
      </c>
      <c r="AL195" s="306"/>
    </row>
    <row r="196" spans="1:51" s="266" customFormat="1" ht="43.65" customHeight="1" outlineLevel="1" x14ac:dyDescent="0.25">
      <c r="A196" s="303" t="s">
        <v>653</v>
      </c>
      <c r="B196" s="302" t="s">
        <v>435</v>
      </c>
      <c r="C196" s="303">
        <v>0</v>
      </c>
      <c r="D196" s="303">
        <f t="shared" si="34"/>
        <v>0</v>
      </c>
      <c r="E196" s="303">
        <v>0</v>
      </c>
      <c r="F196" s="307">
        <v>0</v>
      </c>
      <c r="G196" s="303">
        <v>0</v>
      </c>
      <c r="H196" s="303">
        <v>0</v>
      </c>
      <c r="I196" s="303">
        <v>0</v>
      </c>
      <c r="J196" s="307">
        <v>0</v>
      </c>
      <c r="K196" s="303">
        <v>0</v>
      </c>
      <c r="L196" s="301">
        <v>0</v>
      </c>
      <c r="M196" s="301">
        <v>0</v>
      </c>
      <c r="N196" s="301">
        <v>0</v>
      </c>
      <c r="O196" s="304">
        <v>0</v>
      </c>
      <c r="P196" s="301">
        <v>0</v>
      </c>
      <c r="Q196" s="301">
        <v>0</v>
      </c>
      <c r="R196" s="301">
        <v>0</v>
      </c>
      <c r="S196" s="301">
        <v>0</v>
      </c>
      <c r="T196" s="313">
        <v>0</v>
      </c>
      <c r="U196" s="314">
        <v>0</v>
      </c>
      <c r="V196" s="314">
        <v>0</v>
      </c>
      <c r="W196" s="314"/>
      <c r="X196" s="511">
        <v>0</v>
      </c>
      <c r="Y196" s="305">
        <v>0</v>
      </c>
      <c r="Z196" s="301">
        <v>0</v>
      </c>
      <c r="AA196" s="301">
        <v>0</v>
      </c>
      <c r="AB196" s="301">
        <v>0</v>
      </c>
      <c r="AC196" s="304">
        <f>AF196</f>
        <v>0</v>
      </c>
      <c r="AD196" s="301"/>
      <c r="AE196" s="301">
        <v>0</v>
      </c>
      <c r="AF196" s="301">
        <v>0</v>
      </c>
      <c r="AG196" s="510">
        <v>0</v>
      </c>
      <c r="AH196" s="304">
        <f>AK196</f>
        <v>0</v>
      </c>
      <c r="AI196" s="301">
        <v>0</v>
      </c>
      <c r="AJ196" s="301">
        <v>0</v>
      </c>
      <c r="AK196" s="301">
        <v>0</v>
      </c>
      <c r="AL196" s="306"/>
    </row>
    <row r="197" spans="1:51" s="266" customFormat="1" ht="107.4" customHeight="1" outlineLevel="1" x14ac:dyDescent="0.25">
      <c r="A197" s="303" t="s">
        <v>654</v>
      </c>
      <c r="B197" s="302" t="s">
        <v>1402</v>
      </c>
      <c r="C197" s="303">
        <v>0</v>
      </c>
      <c r="D197" s="303">
        <f t="shared" si="34"/>
        <v>0</v>
      </c>
      <c r="E197" s="303">
        <v>0</v>
      </c>
      <c r="F197" s="307">
        <v>0</v>
      </c>
      <c r="G197" s="303">
        <v>0</v>
      </c>
      <c r="H197" s="303">
        <v>0</v>
      </c>
      <c r="I197" s="303">
        <v>0</v>
      </c>
      <c r="J197" s="307">
        <v>0</v>
      </c>
      <c r="K197" s="303">
        <v>0</v>
      </c>
      <c r="L197" s="301">
        <v>0</v>
      </c>
      <c r="M197" s="301">
        <v>0</v>
      </c>
      <c r="N197" s="301">
        <v>0</v>
      </c>
      <c r="O197" s="304">
        <v>0</v>
      </c>
      <c r="P197" s="301">
        <v>0</v>
      </c>
      <c r="Q197" s="301">
        <v>0</v>
      </c>
      <c r="R197" s="314">
        <v>0</v>
      </c>
      <c r="S197" s="314">
        <v>0</v>
      </c>
      <c r="T197" s="313">
        <v>0</v>
      </c>
      <c r="U197" s="314">
        <v>0</v>
      </c>
      <c r="V197" s="314">
        <v>0</v>
      </c>
      <c r="W197" s="314">
        <v>0</v>
      </c>
      <c r="X197" s="511">
        <v>0</v>
      </c>
      <c r="Y197" s="315">
        <v>0</v>
      </c>
      <c r="Z197" s="301">
        <v>0</v>
      </c>
      <c r="AA197" s="301">
        <v>0</v>
      </c>
      <c r="AB197" s="301">
        <v>0</v>
      </c>
      <c r="AC197" s="304">
        <f>AF197</f>
        <v>0</v>
      </c>
      <c r="AD197" s="301">
        <v>0</v>
      </c>
      <c r="AE197" s="301">
        <v>0</v>
      </c>
      <c r="AF197" s="301">
        <v>0</v>
      </c>
      <c r="AG197" s="510">
        <v>0</v>
      </c>
      <c r="AH197" s="304">
        <f>AK197</f>
        <v>0</v>
      </c>
      <c r="AI197" s="301">
        <v>0</v>
      </c>
      <c r="AJ197" s="301">
        <v>0</v>
      </c>
      <c r="AK197" s="301">
        <v>0</v>
      </c>
      <c r="AL197" s="306"/>
    </row>
    <row r="198" spans="1:51" s="266" customFormat="1" ht="42" customHeight="1" outlineLevel="1" x14ac:dyDescent="0.25">
      <c r="A198" s="303" t="s">
        <v>655</v>
      </c>
      <c r="B198" s="302" t="s">
        <v>1395</v>
      </c>
      <c r="C198" s="303">
        <v>0.6</v>
      </c>
      <c r="D198" s="303">
        <f t="shared" si="34"/>
        <v>0</v>
      </c>
      <c r="E198" s="303">
        <v>0</v>
      </c>
      <c r="F198" s="307">
        <v>0</v>
      </c>
      <c r="G198" s="303">
        <v>0</v>
      </c>
      <c r="H198" s="303">
        <v>0</v>
      </c>
      <c r="I198" s="303">
        <v>0</v>
      </c>
      <c r="J198" s="307">
        <v>0</v>
      </c>
      <c r="K198" s="303">
        <v>0</v>
      </c>
      <c r="L198" s="301">
        <v>0</v>
      </c>
      <c r="M198" s="301">
        <v>0</v>
      </c>
      <c r="N198" s="301">
        <v>0</v>
      </c>
      <c r="O198" s="304">
        <v>0</v>
      </c>
      <c r="P198" s="301">
        <v>0</v>
      </c>
      <c r="Q198" s="301">
        <v>0</v>
      </c>
      <c r="R198" s="314">
        <v>0</v>
      </c>
      <c r="S198" s="314">
        <v>0</v>
      </c>
      <c r="T198" s="313">
        <v>0</v>
      </c>
      <c r="U198" s="314">
        <v>0</v>
      </c>
      <c r="V198" s="314">
        <v>0</v>
      </c>
      <c r="W198" s="314">
        <v>0</v>
      </c>
      <c r="X198" s="511"/>
      <c r="Y198" s="315">
        <v>0</v>
      </c>
      <c r="Z198" s="301">
        <v>0</v>
      </c>
      <c r="AA198" s="301">
        <v>0</v>
      </c>
      <c r="AB198" s="301">
        <v>0</v>
      </c>
      <c r="AC198" s="304">
        <v>0</v>
      </c>
      <c r="AD198" s="301">
        <v>0</v>
      </c>
      <c r="AE198" s="301">
        <v>0</v>
      </c>
      <c r="AF198" s="301">
        <v>0</v>
      </c>
      <c r="AG198" s="510">
        <v>0.6</v>
      </c>
      <c r="AH198" s="304">
        <v>0</v>
      </c>
      <c r="AI198" s="301">
        <v>0</v>
      </c>
      <c r="AJ198" s="301">
        <v>0</v>
      </c>
      <c r="AK198" s="301">
        <v>0</v>
      </c>
      <c r="AL198" s="306"/>
    </row>
    <row r="199" spans="1:51" s="265" customFormat="1" ht="98.4" customHeight="1" outlineLevel="1" x14ac:dyDescent="0.3">
      <c r="A199" s="431" t="s">
        <v>656</v>
      </c>
      <c r="B199" s="432" t="s">
        <v>657</v>
      </c>
      <c r="C199" s="431">
        <v>0</v>
      </c>
      <c r="D199" s="431">
        <f>F199+J199+O199+T199+Y199+AC199+AH199</f>
        <v>0</v>
      </c>
      <c r="E199" s="431">
        <v>0</v>
      </c>
      <c r="F199" s="431">
        <f>F200+F201+F202+F203+F204</f>
        <v>0</v>
      </c>
      <c r="G199" s="431">
        <f t="shared" ref="G199:AK199" si="39">G200+G201+G202+G203+G204</f>
        <v>0</v>
      </c>
      <c r="H199" s="431">
        <f t="shared" si="39"/>
        <v>0</v>
      </c>
      <c r="I199" s="431">
        <f t="shared" si="39"/>
        <v>0</v>
      </c>
      <c r="J199" s="431">
        <f t="shared" si="39"/>
        <v>0</v>
      </c>
      <c r="K199" s="431">
        <v>0</v>
      </c>
      <c r="L199" s="431">
        <f t="shared" si="39"/>
        <v>0</v>
      </c>
      <c r="M199" s="431">
        <f t="shared" si="39"/>
        <v>0</v>
      </c>
      <c r="N199" s="431">
        <f t="shared" si="39"/>
        <v>0</v>
      </c>
      <c r="O199" s="431">
        <f t="shared" si="39"/>
        <v>0</v>
      </c>
      <c r="P199" s="431">
        <v>0</v>
      </c>
      <c r="Q199" s="431">
        <f t="shared" si="39"/>
        <v>0</v>
      </c>
      <c r="R199" s="431">
        <f t="shared" si="39"/>
        <v>0</v>
      </c>
      <c r="S199" s="431">
        <f t="shared" si="39"/>
        <v>0</v>
      </c>
      <c r="T199" s="431">
        <f t="shared" si="39"/>
        <v>0</v>
      </c>
      <c r="U199" s="431"/>
      <c r="V199" s="433">
        <f t="shared" si="39"/>
        <v>0</v>
      </c>
      <c r="W199" s="433">
        <f t="shared" si="39"/>
        <v>0</v>
      </c>
      <c r="X199" s="481">
        <f t="shared" si="39"/>
        <v>0</v>
      </c>
      <c r="Y199" s="433">
        <f t="shared" si="39"/>
        <v>0</v>
      </c>
      <c r="Z199" s="431">
        <f t="shared" si="39"/>
        <v>0</v>
      </c>
      <c r="AA199" s="431">
        <f t="shared" si="39"/>
        <v>0</v>
      </c>
      <c r="AB199" s="431">
        <f t="shared" si="39"/>
        <v>0</v>
      </c>
      <c r="AC199" s="431">
        <f t="shared" si="39"/>
        <v>0</v>
      </c>
      <c r="AD199" s="433">
        <v>0</v>
      </c>
      <c r="AE199" s="431">
        <f t="shared" si="39"/>
        <v>0</v>
      </c>
      <c r="AF199" s="431">
        <f t="shared" si="39"/>
        <v>0</v>
      </c>
      <c r="AG199" s="481">
        <f t="shared" si="39"/>
        <v>0</v>
      </c>
      <c r="AH199" s="431">
        <f t="shared" si="39"/>
        <v>0</v>
      </c>
      <c r="AI199" s="431">
        <v>0</v>
      </c>
      <c r="AJ199" s="431">
        <f t="shared" si="39"/>
        <v>0</v>
      </c>
      <c r="AK199" s="431">
        <f t="shared" si="39"/>
        <v>0</v>
      </c>
      <c r="AL199" s="299"/>
      <c r="AM199" s="206"/>
      <c r="AN199" s="206"/>
      <c r="AO199" s="206"/>
      <c r="AP199" s="206"/>
      <c r="AQ199" s="206"/>
      <c r="AR199" s="206"/>
      <c r="AS199" s="206"/>
      <c r="AT199" s="206"/>
      <c r="AU199" s="206"/>
      <c r="AV199" s="206"/>
      <c r="AW199" s="206"/>
      <c r="AX199" s="206"/>
      <c r="AY199" s="206"/>
    </row>
    <row r="200" spans="1:51" s="266" customFormat="1" ht="184.2" customHeight="1" outlineLevel="1" x14ac:dyDescent="0.25">
      <c r="A200" s="303" t="s">
        <v>658</v>
      </c>
      <c r="B200" s="302" t="s">
        <v>659</v>
      </c>
      <c r="C200" s="303">
        <v>0</v>
      </c>
      <c r="D200" s="303">
        <f t="shared" si="34"/>
        <v>0</v>
      </c>
      <c r="E200" s="303">
        <v>0</v>
      </c>
      <c r="F200" s="307">
        <v>0</v>
      </c>
      <c r="G200" s="303">
        <v>0</v>
      </c>
      <c r="H200" s="303">
        <v>0</v>
      </c>
      <c r="I200" s="303">
        <v>0</v>
      </c>
      <c r="J200" s="307">
        <v>0</v>
      </c>
      <c r="K200" s="303">
        <v>0</v>
      </c>
      <c r="L200" s="301">
        <v>0</v>
      </c>
      <c r="M200" s="301">
        <v>0</v>
      </c>
      <c r="N200" s="301">
        <v>0</v>
      </c>
      <c r="O200" s="304">
        <v>0</v>
      </c>
      <c r="P200" s="301">
        <v>0</v>
      </c>
      <c r="Q200" s="301">
        <v>0</v>
      </c>
      <c r="R200" s="301">
        <v>0</v>
      </c>
      <c r="S200" s="301">
        <v>0</v>
      </c>
      <c r="T200" s="304">
        <v>0</v>
      </c>
      <c r="U200" s="301">
        <v>0</v>
      </c>
      <c r="V200" s="301">
        <v>0</v>
      </c>
      <c r="W200" s="301">
        <v>0</v>
      </c>
      <c r="X200" s="510">
        <v>0</v>
      </c>
      <c r="Y200" s="312">
        <f>AA200</f>
        <v>0</v>
      </c>
      <c r="Z200" s="301">
        <v>0</v>
      </c>
      <c r="AA200" s="301">
        <v>0</v>
      </c>
      <c r="AB200" s="301">
        <v>0</v>
      </c>
      <c r="AC200" s="304">
        <f>AF200</f>
        <v>0</v>
      </c>
      <c r="AD200" s="301">
        <v>0</v>
      </c>
      <c r="AE200" s="301">
        <v>0</v>
      </c>
      <c r="AF200" s="301">
        <v>0</v>
      </c>
      <c r="AG200" s="510">
        <v>0</v>
      </c>
      <c r="AH200" s="304">
        <f>AK200</f>
        <v>0</v>
      </c>
      <c r="AI200" s="301">
        <v>0</v>
      </c>
      <c r="AJ200" s="301">
        <v>0</v>
      </c>
      <c r="AK200" s="301">
        <v>0</v>
      </c>
      <c r="AL200" s="306"/>
    </row>
    <row r="201" spans="1:51" s="266" customFormat="1" ht="228" customHeight="1" outlineLevel="1" x14ac:dyDescent="0.25">
      <c r="A201" s="303" t="s">
        <v>660</v>
      </c>
      <c r="B201" s="302" t="s">
        <v>423</v>
      </c>
      <c r="C201" s="303">
        <v>0</v>
      </c>
      <c r="D201" s="303">
        <f t="shared" si="34"/>
        <v>0</v>
      </c>
      <c r="E201" s="303">
        <v>0</v>
      </c>
      <c r="F201" s="307">
        <v>0</v>
      </c>
      <c r="G201" s="303">
        <v>0</v>
      </c>
      <c r="H201" s="303">
        <v>0</v>
      </c>
      <c r="I201" s="303">
        <v>0</v>
      </c>
      <c r="J201" s="307">
        <v>0</v>
      </c>
      <c r="K201" s="303">
        <v>0</v>
      </c>
      <c r="L201" s="301">
        <v>0</v>
      </c>
      <c r="M201" s="301">
        <v>0</v>
      </c>
      <c r="N201" s="301">
        <v>0</v>
      </c>
      <c r="O201" s="304">
        <v>0</v>
      </c>
      <c r="P201" s="301">
        <v>0</v>
      </c>
      <c r="Q201" s="301">
        <v>0</v>
      </c>
      <c r="R201" s="301">
        <v>0</v>
      </c>
      <c r="S201" s="301">
        <v>0</v>
      </c>
      <c r="T201" s="313">
        <v>0</v>
      </c>
      <c r="U201" s="314">
        <v>0</v>
      </c>
      <c r="V201" s="314">
        <v>0</v>
      </c>
      <c r="W201" s="314">
        <v>0</v>
      </c>
      <c r="X201" s="511">
        <v>0</v>
      </c>
      <c r="Y201" s="305">
        <v>0</v>
      </c>
      <c r="Z201" s="301">
        <v>0</v>
      </c>
      <c r="AA201" s="301">
        <v>0</v>
      </c>
      <c r="AB201" s="301">
        <v>0</v>
      </c>
      <c r="AC201" s="304">
        <f>AF201</f>
        <v>0</v>
      </c>
      <c r="AD201" s="301">
        <v>0</v>
      </c>
      <c r="AE201" s="301">
        <v>0</v>
      </c>
      <c r="AF201" s="301">
        <v>0</v>
      </c>
      <c r="AG201" s="510">
        <v>0</v>
      </c>
      <c r="AH201" s="304">
        <f>AK201</f>
        <v>0</v>
      </c>
      <c r="AI201" s="301">
        <v>0</v>
      </c>
      <c r="AJ201" s="301">
        <v>0</v>
      </c>
      <c r="AK201" s="301">
        <v>0</v>
      </c>
      <c r="AL201" s="306"/>
    </row>
    <row r="202" spans="1:51" s="266" customFormat="1" ht="36.6" customHeight="1" outlineLevel="1" x14ac:dyDescent="0.25">
      <c r="A202" s="303" t="s">
        <v>661</v>
      </c>
      <c r="B202" s="302" t="s">
        <v>435</v>
      </c>
      <c r="C202" s="303">
        <v>0</v>
      </c>
      <c r="D202" s="303">
        <f t="shared" si="34"/>
        <v>0</v>
      </c>
      <c r="E202" s="303">
        <v>0</v>
      </c>
      <c r="F202" s="307">
        <v>0</v>
      </c>
      <c r="G202" s="303">
        <v>0</v>
      </c>
      <c r="H202" s="303">
        <v>0</v>
      </c>
      <c r="I202" s="303">
        <v>0</v>
      </c>
      <c r="J202" s="307">
        <v>0</v>
      </c>
      <c r="K202" s="303">
        <v>0</v>
      </c>
      <c r="L202" s="301">
        <v>0</v>
      </c>
      <c r="M202" s="301">
        <v>0</v>
      </c>
      <c r="N202" s="301">
        <v>0</v>
      </c>
      <c r="O202" s="304">
        <v>0</v>
      </c>
      <c r="P202" s="301">
        <v>0</v>
      </c>
      <c r="Q202" s="301">
        <v>0</v>
      </c>
      <c r="R202" s="301">
        <v>0</v>
      </c>
      <c r="S202" s="301">
        <v>0</v>
      </c>
      <c r="T202" s="313">
        <v>0</v>
      </c>
      <c r="U202" s="314">
        <v>0</v>
      </c>
      <c r="V202" s="314">
        <v>0</v>
      </c>
      <c r="W202" s="314">
        <v>0</v>
      </c>
      <c r="X202" s="511">
        <v>0</v>
      </c>
      <c r="Y202" s="305">
        <v>0</v>
      </c>
      <c r="Z202" s="301">
        <v>0</v>
      </c>
      <c r="AA202" s="301">
        <v>0</v>
      </c>
      <c r="AB202" s="301">
        <v>0</v>
      </c>
      <c r="AC202" s="304">
        <v>0</v>
      </c>
      <c r="AD202" s="301">
        <v>0</v>
      </c>
      <c r="AE202" s="301">
        <v>0</v>
      </c>
      <c r="AF202" s="301">
        <v>0</v>
      </c>
      <c r="AG202" s="510">
        <v>0</v>
      </c>
      <c r="AH202" s="304">
        <v>0</v>
      </c>
      <c r="AI202" s="301">
        <v>0</v>
      </c>
      <c r="AJ202" s="301">
        <v>0</v>
      </c>
      <c r="AK202" s="301">
        <v>0</v>
      </c>
      <c r="AL202" s="306"/>
    </row>
    <row r="203" spans="1:51" s="266" customFormat="1" ht="51.6" customHeight="1" outlineLevel="1" x14ac:dyDescent="0.25">
      <c r="A203" s="303" t="s">
        <v>662</v>
      </c>
      <c r="B203" s="302" t="s">
        <v>452</v>
      </c>
      <c r="C203" s="303">
        <v>0</v>
      </c>
      <c r="D203" s="303">
        <f t="shared" si="34"/>
        <v>0</v>
      </c>
      <c r="E203" s="303">
        <v>0</v>
      </c>
      <c r="F203" s="307">
        <v>0</v>
      </c>
      <c r="G203" s="303">
        <v>0</v>
      </c>
      <c r="H203" s="303">
        <v>0</v>
      </c>
      <c r="I203" s="303">
        <v>0</v>
      </c>
      <c r="J203" s="307">
        <v>0</v>
      </c>
      <c r="K203" s="303">
        <v>0</v>
      </c>
      <c r="L203" s="301">
        <v>0</v>
      </c>
      <c r="M203" s="301">
        <v>0</v>
      </c>
      <c r="N203" s="301">
        <v>0</v>
      </c>
      <c r="O203" s="304">
        <v>0</v>
      </c>
      <c r="P203" s="301">
        <v>0</v>
      </c>
      <c r="Q203" s="301">
        <v>0</v>
      </c>
      <c r="R203" s="301">
        <v>0</v>
      </c>
      <c r="S203" s="301">
        <v>0</v>
      </c>
      <c r="T203" s="313">
        <v>0</v>
      </c>
      <c r="U203" s="314">
        <v>0</v>
      </c>
      <c r="V203" s="314">
        <v>0</v>
      </c>
      <c r="W203" s="314">
        <v>0</v>
      </c>
      <c r="X203" s="511">
        <v>0</v>
      </c>
      <c r="Y203" s="305">
        <v>0</v>
      </c>
      <c r="Z203" s="301">
        <v>0</v>
      </c>
      <c r="AA203" s="301">
        <v>0</v>
      </c>
      <c r="AB203" s="301">
        <v>0</v>
      </c>
      <c r="AC203" s="304">
        <v>0</v>
      </c>
      <c r="AD203" s="301">
        <v>0</v>
      </c>
      <c r="AE203" s="301">
        <v>0</v>
      </c>
      <c r="AF203" s="301">
        <v>0</v>
      </c>
      <c r="AG203" s="510">
        <v>0</v>
      </c>
      <c r="AH203" s="304">
        <v>0</v>
      </c>
      <c r="AI203" s="301">
        <v>0</v>
      </c>
      <c r="AJ203" s="301">
        <v>0</v>
      </c>
      <c r="AK203" s="301">
        <v>0</v>
      </c>
      <c r="AL203" s="306"/>
    </row>
    <row r="204" spans="1:51" s="266" customFormat="1" ht="27" customHeight="1" outlineLevel="1" x14ac:dyDescent="0.25">
      <c r="A204" s="303" t="s">
        <v>663</v>
      </c>
      <c r="B204" s="302" t="s">
        <v>454</v>
      </c>
      <c r="C204" s="303">
        <v>0</v>
      </c>
      <c r="D204" s="303">
        <f t="shared" si="34"/>
        <v>0</v>
      </c>
      <c r="E204" s="303">
        <v>0</v>
      </c>
      <c r="F204" s="307">
        <v>0</v>
      </c>
      <c r="G204" s="303">
        <v>0</v>
      </c>
      <c r="H204" s="303">
        <v>0</v>
      </c>
      <c r="I204" s="303">
        <v>0</v>
      </c>
      <c r="J204" s="307">
        <v>0</v>
      </c>
      <c r="K204" s="303">
        <v>0</v>
      </c>
      <c r="L204" s="301">
        <v>0</v>
      </c>
      <c r="M204" s="301">
        <v>0</v>
      </c>
      <c r="N204" s="301">
        <v>0</v>
      </c>
      <c r="O204" s="304">
        <v>0</v>
      </c>
      <c r="P204" s="301">
        <v>0</v>
      </c>
      <c r="Q204" s="301">
        <v>0</v>
      </c>
      <c r="R204" s="301">
        <v>0</v>
      </c>
      <c r="S204" s="301">
        <v>0</v>
      </c>
      <c r="T204" s="313">
        <v>0</v>
      </c>
      <c r="U204" s="314">
        <v>0</v>
      </c>
      <c r="V204" s="314">
        <v>0</v>
      </c>
      <c r="W204" s="314">
        <v>0</v>
      </c>
      <c r="X204" s="511">
        <v>0</v>
      </c>
      <c r="Y204" s="305">
        <v>0</v>
      </c>
      <c r="Z204" s="301">
        <v>0</v>
      </c>
      <c r="AA204" s="301">
        <v>0</v>
      </c>
      <c r="AB204" s="301">
        <v>0</v>
      </c>
      <c r="AC204" s="304">
        <v>0</v>
      </c>
      <c r="AD204" s="301">
        <v>0</v>
      </c>
      <c r="AE204" s="301">
        <v>0</v>
      </c>
      <c r="AF204" s="301">
        <v>0</v>
      </c>
      <c r="AG204" s="510">
        <v>0</v>
      </c>
      <c r="AH204" s="304">
        <v>0</v>
      </c>
      <c r="AI204" s="301">
        <v>0</v>
      </c>
      <c r="AJ204" s="301">
        <v>0</v>
      </c>
      <c r="AK204" s="301">
        <v>0</v>
      </c>
      <c r="AL204" s="306"/>
    </row>
    <row r="205" spans="1:51" s="265" customFormat="1" ht="42.6" customHeight="1" outlineLevel="1" x14ac:dyDescent="0.3">
      <c r="A205" s="431" t="s">
        <v>664</v>
      </c>
      <c r="B205" s="432" t="s">
        <v>665</v>
      </c>
      <c r="C205" s="431">
        <v>0</v>
      </c>
      <c r="D205" s="431">
        <f>F205+J205+O205+T205+Y205+AC205+AH205</f>
        <v>0</v>
      </c>
      <c r="E205" s="431">
        <v>0</v>
      </c>
      <c r="F205" s="431">
        <f>F206+F207+F208+F209+F210</f>
        <v>0</v>
      </c>
      <c r="G205" s="431">
        <f t="shared" ref="G205:AK205" si="40">G206+G207+G208+G209+G210</f>
        <v>0</v>
      </c>
      <c r="H205" s="431">
        <f t="shared" si="40"/>
        <v>0</v>
      </c>
      <c r="I205" s="431">
        <f t="shared" si="40"/>
        <v>0</v>
      </c>
      <c r="J205" s="431">
        <f t="shared" si="40"/>
        <v>0</v>
      </c>
      <c r="K205" s="431">
        <v>0</v>
      </c>
      <c r="L205" s="431">
        <f t="shared" si="40"/>
        <v>0</v>
      </c>
      <c r="M205" s="431">
        <f t="shared" si="40"/>
        <v>0</v>
      </c>
      <c r="N205" s="431">
        <f t="shared" si="40"/>
        <v>0</v>
      </c>
      <c r="O205" s="431">
        <f t="shared" si="40"/>
        <v>0</v>
      </c>
      <c r="P205" s="431">
        <v>0</v>
      </c>
      <c r="Q205" s="431">
        <f t="shared" si="40"/>
        <v>0</v>
      </c>
      <c r="R205" s="431">
        <f t="shared" si="40"/>
        <v>0</v>
      </c>
      <c r="S205" s="431">
        <f t="shared" si="40"/>
        <v>0</v>
      </c>
      <c r="T205" s="431">
        <f t="shared" si="40"/>
        <v>0</v>
      </c>
      <c r="U205" s="431">
        <v>0</v>
      </c>
      <c r="V205" s="433">
        <f t="shared" si="40"/>
        <v>0</v>
      </c>
      <c r="W205" s="433">
        <f t="shared" si="40"/>
        <v>0</v>
      </c>
      <c r="X205" s="481">
        <f t="shared" si="40"/>
        <v>0</v>
      </c>
      <c r="Y205" s="433">
        <f t="shared" si="40"/>
        <v>0</v>
      </c>
      <c r="Z205" s="431">
        <f t="shared" si="40"/>
        <v>0</v>
      </c>
      <c r="AA205" s="431">
        <f t="shared" si="40"/>
        <v>0</v>
      </c>
      <c r="AB205" s="431">
        <f t="shared" si="40"/>
        <v>0</v>
      </c>
      <c r="AC205" s="431">
        <f t="shared" si="40"/>
        <v>0</v>
      </c>
      <c r="AD205" s="433">
        <v>0</v>
      </c>
      <c r="AE205" s="431">
        <f t="shared" si="40"/>
        <v>0</v>
      </c>
      <c r="AF205" s="431">
        <f t="shared" si="40"/>
        <v>0</v>
      </c>
      <c r="AG205" s="481">
        <f t="shared" si="40"/>
        <v>0</v>
      </c>
      <c r="AH205" s="431">
        <f t="shared" si="40"/>
        <v>0</v>
      </c>
      <c r="AI205" s="431">
        <v>0</v>
      </c>
      <c r="AJ205" s="431">
        <f t="shared" si="40"/>
        <v>0</v>
      </c>
      <c r="AK205" s="431">
        <f t="shared" si="40"/>
        <v>0</v>
      </c>
      <c r="AL205" s="299"/>
      <c r="AM205" s="206"/>
      <c r="AN205" s="206"/>
      <c r="AO205" s="206"/>
      <c r="AP205" s="206"/>
      <c r="AQ205" s="206"/>
      <c r="AR205" s="206"/>
      <c r="AS205" s="206"/>
      <c r="AT205" s="206"/>
      <c r="AU205" s="206"/>
      <c r="AV205" s="206"/>
      <c r="AW205" s="206"/>
      <c r="AX205" s="206"/>
      <c r="AY205" s="206"/>
    </row>
    <row r="206" spans="1:51" s="266" customFormat="1" ht="175.95" customHeight="1" outlineLevel="1" x14ac:dyDescent="0.25">
      <c r="A206" s="303" t="s">
        <v>666</v>
      </c>
      <c r="B206" s="302" t="s">
        <v>667</v>
      </c>
      <c r="C206" s="303">
        <v>0</v>
      </c>
      <c r="D206" s="303">
        <f t="shared" si="34"/>
        <v>0</v>
      </c>
      <c r="E206" s="303">
        <v>0</v>
      </c>
      <c r="F206" s="307">
        <v>0</v>
      </c>
      <c r="G206" s="303">
        <v>0</v>
      </c>
      <c r="H206" s="303">
        <v>0</v>
      </c>
      <c r="I206" s="303">
        <v>0</v>
      </c>
      <c r="J206" s="307">
        <v>0</v>
      </c>
      <c r="K206" s="303">
        <v>0</v>
      </c>
      <c r="L206" s="301">
        <v>0</v>
      </c>
      <c r="M206" s="301">
        <v>0</v>
      </c>
      <c r="N206" s="301">
        <v>0</v>
      </c>
      <c r="O206" s="304">
        <v>0</v>
      </c>
      <c r="P206" s="301">
        <v>0</v>
      </c>
      <c r="Q206" s="301">
        <v>0</v>
      </c>
      <c r="R206" s="301">
        <v>0</v>
      </c>
      <c r="S206" s="301">
        <v>0</v>
      </c>
      <c r="T206" s="304">
        <v>0</v>
      </c>
      <c r="U206" s="301">
        <v>0</v>
      </c>
      <c r="V206" s="301">
        <v>0</v>
      </c>
      <c r="W206" s="301">
        <v>0</v>
      </c>
      <c r="X206" s="510">
        <v>0</v>
      </c>
      <c r="Y206" s="305">
        <v>0</v>
      </c>
      <c r="Z206" s="301">
        <v>0</v>
      </c>
      <c r="AA206" s="301">
        <v>0</v>
      </c>
      <c r="AB206" s="301">
        <v>0</v>
      </c>
      <c r="AC206" s="304">
        <f>AF206</f>
        <v>0</v>
      </c>
      <c r="AD206" s="301">
        <v>0</v>
      </c>
      <c r="AE206" s="301">
        <v>0</v>
      </c>
      <c r="AF206" s="301">
        <v>0</v>
      </c>
      <c r="AG206" s="510">
        <v>0</v>
      </c>
      <c r="AH206" s="304">
        <f>AK206</f>
        <v>0</v>
      </c>
      <c r="AI206" s="301">
        <v>0</v>
      </c>
      <c r="AJ206" s="301">
        <v>0</v>
      </c>
      <c r="AK206" s="301">
        <v>0</v>
      </c>
      <c r="AL206" s="306"/>
    </row>
    <row r="207" spans="1:51" s="266" customFormat="1" ht="229.2" customHeight="1" outlineLevel="1" x14ac:dyDescent="0.25">
      <c r="A207" s="303" t="s">
        <v>668</v>
      </c>
      <c r="B207" s="302" t="s">
        <v>423</v>
      </c>
      <c r="C207" s="303">
        <v>0</v>
      </c>
      <c r="D207" s="303">
        <f t="shared" si="34"/>
        <v>0</v>
      </c>
      <c r="E207" s="303">
        <v>0</v>
      </c>
      <c r="F207" s="307">
        <v>0</v>
      </c>
      <c r="G207" s="303">
        <v>0</v>
      </c>
      <c r="H207" s="303">
        <v>0</v>
      </c>
      <c r="I207" s="303">
        <v>0</v>
      </c>
      <c r="J207" s="307">
        <v>0</v>
      </c>
      <c r="K207" s="303">
        <v>0</v>
      </c>
      <c r="L207" s="301">
        <v>0</v>
      </c>
      <c r="M207" s="301">
        <v>0</v>
      </c>
      <c r="N207" s="301">
        <v>0</v>
      </c>
      <c r="O207" s="304">
        <v>0</v>
      </c>
      <c r="P207" s="301">
        <v>0</v>
      </c>
      <c r="Q207" s="301">
        <v>0</v>
      </c>
      <c r="R207" s="301">
        <v>0</v>
      </c>
      <c r="S207" s="301">
        <v>0</v>
      </c>
      <c r="T207" s="304">
        <v>0</v>
      </c>
      <c r="U207" s="301">
        <v>0</v>
      </c>
      <c r="V207" s="301">
        <v>0</v>
      </c>
      <c r="W207" s="301">
        <v>0</v>
      </c>
      <c r="X207" s="510">
        <v>0</v>
      </c>
      <c r="Y207" s="315">
        <v>0</v>
      </c>
      <c r="Z207" s="314">
        <v>0</v>
      </c>
      <c r="AA207" s="314">
        <v>0</v>
      </c>
      <c r="AB207" s="314">
        <v>0</v>
      </c>
      <c r="AC207" s="313">
        <v>0</v>
      </c>
      <c r="AD207" s="314">
        <v>0</v>
      </c>
      <c r="AE207" s="314">
        <v>0</v>
      </c>
      <c r="AF207" s="314">
        <v>0</v>
      </c>
      <c r="AG207" s="511">
        <v>0</v>
      </c>
      <c r="AH207" s="313">
        <v>0</v>
      </c>
      <c r="AI207" s="314">
        <v>0</v>
      </c>
      <c r="AJ207" s="314">
        <v>0</v>
      </c>
      <c r="AK207" s="314">
        <v>0</v>
      </c>
      <c r="AL207" s="306"/>
    </row>
    <row r="208" spans="1:51" s="266" customFormat="1" ht="36.6" customHeight="1" outlineLevel="1" x14ac:dyDescent="0.25">
      <c r="A208" s="303" t="s">
        <v>669</v>
      </c>
      <c r="B208" s="302" t="s">
        <v>435</v>
      </c>
      <c r="C208" s="303">
        <v>0</v>
      </c>
      <c r="D208" s="303">
        <f t="shared" si="34"/>
        <v>0</v>
      </c>
      <c r="E208" s="303">
        <v>0</v>
      </c>
      <c r="F208" s="307">
        <v>0</v>
      </c>
      <c r="G208" s="303">
        <v>0</v>
      </c>
      <c r="H208" s="303">
        <v>0</v>
      </c>
      <c r="I208" s="303">
        <v>0</v>
      </c>
      <c r="J208" s="307">
        <v>0</v>
      </c>
      <c r="K208" s="303">
        <v>0</v>
      </c>
      <c r="L208" s="301">
        <v>0</v>
      </c>
      <c r="M208" s="301">
        <v>0</v>
      </c>
      <c r="N208" s="301">
        <v>0</v>
      </c>
      <c r="O208" s="304">
        <v>0</v>
      </c>
      <c r="P208" s="301">
        <v>0</v>
      </c>
      <c r="Q208" s="301">
        <v>0</v>
      </c>
      <c r="R208" s="301">
        <v>0</v>
      </c>
      <c r="S208" s="301">
        <v>0</v>
      </c>
      <c r="T208" s="304">
        <v>0</v>
      </c>
      <c r="U208" s="301">
        <v>0</v>
      </c>
      <c r="V208" s="301">
        <v>0</v>
      </c>
      <c r="W208" s="301">
        <v>0</v>
      </c>
      <c r="X208" s="510">
        <v>0</v>
      </c>
      <c r="Y208" s="305">
        <v>0</v>
      </c>
      <c r="Z208" s="301">
        <v>0</v>
      </c>
      <c r="AA208" s="301">
        <v>0</v>
      </c>
      <c r="AB208" s="301">
        <v>0</v>
      </c>
      <c r="AC208" s="304">
        <v>0</v>
      </c>
      <c r="AD208" s="301">
        <v>0</v>
      </c>
      <c r="AE208" s="301">
        <v>0</v>
      </c>
      <c r="AF208" s="301">
        <v>0</v>
      </c>
      <c r="AG208" s="510">
        <v>0</v>
      </c>
      <c r="AH208" s="313">
        <v>0</v>
      </c>
      <c r="AI208" s="314">
        <v>0</v>
      </c>
      <c r="AJ208" s="314">
        <v>0</v>
      </c>
      <c r="AK208" s="314">
        <v>0</v>
      </c>
      <c r="AL208" s="306"/>
    </row>
    <row r="209" spans="1:51" s="266" customFormat="1" ht="109.95" customHeight="1" outlineLevel="1" x14ac:dyDescent="0.25">
      <c r="A209" s="303" t="s">
        <v>670</v>
      </c>
      <c r="B209" s="302" t="s">
        <v>1402</v>
      </c>
      <c r="C209" s="303">
        <v>0</v>
      </c>
      <c r="D209" s="303">
        <f t="shared" si="34"/>
        <v>0</v>
      </c>
      <c r="E209" s="303">
        <v>0</v>
      </c>
      <c r="F209" s="307">
        <v>0</v>
      </c>
      <c r="G209" s="303">
        <v>0</v>
      </c>
      <c r="H209" s="303">
        <v>0</v>
      </c>
      <c r="I209" s="303">
        <v>0</v>
      </c>
      <c r="J209" s="307">
        <v>0</v>
      </c>
      <c r="K209" s="303">
        <v>0</v>
      </c>
      <c r="L209" s="301">
        <v>0</v>
      </c>
      <c r="M209" s="301">
        <v>0</v>
      </c>
      <c r="N209" s="301">
        <v>0</v>
      </c>
      <c r="O209" s="304">
        <v>0</v>
      </c>
      <c r="P209" s="301">
        <v>0</v>
      </c>
      <c r="Q209" s="301">
        <v>0</v>
      </c>
      <c r="R209" s="301">
        <v>0</v>
      </c>
      <c r="S209" s="301">
        <v>0</v>
      </c>
      <c r="T209" s="304">
        <v>0</v>
      </c>
      <c r="U209" s="301">
        <v>0</v>
      </c>
      <c r="V209" s="301">
        <v>0</v>
      </c>
      <c r="W209" s="301">
        <v>0</v>
      </c>
      <c r="X209" s="510">
        <v>0</v>
      </c>
      <c r="Y209" s="305">
        <v>0</v>
      </c>
      <c r="Z209" s="301">
        <v>0</v>
      </c>
      <c r="AA209" s="301">
        <v>0</v>
      </c>
      <c r="AB209" s="301">
        <v>0</v>
      </c>
      <c r="AC209" s="304">
        <v>0</v>
      </c>
      <c r="AD209" s="301">
        <v>0</v>
      </c>
      <c r="AE209" s="301">
        <v>0</v>
      </c>
      <c r="AF209" s="301">
        <v>0</v>
      </c>
      <c r="AG209" s="510">
        <v>0</v>
      </c>
      <c r="AH209" s="313">
        <v>0</v>
      </c>
      <c r="AI209" s="314">
        <v>0</v>
      </c>
      <c r="AJ209" s="314">
        <v>0</v>
      </c>
      <c r="AK209" s="314">
        <v>0</v>
      </c>
      <c r="AL209" s="306"/>
    </row>
    <row r="210" spans="1:51" s="266" customFormat="1" ht="42.6" customHeight="1" outlineLevel="1" x14ac:dyDescent="0.25">
      <c r="A210" s="303" t="s">
        <v>671</v>
      </c>
      <c r="B210" s="302" t="s">
        <v>1395</v>
      </c>
      <c r="C210" s="303">
        <v>0</v>
      </c>
      <c r="D210" s="303">
        <f t="shared" si="34"/>
        <v>0</v>
      </c>
      <c r="E210" s="303">
        <v>0</v>
      </c>
      <c r="F210" s="307">
        <v>0</v>
      </c>
      <c r="G210" s="303">
        <v>0</v>
      </c>
      <c r="H210" s="303">
        <v>0</v>
      </c>
      <c r="I210" s="303">
        <v>0</v>
      </c>
      <c r="J210" s="307">
        <v>0</v>
      </c>
      <c r="K210" s="303">
        <v>0</v>
      </c>
      <c r="L210" s="301">
        <v>0</v>
      </c>
      <c r="M210" s="301">
        <v>0</v>
      </c>
      <c r="N210" s="301">
        <v>0</v>
      </c>
      <c r="O210" s="304">
        <v>0</v>
      </c>
      <c r="P210" s="301">
        <v>0</v>
      </c>
      <c r="Q210" s="301">
        <v>0</v>
      </c>
      <c r="R210" s="301">
        <v>0</v>
      </c>
      <c r="S210" s="301">
        <v>0</v>
      </c>
      <c r="T210" s="304">
        <v>0</v>
      </c>
      <c r="U210" s="301">
        <v>0</v>
      </c>
      <c r="V210" s="301">
        <v>0</v>
      </c>
      <c r="W210" s="301">
        <v>0</v>
      </c>
      <c r="X210" s="510">
        <v>0</v>
      </c>
      <c r="Y210" s="305">
        <v>0</v>
      </c>
      <c r="Z210" s="301">
        <v>0</v>
      </c>
      <c r="AA210" s="301">
        <v>0</v>
      </c>
      <c r="AB210" s="301">
        <v>0</v>
      </c>
      <c r="AC210" s="304">
        <v>0</v>
      </c>
      <c r="AD210" s="301">
        <v>0</v>
      </c>
      <c r="AE210" s="301">
        <v>0</v>
      </c>
      <c r="AF210" s="301">
        <v>0</v>
      </c>
      <c r="AG210" s="510">
        <v>0</v>
      </c>
      <c r="AH210" s="313">
        <v>0</v>
      </c>
      <c r="AI210" s="314">
        <v>0</v>
      </c>
      <c r="AJ210" s="314">
        <v>0</v>
      </c>
      <c r="AK210" s="314">
        <v>0</v>
      </c>
      <c r="AL210" s="306"/>
    </row>
    <row r="211" spans="1:51" s="265" customFormat="1" ht="102.6" customHeight="1" outlineLevel="1" x14ac:dyDescent="0.3">
      <c r="A211" s="431" t="s">
        <v>672</v>
      </c>
      <c r="B211" s="432" t="s">
        <v>673</v>
      </c>
      <c r="C211" s="431">
        <f>I211+N211+S211+X211+AB211+AG211</f>
        <v>0</v>
      </c>
      <c r="D211" s="431">
        <f>F211+J211+O211+T211+Y211+AC211+AH211</f>
        <v>0</v>
      </c>
      <c r="E211" s="431">
        <v>0</v>
      </c>
      <c r="F211" s="431">
        <f>F212+F213+F214+F215+F216</f>
        <v>0</v>
      </c>
      <c r="G211" s="431">
        <f t="shared" ref="G211:AK211" si="41">G212+G213+G214+G215+G216</f>
        <v>0</v>
      </c>
      <c r="H211" s="431">
        <f t="shared" si="41"/>
        <v>0</v>
      </c>
      <c r="I211" s="431">
        <f t="shared" si="41"/>
        <v>0</v>
      </c>
      <c r="J211" s="431">
        <f t="shared" si="41"/>
        <v>0</v>
      </c>
      <c r="K211" s="431">
        <v>0</v>
      </c>
      <c r="L211" s="431">
        <f t="shared" si="41"/>
        <v>0</v>
      </c>
      <c r="M211" s="431">
        <f t="shared" si="41"/>
        <v>0</v>
      </c>
      <c r="N211" s="431">
        <f t="shared" si="41"/>
        <v>0</v>
      </c>
      <c r="O211" s="431">
        <f t="shared" si="41"/>
        <v>0</v>
      </c>
      <c r="P211" s="431">
        <v>0</v>
      </c>
      <c r="Q211" s="431">
        <f t="shared" si="41"/>
        <v>0</v>
      </c>
      <c r="R211" s="431">
        <f t="shared" si="41"/>
        <v>0</v>
      </c>
      <c r="S211" s="431">
        <f t="shared" si="41"/>
        <v>0</v>
      </c>
      <c r="T211" s="431">
        <f t="shared" si="41"/>
        <v>0</v>
      </c>
      <c r="U211" s="433">
        <v>0</v>
      </c>
      <c r="V211" s="433">
        <f t="shared" si="41"/>
        <v>0</v>
      </c>
      <c r="W211" s="433">
        <f t="shared" si="41"/>
        <v>0</v>
      </c>
      <c r="X211" s="481">
        <f t="shared" si="41"/>
        <v>0</v>
      </c>
      <c r="Y211" s="433">
        <f t="shared" si="41"/>
        <v>0</v>
      </c>
      <c r="Z211" s="431">
        <f t="shared" si="41"/>
        <v>0</v>
      </c>
      <c r="AA211" s="431">
        <f t="shared" si="41"/>
        <v>0</v>
      </c>
      <c r="AB211" s="431">
        <f t="shared" si="41"/>
        <v>0</v>
      </c>
      <c r="AC211" s="431">
        <f t="shared" si="41"/>
        <v>0</v>
      </c>
      <c r="AD211" s="433">
        <v>0</v>
      </c>
      <c r="AE211" s="431">
        <f t="shared" si="41"/>
        <v>0</v>
      </c>
      <c r="AF211" s="431">
        <f t="shared" si="41"/>
        <v>0</v>
      </c>
      <c r="AG211" s="481">
        <f t="shared" si="41"/>
        <v>0</v>
      </c>
      <c r="AH211" s="431">
        <f t="shared" si="41"/>
        <v>0</v>
      </c>
      <c r="AI211" s="431">
        <v>0</v>
      </c>
      <c r="AJ211" s="431">
        <f t="shared" si="41"/>
        <v>0</v>
      </c>
      <c r="AK211" s="431">
        <f t="shared" si="41"/>
        <v>0</v>
      </c>
      <c r="AL211" s="299"/>
      <c r="AM211" s="206"/>
      <c r="AN211" s="206"/>
      <c r="AO211" s="206"/>
      <c r="AP211" s="206"/>
      <c r="AQ211" s="206"/>
      <c r="AR211" s="206"/>
      <c r="AS211" s="206"/>
      <c r="AT211" s="206"/>
      <c r="AU211" s="206"/>
      <c r="AV211" s="206"/>
      <c r="AW211" s="206"/>
      <c r="AX211" s="206"/>
      <c r="AY211" s="206"/>
    </row>
    <row r="212" spans="1:51" s="266" customFormat="1" ht="186.6" customHeight="1" outlineLevel="1" x14ac:dyDescent="0.25">
      <c r="A212" s="303" t="s">
        <v>674</v>
      </c>
      <c r="B212" s="302" t="s">
        <v>675</v>
      </c>
      <c r="C212" s="303">
        <v>0</v>
      </c>
      <c r="D212" s="303">
        <f t="shared" si="34"/>
        <v>0</v>
      </c>
      <c r="E212" s="303">
        <v>0</v>
      </c>
      <c r="F212" s="307">
        <v>0</v>
      </c>
      <c r="G212" s="303">
        <v>0</v>
      </c>
      <c r="H212" s="303">
        <v>0</v>
      </c>
      <c r="I212" s="303">
        <v>0</v>
      </c>
      <c r="J212" s="307">
        <v>0</v>
      </c>
      <c r="K212" s="303">
        <v>0</v>
      </c>
      <c r="L212" s="301">
        <v>0</v>
      </c>
      <c r="M212" s="301">
        <v>0</v>
      </c>
      <c r="N212" s="301">
        <v>0</v>
      </c>
      <c r="O212" s="304">
        <v>0</v>
      </c>
      <c r="P212" s="301">
        <v>0</v>
      </c>
      <c r="Q212" s="301">
        <v>0</v>
      </c>
      <c r="R212" s="301">
        <v>0</v>
      </c>
      <c r="S212" s="301">
        <v>0</v>
      </c>
      <c r="T212" s="304">
        <v>0</v>
      </c>
      <c r="U212" s="301">
        <v>0</v>
      </c>
      <c r="V212" s="301">
        <v>0</v>
      </c>
      <c r="W212" s="301">
        <v>0</v>
      </c>
      <c r="X212" s="510">
        <v>0</v>
      </c>
      <c r="Y212" s="305">
        <v>0</v>
      </c>
      <c r="Z212" s="301">
        <v>0</v>
      </c>
      <c r="AA212" s="301">
        <v>0</v>
      </c>
      <c r="AB212" s="301">
        <v>0</v>
      </c>
      <c r="AC212" s="304">
        <f>AF212</f>
        <v>0</v>
      </c>
      <c r="AD212" s="301">
        <v>0</v>
      </c>
      <c r="AE212" s="301">
        <v>0</v>
      </c>
      <c r="AF212" s="301">
        <v>0</v>
      </c>
      <c r="AG212" s="510">
        <v>0</v>
      </c>
      <c r="AH212" s="304">
        <f>AK212</f>
        <v>0</v>
      </c>
      <c r="AI212" s="301">
        <v>0</v>
      </c>
      <c r="AJ212" s="301">
        <v>0</v>
      </c>
      <c r="AK212" s="301">
        <v>0</v>
      </c>
      <c r="AL212" s="306"/>
    </row>
    <row r="213" spans="1:51" s="266" customFormat="1" ht="157.35" customHeight="1" outlineLevel="1" x14ac:dyDescent="0.25">
      <c r="A213" s="303" t="s">
        <v>676</v>
      </c>
      <c r="B213" s="302" t="s">
        <v>423</v>
      </c>
      <c r="C213" s="303">
        <v>0</v>
      </c>
      <c r="D213" s="303">
        <f t="shared" si="34"/>
        <v>0</v>
      </c>
      <c r="E213" s="303">
        <v>0</v>
      </c>
      <c r="F213" s="307">
        <v>0</v>
      </c>
      <c r="G213" s="303">
        <v>0</v>
      </c>
      <c r="H213" s="303">
        <v>0</v>
      </c>
      <c r="I213" s="303">
        <v>0</v>
      </c>
      <c r="J213" s="307">
        <v>0</v>
      </c>
      <c r="K213" s="303">
        <v>0</v>
      </c>
      <c r="L213" s="301">
        <v>0</v>
      </c>
      <c r="M213" s="301">
        <v>0</v>
      </c>
      <c r="N213" s="301">
        <v>0</v>
      </c>
      <c r="O213" s="304">
        <v>0</v>
      </c>
      <c r="P213" s="301">
        <v>0</v>
      </c>
      <c r="Q213" s="301">
        <v>0</v>
      </c>
      <c r="R213" s="301">
        <v>0</v>
      </c>
      <c r="S213" s="301">
        <v>0</v>
      </c>
      <c r="T213" s="304">
        <v>0</v>
      </c>
      <c r="U213" s="301">
        <v>0</v>
      </c>
      <c r="V213" s="301">
        <v>0</v>
      </c>
      <c r="W213" s="301">
        <v>0</v>
      </c>
      <c r="X213" s="510">
        <v>0</v>
      </c>
      <c r="Y213" s="305">
        <v>0</v>
      </c>
      <c r="Z213" s="301">
        <v>0</v>
      </c>
      <c r="AA213" s="301">
        <v>0</v>
      </c>
      <c r="AB213" s="301">
        <v>0</v>
      </c>
      <c r="AC213" s="304">
        <v>0</v>
      </c>
      <c r="AD213" s="301">
        <v>0</v>
      </c>
      <c r="AE213" s="301">
        <v>0</v>
      </c>
      <c r="AF213" s="301">
        <v>0</v>
      </c>
      <c r="AG213" s="510">
        <v>0</v>
      </c>
      <c r="AH213" s="304">
        <v>0</v>
      </c>
      <c r="AI213" s="301">
        <v>0</v>
      </c>
      <c r="AJ213" s="301">
        <v>0</v>
      </c>
      <c r="AK213" s="301">
        <v>0</v>
      </c>
      <c r="AL213" s="306"/>
    </row>
    <row r="214" spans="1:51" s="266" customFormat="1" ht="39" customHeight="1" outlineLevel="1" x14ac:dyDescent="0.25">
      <c r="A214" s="303" t="s">
        <v>677</v>
      </c>
      <c r="B214" s="302" t="s">
        <v>435</v>
      </c>
      <c r="C214" s="303">
        <v>0</v>
      </c>
      <c r="D214" s="303">
        <f t="shared" si="34"/>
        <v>0</v>
      </c>
      <c r="E214" s="303">
        <v>0</v>
      </c>
      <c r="F214" s="307">
        <v>0</v>
      </c>
      <c r="G214" s="303">
        <v>0</v>
      </c>
      <c r="H214" s="303">
        <v>0</v>
      </c>
      <c r="I214" s="303">
        <v>0</v>
      </c>
      <c r="J214" s="307">
        <v>0</v>
      </c>
      <c r="K214" s="303">
        <v>0</v>
      </c>
      <c r="L214" s="301">
        <v>0</v>
      </c>
      <c r="M214" s="301">
        <v>0</v>
      </c>
      <c r="N214" s="301">
        <v>0</v>
      </c>
      <c r="O214" s="304">
        <v>0</v>
      </c>
      <c r="P214" s="301">
        <v>0</v>
      </c>
      <c r="Q214" s="301">
        <v>0</v>
      </c>
      <c r="R214" s="301">
        <v>0</v>
      </c>
      <c r="S214" s="301">
        <v>0</v>
      </c>
      <c r="T214" s="304">
        <v>0</v>
      </c>
      <c r="U214" s="301">
        <v>0</v>
      </c>
      <c r="V214" s="301">
        <v>0</v>
      </c>
      <c r="W214" s="301">
        <v>0</v>
      </c>
      <c r="X214" s="510">
        <v>0</v>
      </c>
      <c r="Y214" s="305">
        <v>0</v>
      </c>
      <c r="Z214" s="301">
        <v>0</v>
      </c>
      <c r="AA214" s="301">
        <v>0</v>
      </c>
      <c r="AB214" s="301">
        <v>0</v>
      </c>
      <c r="AC214" s="304">
        <v>0</v>
      </c>
      <c r="AD214" s="301">
        <v>0</v>
      </c>
      <c r="AE214" s="301">
        <v>0</v>
      </c>
      <c r="AF214" s="301">
        <v>0</v>
      </c>
      <c r="AG214" s="510">
        <v>0</v>
      </c>
      <c r="AH214" s="304">
        <v>0</v>
      </c>
      <c r="AI214" s="301">
        <v>0</v>
      </c>
      <c r="AJ214" s="301">
        <v>0</v>
      </c>
      <c r="AK214" s="301">
        <v>0</v>
      </c>
      <c r="AL214" s="306"/>
    </row>
    <row r="215" spans="1:51" s="266" customFormat="1" ht="115.95" customHeight="1" outlineLevel="1" x14ac:dyDescent="0.25">
      <c r="A215" s="303" t="s">
        <v>678</v>
      </c>
      <c r="B215" s="302" t="s">
        <v>1402</v>
      </c>
      <c r="C215" s="303">
        <v>0</v>
      </c>
      <c r="D215" s="303">
        <f t="shared" si="34"/>
        <v>0</v>
      </c>
      <c r="E215" s="303">
        <v>0</v>
      </c>
      <c r="F215" s="307">
        <v>0</v>
      </c>
      <c r="G215" s="303">
        <v>0</v>
      </c>
      <c r="H215" s="303">
        <v>0</v>
      </c>
      <c r="I215" s="303">
        <v>0</v>
      </c>
      <c r="J215" s="307">
        <v>0</v>
      </c>
      <c r="K215" s="303">
        <v>0</v>
      </c>
      <c r="L215" s="301">
        <v>0</v>
      </c>
      <c r="M215" s="301">
        <v>0</v>
      </c>
      <c r="N215" s="301">
        <v>0</v>
      </c>
      <c r="O215" s="304">
        <v>0</v>
      </c>
      <c r="P215" s="301">
        <v>0</v>
      </c>
      <c r="Q215" s="301">
        <v>0</v>
      </c>
      <c r="R215" s="301">
        <v>0</v>
      </c>
      <c r="S215" s="301">
        <v>0</v>
      </c>
      <c r="T215" s="304">
        <v>0</v>
      </c>
      <c r="U215" s="301">
        <v>0</v>
      </c>
      <c r="V215" s="301">
        <v>0</v>
      </c>
      <c r="W215" s="301">
        <v>0</v>
      </c>
      <c r="X215" s="510">
        <v>0</v>
      </c>
      <c r="Y215" s="305">
        <f>AA215</f>
        <v>0</v>
      </c>
      <c r="Z215" s="301">
        <v>0</v>
      </c>
      <c r="AA215" s="301">
        <v>0</v>
      </c>
      <c r="AB215" s="301">
        <v>0</v>
      </c>
      <c r="AC215" s="304">
        <f>AF215</f>
        <v>0</v>
      </c>
      <c r="AD215" s="301">
        <v>0</v>
      </c>
      <c r="AE215" s="301">
        <v>0</v>
      </c>
      <c r="AF215" s="301">
        <v>0</v>
      </c>
      <c r="AG215" s="510">
        <v>0</v>
      </c>
      <c r="AH215" s="304">
        <f>AK215</f>
        <v>0</v>
      </c>
      <c r="AI215" s="301">
        <v>0</v>
      </c>
      <c r="AJ215" s="301">
        <v>0</v>
      </c>
      <c r="AK215" s="301">
        <v>0</v>
      </c>
      <c r="AL215" s="306"/>
    </row>
    <row r="216" spans="1:51" s="266" customFormat="1" ht="41.4" customHeight="1" outlineLevel="1" x14ac:dyDescent="0.25">
      <c r="A216" s="303" t="s">
        <v>679</v>
      </c>
      <c r="B216" s="302" t="s">
        <v>1395</v>
      </c>
      <c r="C216" s="303">
        <v>0</v>
      </c>
      <c r="D216" s="303">
        <f t="shared" si="34"/>
        <v>0</v>
      </c>
      <c r="E216" s="303">
        <v>0</v>
      </c>
      <c r="F216" s="307">
        <v>0</v>
      </c>
      <c r="G216" s="303">
        <v>0</v>
      </c>
      <c r="H216" s="303">
        <v>0</v>
      </c>
      <c r="I216" s="303">
        <v>0</v>
      </c>
      <c r="J216" s="307">
        <v>0</v>
      </c>
      <c r="K216" s="303">
        <v>0</v>
      </c>
      <c r="L216" s="301">
        <v>0</v>
      </c>
      <c r="M216" s="301">
        <v>0</v>
      </c>
      <c r="N216" s="301">
        <v>0</v>
      </c>
      <c r="O216" s="304">
        <v>0</v>
      </c>
      <c r="P216" s="301">
        <v>0</v>
      </c>
      <c r="Q216" s="301">
        <v>0</v>
      </c>
      <c r="R216" s="301">
        <v>0</v>
      </c>
      <c r="S216" s="301">
        <v>0</v>
      </c>
      <c r="T216" s="304">
        <v>0</v>
      </c>
      <c r="U216" s="301">
        <v>0</v>
      </c>
      <c r="V216" s="301">
        <v>0</v>
      </c>
      <c r="W216" s="301">
        <v>0</v>
      </c>
      <c r="X216" s="510">
        <v>0</v>
      </c>
      <c r="Y216" s="305">
        <v>0</v>
      </c>
      <c r="Z216" s="301">
        <v>0</v>
      </c>
      <c r="AA216" s="301">
        <v>0</v>
      </c>
      <c r="AB216" s="301">
        <v>0</v>
      </c>
      <c r="AC216" s="304">
        <v>0</v>
      </c>
      <c r="AD216" s="301">
        <v>0</v>
      </c>
      <c r="AE216" s="301">
        <v>0</v>
      </c>
      <c r="AF216" s="301">
        <v>0</v>
      </c>
      <c r="AG216" s="510">
        <v>0</v>
      </c>
      <c r="AH216" s="304">
        <f>AJ216+AK216</f>
        <v>0</v>
      </c>
      <c r="AI216" s="301">
        <v>0</v>
      </c>
      <c r="AJ216" s="301">
        <v>0</v>
      </c>
      <c r="AK216" s="301">
        <v>0</v>
      </c>
      <c r="AL216" s="306"/>
    </row>
    <row r="217" spans="1:51" s="265" customFormat="1" ht="177" customHeight="1" outlineLevel="1" x14ac:dyDescent="0.3">
      <c r="A217" s="431" t="s">
        <v>680</v>
      </c>
      <c r="B217" s="432" t="s">
        <v>1283</v>
      </c>
      <c r="C217" s="431">
        <v>0</v>
      </c>
      <c r="D217" s="431">
        <f t="shared" si="34"/>
        <v>0</v>
      </c>
      <c r="E217" s="431">
        <v>0</v>
      </c>
      <c r="F217" s="431">
        <v>0</v>
      </c>
      <c r="G217" s="431">
        <v>0</v>
      </c>
      <c r="H217" s="431">
        <v>0</v>
      </c>
      <c r="I217" s="431">
        <v>0</v>
      </c>
      <c r="J217" s="431">
        <v>0</v>
      </c>
      <c r="K217" s="431">
        <v>0</v>
      </c>
      <c r="L217" s="431">
        <v>0</v>
      </c>
      <c r="M217" s="431">
        <v>0</v>
      </c>
      <c r="N217" s="431">
        <v>0</v>
      </c>
      <c r="O217" s="431">
        <v>0</v>
      </c>
      <c r="P217" s="431">
        <v>0</v>
      </c>
      <c r="Q217" s="431">
        <v>0</v>
      </c>
      <c r="R217" s="431">
        <v>0</v>
      </c>
      <c r="S217" s="431">
        <v>0</v>
      </c>
      <c r="T217" s="431">
        <v>0</v>
      </c>
      <c r="U217" s="431">
        <v>0</v>
      </c>
      <c r="V217" s="433">
        <v>0</v>
      </c>
      <c r="W217" s="433">
        <v>0</v>
      </c>
      <c r="X217" s="481">
        <v>0</v>
      </c>
      <c r="Y217" s="433">
        <f>Y218+Y219+Y220+Y221+Y222</f>
        <v>0</v>
      </c>
      <c r="Z217" s="431">
        <v>0</v>
      </c>
      <c r="AA217" s="431">
        <f>AA218+AA219+AA220+AA221+AA222</f>
        <v>0</v>
      </c>
      <c r="AB217" s="431">
        <v>0</v>
      </c>
      <c r="AC217" s="431">
        <v>0</v>
      </c>
      <c r="AD217" s="433">
        <v>0</v>
      </c>
      <c r="AE217" s="431">
        <v>0</v>
      </c>
      <c r="AF217" s="431">
        <v>0</v>
      </c>
      <c r="AG217" s="481">
        <v>0</v>
      </c>
      <c r="AH217" s="431">
        <f>AH218+AH219+AH220+AH221+AH222</f>
        <v>0</v>
      </c>
      <c r="AI217" s="431">
        <v>0</v>
      </c>
      <c r="AJ217" s="431">
        <v>0</v>
      </c>
      <c r="AK217" s="431">
        <f>AK218+AK219+AK220+AK221+AK222</f>
        <v>0</v>
      </c>
      <c r="AL217" s="299"/>
      <c r="AM217" s="206"/>
      <c r="AN217" s="206"/>
      <c r="AO217" s="206"/>
      <c r="AP217" s="206"/>
      <c r="AQ217" s="206"/>
      <c r="AR217" s="206"/>
      <c r="AS217" s="206"/>
      <c r="AT217" s="206"/>
      <c r="AU217" s="206"/>
      <c r="AV217" s="206"/>
      <c r="AW217" s="206"/>
      <c r="AX217" s="206"/>
      <c r="AY217" s="206"/>
    </row>
    <row r="218" spans="1:51" s="266" customFormat="1" ht="190.95" customHeight="1" outlineLevel="1" x14ac:dyDescent="0.25">
      <c r="A218" s="303" t="s">
        <v>681</v>
      </c>
      <c r="B218" s="302" t="s">
        <v>682</v>
      </c>
      <c r="C218" s="303">
        <v>0</v>
      </c>
      <c r="D218" s="303">
        <f t="shared" si="34"/>
        <v>0</v>
      </c>
      <c r="E218" s="303">
        <v>0</v>
      </c>
      <c r="F218" s="307">
        <v>0</v>
      </c>
      <c r="G218" s="303">
        <v>0</v>
      </c>
      <c r="H218" s="303">
        <v>0</v>
      </c>
      <c r="I218" s="303">
        <v>0</v>
      </c>
      <c r="J218" s="307">
        <v>0</v>
      </c>
      <c r="K218" s="303">
        <v>0</v>
      </c>
      <c r="L218" s="301">
        <v>0</v>
      </c>
      <c r="M218" s="301">
        <v>0</v>
      </c>
      <c r="N218" s="301">
        <v>0</v>
      </c>
      <c r="O218" s="304">
        <v>0</v>
      </c>
      <c r="P218" s="301">
        <v>0</v>
      </c>
      <c r="Q218" s="301">
        <v>0</v>
      </c>
      <c r="R218" s="301">
        <v>0</v>
      </c>
      <c r="S218" s="301">
        <v>0</v>
      </c>
      <c r="T218" s="304">
        <v>0</v>
      </c>
      <c r="U218" s="301">
        <v>0</v>
      </c>
      <c r="V218" s="301">
        <v>0</v>
      </c>
      <c r="W218" s="301">
        <v>0</v>
      </c>
      <c r="X218" s="510">
        <v>0</v>
      </c>
      <c r="Y218" s="305">
        <v>0</v>
      </c>
      <c r="Z218" s="301">
        <v>0</v>
      </c>
      <c r="AA218" s="301">
        <v>0</v>
      </c>
      <c r="AB218" s="301">
        <v>0</v>
      </c>
      <c r="AC218" s="304">
        <f>AF218</f>
        <v>0</v>
      </c>
      <c r="AD218" s="301">
        <v>0</v>
      </c>
      <c r="AE218" s="301">
        <v>0</v>
      </c>
      <c r="AF218" s="301">
        <v>0</v>
      </c>
      <c r="AG218" s="510">
        <v>0</v>
      </c>
      <c r="AH218" s="304">
        <f>AK218</f>
        <v>0</v>
      </c>
      <c r="AI218" s="301">
        <v>0</v>
      </c>
      <c r="AJ218" s="301">
        <v>0</v>
      </c>
      <c r="AK218" s="301">
        <v>0</v>
      </c>
      <c r="AL218" s="306"/>
    </row>
    <row r="219" spans="1:51" s="266" customFormat="1" ht="227.4" customHeight="1" outlineLevel="1" x14ac:dyDescent="0.25">
      <c r="A219" s="303" t="s">
        <v>683</v>
      </c>
      <c r="B219" s="302" t="s">
        <v>423</v>
      </c>
      <c r="C219" s="303">
        <v>0</v>
      </c>
      <c r="D219" s="303">
        <f t="shared" si="34"/>
        <v>0</v>
      </c>
      <c r="E219" s="303">
        <v>0</v>
      </c>
      <c r="F219" s="307">
        <v>0</v>
      </c>
      <c r="G219" s="303">
        <v>0</v>
      </c>
      <c r="H219" s="303">
        <v>0</v>
      </c>
      <c r="I219" s="303">
        <v>0</v>
      </c>
      <c r="J219" s="307">
        <v>0</v>
      </c>
      <c r="K219" s="303">
        <v>0</v>
      </c>
      <c r="L219" s="301">
        <v>0</v>
      </c>
      <c r="M219" s="301">
        <v>0</v>
      </c>
      <c r="N219" s="301">
        <v>0</v>
      </c>
      <c r="O219" s="304">
        <v>0</v>
      </c>
      <c r="P219" s="301">
        <v>0</v>
      </c>
      <c r="Q219" s="301">
        <v>0</v>
      </c>
      <c r="R219" s="301">
        <v>0</v>
      </c>
      <c r="S219" s="301">
        <v>0</v>
      </c>
      <c r="T219" s="304">
        <v>0</v>
      </c>
      <c r="U219" s="301">
        <v>0</v>
      </c>
      <c r="V219" s="301">
        <v>0</v>
      </c>
      <c r="W219" s="301">
        <v>0</v>
      </c>
      <c r="X219" s="510">
        <v>0</v>
      </c>
      <c r="Y219" s="305">
        <v>0</v>
      </c>
      <c r="Z219" s="301">
        <v>0</v>
      </c>
      <c r="AA219" s="301">
        <v>0</v>
      </c>
      <c r="AB219" s="301">
        <v>0</v>
      </c>
      <c r="AC219" s="313">
        <v>0</v>
      </c>
      <c r="AD219" s="314">
        <v>0</v>
      </c>
      <c r="AE219" s="314">
        <v>0</v>
      </c>
      <c r="AF219" s="314">
        <v>0</v>
      </c>
      <c r="AG219" s="511">
        <v>0</v>
      </c>
      <c r="AH219" s="304">
        <v>0</v>
      </c>
      <c r="AI219" s="301">
        <v>0</v>
      </c>
      <c r="AJ219" s="301">
        <v>0</v>
      </c>
      <c r="AK219" s="301">
        <v>0</v>
      </c>
      <c r="AL219" s="306"/>
    </row>
    <row r="220" spans="1:51" s="266" customFormat="1" ht="42" customHeight="1" outlineLevel="1" x14ac:dyDescent="0.25">
      <c r="A220" s="303" t="s">
        <v>684</v>
      </c>
      <c r="B220" s="302" t="s">
        <v>435</v>
      </c>
      <c r="C220" s="303">
        <v>0</v>
      </c>
      <c r="D220" s="303">
        <f t="shared" si="34"/>
        <v>0</v>
      </c>
      <c r="E220" s="303">
        <v>0</v>
      </c>
      <c r="F220" s="307">
        <v>0</v>
      </c>
      <c r="G220" s="303">
        <v>0</v>
      </c>
      <c r="H220" s="303">
        <v>0</v>
      </c>
      <c r="I220" s="303">
        <v>0</v>
      </c>
      <c r="J220" s="307">
        <v>0</v>
      </c>
      <c r="K220" s="303">
        <v>0</v>
      </c>
      <c r="L220" s="301">
        <v>0</v>
      </c>
      <c r="M220" s="301">
        <v>0</v>
      </c>
      <c r="N220" s="301">
        <v>0</v>
      </c>
      <c r="O220" s="304">
        <v>0</v>
      </c>
      <c r="P220" s="301">
        <v>0</v>
      </c>
      <c r="Q220" s="301">
        <v>0</v>
      </c>
      <c r="R220" s="301">
        <v>0</v>
      </c>
      <c r="S220" s="301">
        <v>0</v>
      </c>
      <c r="T220" s="304">
        <v>0</v>
      </c>
      <c r="U220" s="301">
        <v>0</v>
      </c>
      <c r="V220" s="301">
        <v>0</v>
      </c>
      <c r="W220" s="301">
        <v>0</v>
      </c>
      <c r="X220" s="510">
        <v>0</v>
      </c>
      <c r="Y220" s="305">
        <v>0</v>
      </c>
      <c r="Z220" s="301">
        <v>0</v>
      </c>
      <c r="AA220" s="301">
        <v>0</v>
      </c>
      <c r="AB220" s="301">
        <v>0</v>
      </c>
      <c r="AC220" s="313">
        <v>0</v>
      </c>
      <c r="AD220" s="314">
        <v>0</v>
      </c>
      <c r="AE220" s="314">
        <v>0</v>
      </c>
      <c r="AF220" s="314">
        <v>0</v>
      </c>
      <c r="AG220" s="511">
        <v>0</v>
      </c>
      <c r="AH220" s="304">
        <v>0</v>
      </c>
      <c r="AI220" s="301">
        <v>0</v>
      </c>
      <c r="AJ220" s="301">
        <v>0</v>
      </c>
      <c r="AK220" s="301">
        <v>0</v>
      </c>
      <c r="AL220" s="306"/>
    </row>
    <row r="221" spans="1:51" s="266" customFormat="1" ht="103.95" customHeight="1" outlineLevel="1" x14ac:dyDescent="0.25">
      <c r="A221" s="303" t="s">
        <v>685</v>
      </c>
      <c r="B221" s="302" t="s">
        <v>1397</v>
      </c>
      <c r="C221" s="303">
        <v>0</v>
      </c>
      <c r="D221" s="303">
        <f t="shared" si="34"/>
        <v>0</v>
      </c>
      <c r="E221" s="303">
        <v>0</v>
      </c>
      <c r="F221" s="307">
        <v>0</v>
      </c>
      <c r="G221" s="303">
        <v>0</v>
      </c>
      <c r="H221" s="303">
        <v>0</v>
      </c>
      <c r="I221" s="303">
        <v>0</v>
      </c>
      <c r="J221" s="307">
        <v>0</v>
      </c>
      <c r="K221" s="303">
        <v>0</v>
      </c>
      <c r="L221" s="301">
        <v>0</v>
      </c>
      <c r="M221" s="301">
        <v>0</v>
      </c>
      <c r="N221" s="301">
        <v>0</v>
      </c>
      <c r="O221" s="304">
        <v>0</v>
      </c>
      <c r="P221" s="301">
        <v>0</v>
      </c>
      <c r="Q221" s="301">
        <v>0</v>
      </c>
      <c r="R221" s="301">
        <v>0</v>
      </c>
      <c r="S221" s="301">
        <v>0</v>
      </c>
      <c r="T221" s="304">
        <v>0</v>
      </c>
      <c r="U221" s="301">
        <v>0</v>
      </c>
      <c r="V221" s="301">
        <v>0</v>
      </c>
      <c r="W221" s="301">
        <v>0</v>
      </c>
      <c r="X221" s="510">
        <v>0</v>
      </c>
      <c r="Y221" s="305">
        <v>0</v>
      </c>
      <c r="Z221" s="301">
        <v>0</v>
      </c>
      <c r="AA221" s="301">
        <v>0</v>
      </c>
      <c r="AB221" s="301">
        <v>0</v>
      </c>
      <c r="AC221" s="313">
        <v>0</v>
      </c>
      <c r="AD221" s="314">
        <v>0</v>
      </c>
      <c r="AE221" s="314">
        <v>0</v>
      </c>
      <c r="AF221" s="314">
        <v>0</v>
      </c>
      <c r="AG221" s="511">
        <v>0</v>
      </c>
      <c r="AH221" s="304">
        <f>AK221</f>
        <v>0</v>
      </c>
      <c r="AI221" s="301">
        <v>0</v>
      </c>
      <c r="AJ221" s="301">
        <v>0</v>
      </c>
      <c r="AK221" s="301">
        <v>0</v>
      </c>
      <c r="AL221" s="306"/>
    </row>
    <row r="222" spans="1:51" s="266" customFormat="1" ht="54" customHeight="1" outlineLevel="1" x14ac:dyDescent="0.25">
      <c r="A222" s="303" t="s">
        <v>686</v>
      </c>
      <c r="B222" s="302" t="s">
        <v>1395</v>
      </c>
      <c r="C222" s="303">
        <v>0</v>
      </c>
      <c r="D222" s="303">
        <f t="shared" si="34"/>
        <v>0</v>
      </c>
      <c r="E222" s="303">
        <v>0</v>
      </c>
      <c r="F222" s="307">
        <v>0</v>
      </c>
      <c r="G222" s="303">
        <v>0</v>
      </c>
      <c r="H222" s="303">
        <v>0</v>
      </c>
      <c r="I222" s="303">
        <v>0</v>
      </c>
      <c r="J222" s="307">
        <v>0</v>
      </c>
      <c r="K222" s="303">
        <v>0</v>
      </c>
      <c r="L222" s="301">
        <v>0</v>
      </c>
      <c r="M222" s="301">
        <v>0</v>
      </c>
      <c r="N222" s="301">
        <v>0</v>
      </c>
      <c r="O222" s="304">
        <v>0</v>
      </c>
      <c r="P222" s="301">
        <v>0</v>
      </c>
      <c r="Q222" s="301">
        <v>0</v>
      </c>
      <c r="R222" s="301">
        <v>0</v>
      </c>
      <c r="S222" s="301">
        <v>0</v>
      </c>
      <c r="T222" s="304">
        <v>0</v>
      </c>
      <c r="U222" s="301">
        <v>0</v>
      </c>
      <c r="V222" s="301">
        <v>0</v>
      </c>
      <c r="W222" s="301">
        <v>0</v>
      </c>
      <c r="X222" s="510">
        <v>0</v>
      </c>
      <c r="Y222" s="305">
        <v>0</v>
      </c>
      <c r="Z222" s="301">
        <v>0</v>
      </c>
      <c r="AA222" s="301">
        <v>0</v>
      </c>
      <c r="AB222" s="301">
        <v>0</v>
      </c>
      <c r="AC222" s="313">
        <v>0</v>
      </c>
      <c r="AD222" s="314">
        <v>0</v>
      </c>
      <c r="AE222" s="314">
        <v>0</v>
      </c>
      <c r="AF222" s="314">
        <v>0</v>
      </c>
      <c r="AG222" s="511">
        <v>0</v>
      </c>
      <c r="AH222" s="304">
        <v>0</v>
      </c>
      <c r="AI222" s="301">
        <v>0</v>
      </c>
      <c r="AJ222" s="301">
        <v>0</v>
      </c>
      <c r="AK222" s="301">
        <v>0</v>
      </c>
      <c r="AL222" s="306"/>
    </row>
    <row r="223" spans="1:51" s="274" customFormat="1" ht="84.6" customHeight="1" x14ac:dyDescent="0.3">
      <c r="A223" s="327"/>
      <c r="B223" s="325" t="s">
        <v>687</v>
      </c>
      <c r="C223" s="324">
        <f>C139+C140+C141+C144+C149+C155+C161+C168+C174+C181+C187+C193+C199+C205+C211+C217</f>
        <v>0.69299999999999995</v>
      </c>
      <c r="D223" s="324">
        <f>D139+D140+D141+D144+D149+D155+D161+D168+D174+D181+D187+D193+D199+D205+D211+D217</f>
        <v>44385.479999999996</v>
      </c>
      <c r="E223" s="324">
        <v>0.69</v>
      </c>
      <c r="F223" s="324">
        <f>F139+F140+F141+F144+F149+F155+F161+F168+F174+F181+F187+F193+F199+F205+F211+F217</f>
        <v>43669.479999999996</v>
      </c>
      <c r="G223" s="324">
        <f>G139+G140+G141+G144+G149+G155+G161+G168+G174+G181+G187+G193+G199+G205+G211+G217</f>
        <v>40958.720000000001</v>
      </c>
      <c r="H223" s="324">
        <f>H139+H140+H141+H144+H149+H155+H161+H168+H174+H181+H187+H193+H199+H205+H211+H217</f>
        <v>2710.76</v>
      </c>
      <c r="I223" s="324">
        <f>I139+I140+I141+I144+I149+I155+I161+I168+I174+I181+I187+I193+I199+I205+I211+I217</f>
        <v>0</v>
      </c>
      <c r="J223" s="324">
        <f>J139+J140+J141+J144+J149+J155+J161+J168+J174+J181+J187+J193+J199+J205+J211+J217</f>
        <v>716</v>
      </c>
      <c r="K223" s="324">
        <v>0</v>
      </c>
      <c r="L223" s="324">
        <f>L139+L140+L141+L144+L149+L155+L161+L168+L174+L181+L187+L193+L199+L205+L211+L217</f>
        <v>0</v>
      </c>
      <c r="M223" s="324">
        <f>M139+M140+M141+M144+M149+M155+M161+M168+M174+M181+M187+M193+M199+M205+M211+M217</f>
        <v>716</v>
      </c>
      <c r="N223" s="324">
        <f>N139+N140+N141+N144+N149+N155+N161+N168+N174+N181+N187+N193+N199+N205+N211+N217</f>
        <v>0</v>
      </c>
      <c r="O223" s="324">
        <f>O139+O140+O141+O144+O149+O155+O161+O168+O174+O181+O187+O193+O199+O205+O211+O217</f>
        <v>0</v>
      </c>
      <c r="P223" s="324">
        <v>0</v>
      </c>
      <c r="Q223" s="324">
        <f>Q139+Q140+Q141+Q144+Q149+Q155+Q161+Q168+Q174+Q181+Q187+Q193+Q199+Q205+Q211+Q217</f>
        <v>0</v>
      </c>
      <c r="R223" s="324">
        <f>R139+R140+R141+R144+R149+R155+R161+R168+R174+R181+R187+R193+R199+R205+R211+R217</f>
        <v>0</v>
      </c>
      <c r="S223" s="324">
        <f>S139+S140+S141+S144+S149+S155+S161+S168+S174+S181+S187+S193+S199+S205+S211+S217</f>
        <v>0</v>
      </c>
      <c r="T223" s="324">
        <f>T139+T140+T141+T144+T149+T155+T161+T168+T174+T181+T187+T193+T199+T205+T211+T217</f>
        <v>0</v>
      </c>
      <c r="U223" s="324">
        <v>0</v>
      </c>
      <c r="V223" s="328">
        <f t="shared" ref="V223:AA223" si="42">V139+V140+V141+V144+V149+V155+V161+V168+V174+V181+V187+V193+V199+V205+V211+V217</f>
        <v>0</v>
      </c>
      <c r="W223" s="328">
        <f t="shared" si="42"/>
        <v>0</v>
      </c>
      <c r="X223" s="514">
        <f t="shared" si="42"/>
        <v>0</v>
      </c>
      <c r="Y223" s="328">
        <f t="shared" si="42"/>
        <v>0</v>
      </c>
      <c r="Z223" s="324">
        <f t="shared" si="42"/>
        <v>0</v>
      </c>
      <c r="AA223" s="324">
        <f t="shared" si="42"/>
        <v>0</v>
      </c>
      <c r="AB223" s="324">
        <v>0</v>
      </c>
      <c r="AC223" s="324">
        <f>AC139+AC140+AC141+AC144+AC149+AC155+AC161+AC168+AC174+AC181+AC187+AC193+AC199+AC205+AC211+AC217</f>
        <v>0</v>
      </c>
      <c r="AD223" s="324">
        <f t="shared" ref="AD223:AJ223" si="43">AD139+AD140+AD141+AD144+AD149+AD155+AD161+AD168+AD174+AD181+AD187+AD193+AD199+AD205+AD211+AD217</f>
        <v>0</v>
      </c>
      <c r="AE223" s="324">
        <f t="shared" si="43"/>
        <v>0</v>
      </c>
      <c r="AF223" s="324">
        <f t="shared" si="43"/>
        <v>0</v>
      </c>
      <c r="AG223" s="514">
        <f t="shared" si="43"/>
        <v>0</v>
      </c>
      <c r="AH223" s="324">
        <f t="shared" si="43"/>
        <v>0</v>
      </c>
      <c r="AI223" s="324">
        <v>0</v>
      </c>
      <c r="AJ223" s="324">
        <f t="shared" si="43"/>
        <v>0</v>
      </c>
      <c r="AK223" s="324">
        <f>AK139+AK140+AK141+AK144+AK149+AK155+AK161+AK168+AK174+AK181+AK187+AK193+AK199+AK205+AK211+AK217</f>
        <v>0</v>
      </c>
      <c r="AL223" s="329"/>
      <c r="AM223" s="273"/>
      <c r="AN223" s="273"/>
      <c r="AO223" s="273"/>
      <c r="AP223" s="273"/>
      <c r="AQ223" s="273"/>
      <c r="AR223" s="273"/>
      <c r="AS223" s="273"/>
      <c r="AT223" s="273"/>
      <c r="AU223" s="273"/>
      <c r="AV223" s="273"/>
      <c r="AW223" s="273"/>
      <c r="AX223" s="273"/>
      <c r="AY223" s="273"/>
    </row>
    <row r="224" spans="1:51" s="276" customFormat="1" ht="34.65" customHeight="1" x14ac:dyDescent="0.25">
      <c r="A224" s="685" t="s">
        <v>688</v>
      </c>
      <c r="B224" s="685"/>
      <c r="C224" s="685"/>
      <c r="D224" s="685"/>
      <c r="E224" s="685"/>
      <c r="F224" s="685"/>
      <c r="G224" s="685"/>
      <c r="H224" s="685"/>
      <c r="I224" s="685"/>
      <c r="J224" s="685"/>
      <c r="K224" s="685"/>
      <c r="L224" s="685"/>
      <c r="M224" s="685"/>
      <c r="N224" s="685"/>
      <c r="O224" s="685"/>
      <c r="P224" s="685"/>
      <c r="Q224" s="685"/>
      <c r="R224" s="685"/>
      <c r="S224" s="685"/>
      <c r="T224" s="685"/>
      <c r="U224" s="685"/>
      <c r="V224" s="685"/>
      <c r="W224" s="685"/>
      <c r="X224" s="685"/>
      <c r="Y224" s="685"/>
      <c r="Z224" s="685"/>
      <c r="AA224" s="685"/>
      <c r="AB224" s="685"/>
      <c r="AC224" s="685"/>
      <c r="AD224" s="685"/>
      <c r="AE224" s="685"/>
      <c r="AF224" s="685"/>
      <c r="AG224" s="685"/>
      <c r="AH224" s="685"/>
      <c r="AI224" s="685"/>
      <c r="AJ224" s="685"/>
      <c r="AK224" s="685"/>
      <c r="AL224" s="285"/>
      <c r="AM224" s="275"/>
      <c r="AN224" s="275"/>
      <c r="AO224" s="275"/>
      <c r="AP224" s="275"/>
      <c r="AQ224" s="275"/>
      <c r="AR224" s="275"/>
      <c r="AS224" s="275"/>
      <c r="AT224" s="275"/>
      <c r="AU224" s="275"/>
      <c r="AV224" s="275"/>
      <c r="AW224" s="275"/>
      <c r="AX224" s="275"/>
      <c r="AY224" s="275"/>
    </row>
    <row r="225" spans="1:38" s="275" customFormat="1" ht="343.2" customHeight="1" outlineLevel="1" x14ac:dyDescent="0.25">
      <c r="A225" s="330" t="s">
        <v>689</v>
      </c>
      <c r="B225" s="331" t="s">
        <v>1284</v>
      </c>
      <c r="C225" s="330"/>
      <c r="D225" s="330">
        <f t="shared" ref="D225:D268" si="44">F225+J225+O225+T225+Y225+AC225+AH225</f>
        <v>898.5</v>
      </c>
      <c r="E225" s="330">
        <v>0</v>
      </c>
      <c r="F225" s="332">
        <f>H225</f>
        <v>898.5</v>
      </c>
      <c r="G225" s="330">
        <v>0</v>
      </c>
      <c r="H225" s="330">
        <v>898.5</v>
      </c>
      <c r="I225" s="330">
        <v>0</v>
      </c>
      <c r="J225" s="332">
        <v>0</v>
      </c>
      <c r="K225" s="330">
        <v>0</v>
      </c>
      <c r="L225" s="330">
        <v>0</v>
      </c>
      <c r="M225" s="330">
        <v>0</v>
      </c>
      <c r="N225" s="330">
        <v>0</v>
      </c>
      <c r="O225" s="332">
        <v>0</v>
      </c>
      <c r="P225" s="330">
        <v>0</v>
      </c>
      <c r="Q225" s="330">
        <v>0</v>
      </c>
      <c r="R225" s="330">
        <v>0</v>
      </c>
      <c r="S225" s="330">
        <v>0</v>
      </c>
      <c r="T225" s="332">
        <v>0</v>
      </c>
      <c r="U225" s="330">
        <v>0</v>
      </c>
      <c r="V225" s="330">
        <v>0</v>
      </c>
      <c r="W225" s="330">
        <v>0</v>
      </c>
      <c r="X225" s="495">
        <v>0</v>
      </c>
      <c r="Y225" s="332">
        <v>0</v>
      </c>
      <c r="Z225" s="330">
        <v>0</v>
      </c>
      <c r="AA225" s="330">
        <v>0</v>
      </c>
      <c r="AB225" s="330">
        <v>0</v>
      </c>
      <c r="AC225" s="332">
        <v>0</v>
      </c>
      <c r="AD225" s="330">
        <v>0</v>
      </c>
      <c r="AE225" s="330">
        <v>0</v>
      </c>
      <c r="AF225" s="330">
        <v>0</v>
      </c>
      <c r="AG225" s="495">
        <v>0</v>
      </c>
      <c r="AH225" s="332">
        <v>0</v>
      </c>
      <c r="AI225" s="330">
        <v>0</v>
      </c>
      <c r="AJ225" s="330">
        <v>0</v>
      </c>
      <c r="AK225" s="330">
        <v>0</v>
      </c>
      <c r="AL225" s="285"/>
    </row>
    <row r="226" spans="1:38" s="275" customFormat="1" ht="281.39999999999998" customHeight="1" outlineLevel="1" x14ac:dyDescent="0.25">
      <c r="A226" s="330" t="s">
        <v>690</v>
      </c>
      <c r="B226" s="331" t="s">
        <v>691</v>
      </c>
      <c r="C226" s="330"/>
      <c r="D226" s="330">
        <f t="shared" si="44"/>
        <v>1613.3</v>
      </c>
      <c r="E226" s="330">
        <v>0</v>
      </c>
      <c r="F226" s="332">
        <f>H226</f>
        <v>1613.3</v>
      </c>
      <c r="G226" s="330">
        <v>0</v>
      </c>
      <c r="H226" s="330">
        <v>1613.3</v>
      </c>
      <c r="I226" s="330">
        <v>0</v>
      </c>
      <c r="J226" s="332">
        <v>0</v>
      </c>
      <c r="K226" s="330">
        <v>0</v>
      </c>
      <c r="L226" s="330">
        <v>0</v>
      </c>
      <c r="M226" s="330">
        <v>0</v>
      </c>
      <c r="N226" s="330">
        <v>0</v>
      </c>
      <c r="O226" s="332">
        <v>0</v>
      </c>
      <c r="P226" s="330">
        <v>0</v>
      </c>
      <c r="Q226" s="330">
        <v>0</v>
      </c>
      <c r="R226" s="330">
        <v>0</v>
      </c>
      <c r="S226" s="330">
        <v>0</v>
      </c>
      <c r="T226" s="332">
        <v>0</v>
      </c>
      <c r="U226" s="330">
        <v>0</v>
      </c>
      <c r="V226" s="330">
        <v>0</v>
      </c>
      <c r="W226" s="330">
        <v>0</v>
      </c>
      <c r="X226" s="495"/>
      <c r="Y226" s="332">
        <v>0</v>
      </c>
      <c r="Z226" s="330"/>
      <c r="AA226" s="330">
        <v>0</v>
      </c>
      <c r="AB226" s="330"/>
      <c r="AC226" s="332">
        <v>0</v>
      </c>
      <c r="AD226" s="330">
        <v>0</v>
      </c>
      <c r="AE226" s="330"/>
      <c r="AF226" s="330">
        <v>0</v>
      </c>
      <c r="AG226" s="495"/>
      <c r="AH226" s="332">
        <v>0</v>
      </c>
      <c r="AI226" s="330">
        <v>0</v>
      </c>
      <c r="AJ226" s="330">
        <v>0</v>
      </c>
      <c r="AK226" s="330">
        <v>0</v>
      </c>
      <c r="AL226" s="285"/>
    </row>
    <row r="227" spans="1:38" s="275" customFormat="1" ht="317.39999999999998" customHeight="1" outlineLevel="1" x14ac:dyDescent="0.25">
      <c r="A227" s="330" t="s">
        <v>692</v>
      </c>
      <c r="B227" s="331" t="s">
        <v>693</v>
      </c>
      <c r="C227" s="330"/>
      <c r="D227" s="330">
        <f t="shared" si="44"/>
        <v>1609.4</v>
      </c>
      <c r="E227" s="330">
        <v>0</v>
      </c>
      <c r="F227" s="332">
        <f>H227</f>
        <v>1609.4</v>
      </c>
      <c r="G227" s="330">
        <v>0</v>
      </c>
      <c r="H227" s="330">
        <v>1609.4</v>
      </c>
      <c r="I227" s="330">
        <v>0</v>
      </c>
      <c r="J227" s="332">
        <v>0</v>
      </c>
      <c r="K227" s="330">
        <v>0</v>
      </c>
      <c r="L227" s="330">
        <v>0</v>
      </c>
      <c r="M227" s="330">
        <v>0</v>
      </c>
      <c r="N227" s="330">
        <v>0</v>
      </c>
      <c r="O227" s="332">
        <v>0</v>
      </c>
      <c r="P227" s="330">
        <v>0</v>
      </c>
      <c r="Q227" s="330">
        <v>0</v>
      </c>
      <c r="R227" s="330">
        <v>0</v>
      </c>
      <c r="S227" s="330">
        <v>0</v>
      </c>
      <c r="T227" s="332">
        <v>0</v>
      </c>
      <c r="U227" s="330">
        <v>0</v>
      </c>
      <c r="V227" s="330">
        <v>0</v>
      </c>
      <c r="W227" s="330">
        <v>0</v>
      </c>
      <c r="X227" s="495">
        <v>0</v>
      </c>
      <c r="Y227" s="332">
        <v>0</v>
      </c>
      <c r="Z227" s="330">
        <v>0</v>
      </c>
      <c r="AA227" s="330">
        <v>0</v>
      </c>
      <c r="AB227" s="330">
        <v>0</v>
      </c>
      <c r="AC227" s="332">
        <v>0</v>
      </c>
      <c r="AD227" s="330">
        <v>0</v>
      </c>
      <c r="AE227" s="330">
        <v>0</v>
      </c>
      <c r="AF227" s="330">
        <v>0</v>
      </c>
      <c r="AG227" s="495">
        <v>0</v>
      </c>
      <c r="AH227" s="332">
        <v>0</v>
      </c>
      <c r="AI227" s="330">
        <v>0</v>
      </c>
      <c r="AJ227" s="330">
        <v>0</v>
      </c>
      <c r="AK227" s="330">
        <v>0</v>
      </c>
      <c r="AL227" s="285"/>
    </row>
    <row r="228" spans="1:38" s="275" customFormat="1" ht="280.2" customHeight="1" outlineLevel="1" x14ac:dyDescent="0.25">
      <c r="A228" s="303" t="s">
        <v>694</v>
      </c>
      <c r="B228" s="331" t="s">
        <v>695</v>
      </c>
      <c r="C228" s="330"/>
      <c r="D228" s="330">
        <f t="shared" si="44"/>
        <v>1014.9</v>
      </c>
      <c r="E228" s="330">
        <v>0</v>
      </c>
      <c r="F228" s="332">
        <f>H228</f>
        <v>1014.9</v>
      </c>
      <c r="G228" s="330">
        <v>0</v>
      </c>
      <c r="H228" s="330">
        <v>1014.9</v>
      </c>
      <c r="I228" s="330">
        <v>0</v>
      </c>
      <c r="J228" s="332">
        <v>0</v>
      </c>
      <c r="K228" s="330">
        <v>0</v>
      </c>
      <c r="L228" s="330">
        <v>0</v>
      </c>
      <c r="M228" s="330">
        <v>0</v>
      </c>
      <c r="N228" s="330">
        <v>0</v>
      </c>
      <c r="O228" s="332">
        <v>0</v>
      </c>
      <c r="P228" s="330">
        <v>0</v>
      </c>
      <c r="Q228" s="330">
        <v>0</v>
      </c>
      <c r="R228" s="330">
        <v>0</v>
      </c>
      <c r="S228" s="330">
        <v>0</v>
      </c>
      <c r="T228" s="332">
        <v>0</v>
      </c>
      <c r="U228" s="330">
        <v>0</v>
      </c>
      <c r="V228" s="330">
        <v>0</v>
      </c>
      <c r="W228" s="330">
        <v>0</v>
      </c>
      <c r="X228" s="495">
        <v>0</v>
      </c>
      <c r="Y228" s="332">
        <v>0</v>
      </c>
      <c r="Z228" s="330">
        <v>0</v>
      </c>
      <c r="AA228" s="330">
        <v>0</v>
      </c>
      <c r="AB228" s="330">
        <v>0</v>
      </c>
      <c r="AC228" s="332">
        <v>0</v>
      </c>
      <c r="AD228" s="330">
        <v>0</v>
      </c>
      <c r="AE228" s="330">
        <v>0</v>
      </c>
      <c r="AF228" s="330">
        <v>0</v>
      </c>
      <c r="AG228" s="495">
        <v>0</v>
      </c>
      <c r="AH228" s="332">
        <v>0</v>
      </c>
      <c r="AI228" s="330">
        <v>0</v>
      </c>
      <c r="AJ228" s="330">
        <v>0</v>
      </c>
      <c r="AK228" s="330">
        <v>0</v>
      </c>
      <c r="AL228" s="285"/>
    </row>
    <row r="229" spans="1:38" s="275" customFormat="1" ht="301.2" customHeight="1" outlineLevel="1" x14ac:dyDescent="0.25">
      <c r="A229" s="330" t="s">
        <v>696</v>
      </c>
      <c r="B229" s="331" t="s">
        <v>697</v>
      </c>
      <c r="C229" s="330"/>
      <c r="D229" s="330">
        <f t="shared" si="44"/>
        <v>17201</v>
      </c>
      <c r="E229" s="330">
        <v>0</v>
      </c>
      <c r="F229" s="332">
        <v>0</v>
      </c>
      <c r="G229" s="330">
        <v>0</v>
      </c>
      <c r="H229" s="330">
        <v>0</v>
      </c>
      <c r="I229" s="330">
        <v>0</v>
      </c>
      <c r="J229" s="332">
        <f>J230+J231+J232+J233</f>
        <v>17201</v>
      </c>
      <c r="K229" s="330">
        <f>K230+K231+K232+K233</f>
        <v>0</v>
      </c>
      <c r="L229" s="330">
        <f>L230+L231+L232+L233</f>
        <v>0</v>
      </c>
      <c r="M229" s="330">
        <f>M230+M231+M232+M233</f>
        <v>17201</v>
      </c>
      <c r="N229" s="330">
        <v>0</v>
      </c>
      <c r="O229" s="332">
        <v>0</v>
      </c>
      <c r="P229" s="330">
        <v>0</v>
      </c>
      <c r="Q229" s="330">
        <v>0</v>
      </c>
      <c r="R229" s="330">
        <v>0</v>
      </c>
      <c r="S229" s="330">
        <v>0</v>
      </c>
      <c r="T229" s="332">
        <v>0</v>
      </c>
      <c r="U229" s="330">
        <v>0</v>
      </c>
      <c r="V229" s="330">
        <v>0</v>
      </c>
      <c r="W229" s="330">
        <v>0</v>
      </c>
      <c r="X229" s="495">
        <v>0</v>
      </c>
      <c r="Y229" s="332">
        <f>AA229</f>
        <v>0</v>
      </c>
      <c r="Z229" s="330">
        <v>0</v>
      </c>
      <c r="AA229" s="330">
        <v>0</v>
      </c>
      <c r="AB229" s="330">
        <v>0</v>
      </c>
      <c r="AC229" s="332">
        <f>AF229</f>
        <v>0</v>
      </c>
      <c r="AD229" s="330">
        <v>0</v>
      </c>
      <c r="AE229" s="330">
        <v>0</v>
      </c>
      <c r="AF229" s="330">
        <v>0</v>
      </c>
      <c r="AG229" s="495">
        <v>0</v>
      </c>
      <c r="AH229" s="332">
        <f>AK229</f>
        <v>0</v>
      </c>
      <c r="AI229" s="330">
        <v>0</v>
      </c>
      <c r="AJ229" s="330">
        <v>0</v>
      </c>
      <c r="AK229" s="330">
        <v>0</v>
      </c>
      <c r="AL229" s="285"/>
    </row>
    <row r="230" spans="1:38" s="275" customFormat="1" ht="56.4" customHeight="1" outlineLevel="1" x14ac:dyDescent="0.25">
      <c r="A230" s="303" t="s">
        <v>698</v>
      </c>
      <c r="B230" s="331" t="s">
        <v>699</v>
      </c>
      <c r="C230" s="330"/>
      <c r="D230" s="330">
        <f t="shared" si="44"/>
        <v>5220</v>
      </c>
      <c r="E230" s="303">
        <v>0</v>
      </c>
      <c r="F230" s="312">
        <v>0</v>
      </c>
      <c r="G230" s="303">
        <v>0</v>
      </c>
      <c r="H230" s="303">
        <v>0</v>
      </c>
      <c r="I230" s="330">
        <v>0</v>
      </c>
      <c r="J230" s="332">
        <v>5220</v>
      </c>
      <c r="K230" s="330">
        <v>0</v>
      </c>
      <c r="L230" s="279">
        <v>0</v>
      </c>
      <c r="M230" s="330">
        <v>5220</v>
      </c>
      <c r="N230" s="330">
        <v>0</v>
      </c>
      <c r="O230" s="332">
        <v>0</v>
      </c>
      <c r="P230" s="330">
        <v>0</v>
      </c>
      <c r="Q230" s="279">
        <v>0</v>
      </c>
      <c r="R230" s="330">
        <v>0</v>
      </c>
      <c r="S230" s="279">
        <v>0</v>
      </c>
      <c r="T230" s="280">
        <v>0</v>
      </c>
      <c r="U230" s="279">
        <v>0</v>
      </c>
      <c r="V230" s="279">
        <v>0</v>
      </c>
      <c r="W230" s="279">
        <v>0</v>
      </c>
      <c r="X230" s="499">
        <v>0</v>
      </c>
      <c r="Y230" s="280">
        <v>0</v>
      </c>
      <c r="Z230" s="279">
        <v>0</v>
      </c>
      <c r="AA230" s="279">
        <v>0</v>
      </c>
      <c r="AB230" s="279">
        <v>0</v>
      </c>
      <c r="AC230" s="280">
        <v>0</v>
      </c>
      <c r="AD230" s="279">
        <v>0</v>
      </c>
      <c r="AE230" s="279">
        <v>0</v>
      </c>
      <c r="AF230" s="279">
        <v>0</v>
      </c>
      <c r="AG230" s="499">
        <v>0</v>
      </c>
      <c r="AH230" s="280">
        <v>0</v>
      </c>
      <c r="AI230" s="330">
        <v>0</v>
      </c>
      <c r="AJ230" s="279">
        <v>0</v>
      </c>
      <c r="AK230" s="279">
        <v>0</v>
      </c>
      <c r="AL230" s="285"/>
    </row>
    <row r="231" spans="1:38" s="275" customFormat="1" ht="57" customHeight="1" outlineLevel="1" x14ac:dyDescent="0.25">
      <c r="A231" s="303" t="s">
        <v>700</v>
      </c>
      <c r="B231" s="331" t="s">
        <v>701</v>
      </c>
      <c r="C231" s="330"/>
      <c r="D231" s="330">
        <f t="shared" si="44"/>
        <v>7704</v>
      </c>
      <c r="E231" s="303">
        <v>0</v>
      </c>
      <c r="F231" s="312">
        <v>0</v>
      </c>
      <c r="G231" s="303">
        <v>0</v>
      </c>
      <c r="H231" s="303">
        <v>0</v>
      </c>
      <c r="I231" s="330"/>
      <c r="J231" s="332">
        <v>7704</v>
      </c>
      <c r="K231" s="330">
        <v>0</v>
      </c>
      <c r="L231" s="279">
        <v>0</v>
      </c>
      <c r="M231" s="330">
        <v>7704</v>
      </c>
      <c r="N231" s="330"/>
      <c r="O231" s="332">
        <v>0</v>
      </c>
      <c r="P231" s="330">
        <v>0</v>
      </c>
      <c r="Q231" s="279">
        <v>0</v>
      </c>
      <c r="R231" s="330">
        <v>0</v>
      </c>
      <c r="S231" s="279">
        <v>0</v>
      </c>
      <c r="T231" s="280">
        <v>0</v>
      </c>
      <c r="U231" s="279">
        <v>0</v>
      </c>
      <c r="V231" s="279">
        <v>0</v>
      </c>
      <c r="W231" s="279">
        <v>0</v>
      </c>
      <c r="X231" s="499">
        <v>0</v>
      </c>
      <c r="Y231" s="280">
        <v>0</v>
      </c>
      <c r="Z231" s="279">
        <v>0</v>
      </c>
      <c r="AA231" s="279">
        <v>0</v>
      </c>
      <c r="AB231" s="279">
        <v>0</v>
      </c>
      <c r="AC231" s="280">
        <v>0</v>
      </c>
      <c r="AD231" s="279">
        <v>0</v>
      </c>
      <c r="AE231" s="279">
        <v>0</v>
      </c>
      <c r="AF231" s="279">
        <v>0</v>
      </c>
      <c r="AG231" s="499">
        <v>0</v>
      </c>
      <c r="AH231" s="280">
        <v>0</v>
      </c>
      <c r="AI231" s="330">
        <v>0</v>
      </c>
      <c r="AJ231" s="279">
        <v>0</v>
      </c>
      <c r="AK231" s="279">
        <v>0</v>
      </c>
      <c r="AL231" s="285"/>
    </row>
    <row r="232" spans="1:38" s="275" customFormat="1" ht="97.2" customHeight="1" outlineLevel="1" x14ac:dyDescent="0.25">
      <c r="A232" s="303" t="s">
        <v>702</v>
      </c>
      <c r="B232" s="331" t="s">
        <v>703</v>
      </c>
      <c r="C232" s="330"/>
      <c r="D232" s="330">
        <f t="shared" si="44"/>
        <v>2148</v>
      </c>
      <c r="E232" s="303">
        <v>0</v>
      </c>
      <c r="F232" s="312">
        <v>0</v>
      </c>
      <c r="G232" s="303">
        <v>0</v>
      </c>
      <c r="H232" s="303">
        <v>0</v>
      </c>
      <c r="I232" s="330">
        <v>0</v>
      </c>
      <c r="J232" s="332">
        <v>2148</v>
      </c>
      <c r="K232" s="330">
        <v>0</v>
      </c>
      <c r="L232" s="279">
        <v>0</v>
      </c>
      <c r="M232" s="330">
        <v>2148</v>
      </c>
      <c r="N232" s="330">
        <v>0</v>
      </c>
      <c r="O232" s="332">
        <v>0</v>
      </c>
      <c r="P232" s="330">
        <v>0</v>
      </c>
      <c r="Q232" s="279">
        <v>0</v>
      </c>
      <c r="R232" s="330">
        <v>0</v>
      </c>
      <c r="S232" s="279">
        <v>0</v>
      </c>
      <c r="T232" s="280">
        <v>0</v>
      </c>
      <c r="U232" s="279">
        <v>0</v>
      </c>
      <c r="V232" s="279">
        <v>0</v>
      </c>
      <c r="W232" s="279">
        <v>0</v>
      </c>
      <c r="X232" s="499">
        <v>0</v>
      </c>
      <c r="Y232" s="280">
        <v>0</v>
      </c>
      <c r="Z232" s="279">
        <v>0</v>
      </c>
      <c r="AA232" s="279">
        <v>0</v>
      </c>
      <c r="AB232" s="279">
        <v>0</v>
      </c>
      <c r="AC232" s="280">
        <v>0</v>
      </c>
      <c r="AD232" s="279">
        <v>0</v>
      </c>
      <c r="AE232" s="279">
        <v>0</v>
      </c>
      <c r="AF232" s="279">
        <v>0</v>
      </c>
      <c r="AG232" s="499">
        <v>0</v>
      </c>
      <c r="AH232" s="280">
        <v>0</v>
      </c>
      <c r="AI232" s="330">
        <v>0</v>
      </c>
      <c r="AJ232" s="279">
        <v>0</v>
      </c>
      <c r="AK232" s="279">
        <v>0</v>
      </c>
      <c r="AL232" s="285"/>
    </row>
    <row r="233" spans="1:38" s="275" customFormat="1" ht="76.2" customHeight="1" outlineLevel="1" x14ac:dyDescent="0.25">
      <c r="A233" s="303" t="s">
        <v>704</v>
      </c>
      <c r="B233" s="331" t="s">
        <v>705</v>
      </c>
      <c r="C233" s="330"/>
      <c r="D233" s="330">
        <f t="shared" si="44"/>
        <v>2129</v>
      </c>
      <c r="E233" s="303">
        <v>0</v>
      </c>
      <c r="F233" s="312">
        <v>0</v>
      </c>
      <c r="G233" s="303">
        <v>0</v>
      </c>
      <c r="H233" s="303">
        <v>0</v>
      </c>
      <c r="I233" s="330">
        <v>0</v>
      </c>
      <c r="J233" s="332">
        <v>2129</v>
      </c>
      <c r="K233" s="330">
        <v>0</v>
      </c>
      <c r="L233" s="279">
        <v>0</v>
      </c>
      <c r="M233" s="330">
        <v>2129</v>
      </c>
      <c r="N233" s="330">
        <v>0</v>
      </c>
      <c r="O233" s="332">
        <v>0</v>
      </c>
      <c r="P233" s="330">
        <v>0</v>
      </c>
      <c r="Q233" s="279">
        <v>0</v>
      </c>
      <c r="R233" s="330">
        <v>0</v>
      </c>
      <c r="S233" s="279">
        <v>0</v>
      </c>
      <c r="T233" s="280">
        <v>0</v>
      </c>
      <c r="U233" s="279">
        <v>0</v>
      </c>
      <c r="V233" s="279">
        <v>0</v>
      </c>
      <c r="W233" s="279">
        <v>0</v>
      </c>
      <c r="X233" s="499">
        <v>0</v>
      </c>
      <c r="Y233" s="280">
        <v>0</v>
      </c>
      <c r="Z233" s="279">
        <v>0</v>
      </c>
      <c r="AA233" s="279">
        <v>0</v>
      </c>
      <c r="AB233" s="279">
        <v>0</v>
      </c>
      <c r="AC233" s="280">
        <v>0</v>
      </c>
      <c r="AD233" s="279">
        <v>0</v>
      </c>
      <c r="AE233" s="279">
        <v>0</v>
      </c>
      <c r="AF233" s="279">
        <v>0</v>
      </c>
      <c r="AG233" s="499">
        <v>0</v>
      </c>
      <c r="AH233" s="280">
        <v>0</v>
      </c>
      <c r="AI233" s="330">
        <v>0</v>
      </c>
      <c r="AJ233" s="279">
        <v>0</v>
      </c>
      <c r="AK233" s="279">
        <v>0</v>
      </c>
      <c r="AL233" s="285"/>
    </row>
    <row r="234" spans="1:38" s="275" customFormat="1" ht="45" customHeight="1" outlineLevel="1" x14ac:dyDescent="0.25">
      <c r="A234" s="311" t="s">
        <v>706</v>
      </c>
      <c r="B234" s="331" t="s">
        <v>707</v>
      </c>
      <c r="C234" s="330"/>
      <c r="D234" s="330">
        <f t="shared" si="44"/>
        <v>13468.6</v>
      </c>
      <c r="E234" s="303">
        <v>0</v>
      </c>
      <c r="F234" s="312">
        <f>H234</f>
        <v>13468.6</v>
      </c>
      <c r="G234" s="303">
        <v>0</v>
      </c>
      <c r="H234" s="303">
        <v>13468.6</v>
      </c>
      <c r="I234" s="330">
        <v>0</v>
      </c>
      <c r="J234" s="332">
        <v>0</v>
      </c>
      <c r="K234" s="330">
        <v>0</v>
      </c>
      <c r="L234" s="279">
        <v>0</v>
      </c>
      <c r="M234" s="330">
        <v>0</v>
      </c>
      <c r="N234" s="330">
        <v>0</v>
      </c>
      <c r="O234" s="332">
        <v>0</v>
      </c>
      <c r="P234" s="330">
        <v>0</v>
      </c>
      <c r="Q234" s="279">
        <v>0</v>
      </c>
      <c r="R234" s="330">
        <v>0</v>
      </c>
      <c r="S234" s="279">
        <v>0</v>
      </c>
      <c r="T234" s="280">
        <v>0</v>
      </c>
      <c r="U234" s="279">
        <v>0</v>
      </c>
      <c r="V234" s="279">
        <v>0</v>
      </c>
      <c r="W234" s="279">
        <v>0</v>
      </c>
      <c r="X234" s="499">
        <v>0</v>
      </c>
      <c r="Y234" s="280">
        <v>0</v>
      </c>
      <c r="Z234" s="279">
        <v>0</v>
      </c>
      <c r="AA234" s="279">
        <v>0</v>
      </c>
      <c r="AB234" s="279">
        <v>0</v>
      </c>
      <c r="AC234" s="280">
        <v>0</v>
      </c>
      <c r="AD234" s="279">
        <v>0</v>
      </c>
      <c r="AE234" s="279">
        <v>0</v>
      </c>
      <c r="AF234" s="279">
        <v>0</v>
      </c>
      <c r="AG234" s="499">
        <v>0</v>
      </c>
      <c r="AH234" s="280">
        <v>0</v>
      </c>
      <c r="AI234" s="330">
        <v>0</v>
      </c>
      <c r="AJ234" s="279">
        <v>0</v>
      </c>
      <c r="AK234" s="279">
        <v>0</v>
      </c>
      <c r="AL234" s="285"/>
    </row>
    <row r="235" spans="1:38" s="275" customFormat="1" ht="79.2" customHeight="1" outlineLevel="1" x14ac:dyDescent="0.25">
      <c r="A235" s="311" t="s">
        <v>708</v>
      </c>
      <c r="B235" s="331" t="s">
        <v>709</v>
      </c>
      <c r="C235" s="330"/>
      <c r="D235" s="330">
        <f t="shared" si="44"/>
        <v>2342.1</v>
      </c>
      <c r="E235" s="303">
        <v>0</v>
      </c>
      <c r="F235" s="312">
        <f>H235</f>
        <v>2342.1</v>
      </c>
      <c r="G235" s="303">
        <v>0</v>
      </c>
      <c r="H235" s="303">
        <v>2342.1</v>
      </c>
      <c r="I235" s="330">
        <v>0</v>
      </c>
      <c r="J235" s="332">
        <v>0</v>
      </c>
      <c r="K235" s="330">
        <v>0</v>
      </c>
      <c r="L235" s="279">
        <v>0</v>
      </c>
      <c r="M235" s="330">
        <v>0</v>
      </c>
      <c r="N235" s="330">
        <v>0</v>
      </c>
      <c r="O235" s="332">
        <v>0</v>
      </c>
      <c r="P235" s="330">
        <v>0</v>
      </c>
      <c r="Q235" s="279">
        <v>0</v>
      </c>
      <c r="R235" s="330">
        <v>0</v>
      </c>
      <c r="S235" s="279">
        <v>0</v>
      </c>
      <c r="T235" s="280">
        <v>0</v>
      </c>
      <c r="U235" s="279">
        <v>0</v>
      </c>
      <c r="V235" s="279">
        <v>0</v>
      </c>
      <c r="W235" s="279">
        <v>0</v>
      </c>
      <c r="X235" s="499">
        <v>0</v>
      </c>
      <c r="Y235" s="280">
        <v>0</v>
      </c>
      <c r="Z235" s="279">
        <v>0</v>
      </c>
      <c r="AA235" s="279">
        <v>0</v>
      </c>
      <c r="AB235" s="279">
        <v>0</v>
      </c>
      <c r="AC235" s="280">
        <v>0</v>
      </c>
      <c r="AD235" s="279">
        <v>0</v>
      </c>
      <c r="AE235" s="279">
        <v>0</v>
      </c>
      <c r="AF235" s="279">
        <v>0</v>
      </c>
      <c r="AG235" s="499">
        <v>0</v>
      </c>
      <c r="AH235" s="280">
        <v>0</v>
      </c>
      <c r="AI235" s="330">
        <v>0</v>
      </c>
      <c r="AJ235" s="279">
        <v>0</v>
      </c>
      <c r="AK235" s="279">
        <v>0</v>
      </c>
      <c r="AL235" s="285"/>
    </row>
    <row r="236" spans="1:38" s="275" customFormat="1" ht="77.400000000000006" customHeight="1" outlineLevel="1" x14ac:dyDescent="0.25">
      <c r="A236" s="311" t="s">
        <v>710</v>
      </c>
      <c r="B236" s="331" t="s">
        <v>711</v>
      </c>
      <c r="C236" s="330"/>
      <c r="D236" s="330">
        <f t="shared" si="44"/>
        <v>16347</v>
      </c>
      <c r="E236" s="303">
        <v>0</v>
      </c>
      <c r="F236" s="312">
        <v>0</v>
      </c>
      <c r="G236" s="303">
        <v>0</v>
      </c>
      <c r="H236" s="303">
        <v>0</v>
      </c>
      <c r="I236" s="330">
        <v>0</v>
      </c>
      <c r="J236" s="332">
        <v>0</v>
      </c>
      <c r="K236" s="330">
        <v>0</v>
      </c>
      <c r="L236" s="279">
        <v>0</v>
      </c>
      <c r="M236" s="330">
        <v>0</v>
      </c>
      <c r="N236" s="330">
        <v>0</v>
      </c>
      <c r="O236" s="332">
        <f>R236</f>
        <v>16347</v>
      </c>
      <c r="P236" s="330">
        <v>0</v>
      </c>
      <c r="Q236" s="279">
        <v>0</v>
      </c>
      <c r="R236" s="330">
        <v>16347</v>
      </c>
      <c r="S236" s="279">
        <v>0</v>
      </c>
      <c r="T236" s="332">
        <v>0</v>
      </c>
      <c r="U236" s="330">
        <v>0</v>
      </c>
      <c r="V236" s="279">
        <v>0</v>
      </c>
      <c r="W236" s="330">
        <v>0</v>
      </c>
      <c r="X236" s="499">
        <v>0</v>
      </c>
      <c r="Y236" s="332">
        <v>0</v>
      </c>
      <c r="Z236" s="279">
        <v>0</v>
      </c>
      <c r="AA236" s="330">
        <v>0</v>
      </c>
      <c r="AB236" s="279">
        <v>0</v>
      </c>
      <c r="AC236" s="332">
        <f>AF236</f>
        <v>0</v>
      </c>
      <c r="AD236" s="330">
        <v>0</v>
      </c>
      <c r="AE236" s="279">
        <v>0</v>
      </c>
      <c r="AF236" s="330">
        <v>0</v>
      </c>
      <c r="AG236" s="495">
        <v>0</v>
      </c>
      <c r="AH236" s="332">
        <f>AK236</f>
        <v>0</v>
      </c>
      <c r="AI236" s="330">
        <v>0</v>
      </c>
      <c r="AJ236" s="279">
        <v>0</v>
      </c>
      <c r="AK236" s="330">
        <v>0</v>
      </c>
      <c r="AL236" s="285"/>
    </row>
    <row r="237" spans="1:38" s="275" customFormat="1" ht="106.2" customHeight="1" outlineLevel="1" x14ac:dyDescent="0.25">
      <c r="A237" s="311" t="s">
        <v>712</v>
      </c>
      <c r="B237" s="331" t="s">
        <v>713</v>
      </c>
      <c r="C237" s="330"/>
      <c r="D237" s="330">
        <f t="shared" si="44"/>
        <v>16121</v>
      </c>
      <c r="E237" s="303">
        <v>0</v>
      </c>
      <c r="F237" s="312">
        <v>0</v>
      </c>
      <c r="G237" s="303">
        <v>0</v>
      </c>
      <c r="H237" s="303">
        <v>0</v>
      </c>
      <c r="I237" s="330">
        <v>0</v>
      </c>
      <c r="J237" s="332">
        <v>0</v>
      </c>
      <c r="K237" s="330">
        <v>0</v>
      </c>
      <c r="L237" s="279">
        <v>0</v>
      </c>
      <c r="M237" s="330">
        <v>0</v>
      </c>
      <c r="N237" s="330">
        <v>0</v>
      </c>
      <c r="O237" s="332">
        <v>0</v>
      </c>
      <c r="P237" s="330">
        <v>0</v>
      </c>
      <c r="Q237" s="279">
        <v>0</v>
      </c>
      <c r="R237" s="330">
        <v>0</v>
      </c>
      <c r="S237" s="279">
        <v>0</v>
      </c>
      <c r="T237" s="332">
        <f>T238+T239+T240</f>
        <v>16121</v>
      </c>
      <c r="U237" s="330">
        <v>0</v>
      </c>
      <c r="V237" s="279">
        <v>0</v>
      </c>
      <c r="W237" s="330">
        <f>W238+W239+W240</f>
        <v>16121</v>
      </c>
      <c r="X237" s="499">
        <v>0</v>
      </c>
      <c r="Y237" s="332">
        <f>AA237</f>
        <v>0</v>
      </c>
      <c r="Z237" s="279">
        <v>0</v>
      </c>
      <c r="AA237" s="330">
        <v>0</v>
      </c>
      <c r="AB237" s="279">
        <v>0</v>
      </c>
      <c r="AC237" s="332">
        <f>AF237</f>
        <v>0</v>
      </c>
      <c r="AD237" s="330">
        <v>0</v>
      </c>
      <c r="AE237" s="279">
        <v>0</v>
      </c>
      <c r="AF237" s="330">
        <v>0</v>
      </c>
      <c r="AG237" s="495">
        <v>0</v>
      </c>
      <c r="AH237" s="332">
        <v>0</v>
      </c>
      <c r="AI237" s="330">
        <v>0</v>
      </c>
      <c r="AJ237" s="279">
        <v>0</v>
      </c>
      <c r="AK237" s="330">
        <v>0</v>
      </c>
      <c r="AL237" s="285"/>
    </row>
    <row r="238" spans="1:38" s="275" customFormat="1" ht="44.4" customHeight="1" outlineLevel="1" x14ac:dyDescent="0.25">
      <c r="A238" s="311" t="s">
        <v>714</v>
      </c>
      <c r="B238" s="331" t="s">
        <v>715</v>
      </c>
      <c r="C238" s="330"/>
      <c r="D238" s="330">
        <f t="shared" si="44"/>
        <v>6110</v>
      </c>
      <c r="E238" s="303">
        <v>0</v>
      </c>
      <c r="F238" s="312">
        <v>0</v>
      </c>
      <c r="G238" s="303">
        <v>0</v>
      </c>
      <c r="H238" s="303">
        <v>0</v>
      </c>
      <c r="I238" s="330">
        <v>0</v>
      </c>
      <c r="J238" s="332">
        <v>0</v>
      </c>
      <c r="K238" s="330">
        <v>0</v>
      </c>
      <c r="L238" s="279">
        <v>0</v>
      </c>
      <c r="M238" s="330">
        <v>0</v>
      </c>
      <c r="N238" s="330">
        <v>0</v>
      </c>
      <c r="O238" s="332">
        <v>0</v>
      </c>
      <c r="P238" s="330">
        <v>0</v>
      </c>
      <c r="Q238" s="279">
        <v>0</v>
      </c>
      <c r="R238" s="330">
        <v>0</v>
      </c>
      <c r="S238" s="279">
        <v>0</v>
      </c>
      <c r="T238" s="332">
        <f>W238</f>
        <v>6110</v>
      </c>
      <c r="U238" s="330">
        <v>0</v>
      </c>
      <c r="V238" s="279">
        <v>0</v>
      </c>
      <c r="W238" s="330">
        <v>6110</v>
      </c>
      <c r="X238" s="499">
        <v>0</v>
      </c>
      <c r="Y238" s="332">
        <v>0</v>
      </c>
      <c r="Z238" s="279">
        <v>0</v>
      </c>
      <c r="AA238" s="330">
        <v>0</v>
      </c>
      <c r="AB238" s="279">
        <v>0</v>
      </c>
      <c r="AC238" s="332">
        <v>0</v>
      </c>
      <c r="AD238" s="330">
        <v>0</v>
      </c>
      <c r="AE238" s="279">
        <v>0</v>
      </c>
      <c r="AF238" s="330">
        <v>0</v>
      </c>
      <c r="AG238" s="495">
        <v>0</v>
      </c>
      <c r="AH238" s="332">
        <v>0</v>
      </c>
      <c r="AI238" s="330">
        <v>0</v>
      </c>
      <c r="AJ238" s="279">
        <v>0</v>
      </c>
      <c r="AK238" s="330">
        <v>0</v>
      </c>
      <c r="AL238" s="285"/>
    </row>
    <row r="239" spans="1:38" s="275" customFormat="1" ht="75.599999999999994" customHeight="1" outlineLevel="1" x14ac:dyDescent="0.25">
      <c r="A239" s="311" t="s">
        <v>716</v>
      </c>
      <c r="B239" s="331" t="s">
        <v>717</v>
      </c>
      <c r="C239" s="330"/>
      <c r="D239" s="330">
        <f t="shared" si="44"/>
        <v>5562</v>
      </c>
      <c r="E239" s="303">
        <v>0</v>
      </c>
      <c r="F239" s="312">
        <v>0</v>
      </c>
      <c r="G239" s="303">
        <v>0</v>
      </c>
      <c r="H239" s="303">
        <v>0</v>
      </c>
      <c r="I239" s="330">
        <v>0</v>
      </c>
      <c r="J239" s="332">
        <v>0</v>
      </c>
      <c r="K239" s="330">
        <v>0</v>
      </c>
      <c r="L239" s="279">
        <v>0</v>
      </c>
      <c r="M239" s="330">
        <v>0</v>
      </c>
      <c r="N239" s="330">
        <v>0</v>
      </c>
      <c r="O239" s="332">
        <v>0</v>
      </c>
      <c r="P239" s="330">
        <v>0</v>
      </c>
      <c r="Q239" s="279">
        <v>0</v>
      </c>
      <c r="R239" s="330">
        <v>0</v>
      </c>
      <c r="S239" s="279">
        <v>0</v>
      </c>
      <c r="T239" s="332">
        <f>W239</f>
        <v>5562</v>
      </c>
      <c r="U239" s="330">
        <v>0</v>
      </c>
      <c r="V239" s="279">
        <v>0</v>
      </c>
      <c r="W239" s="330">
        <v>5562</v>
      </c>
      <c r="X239" s="499">
        <v>0</v>
      </c>
      <c r="Y239" s="332">
        <v>0</v>
      </c>
      <c r="Z239" s="279">
        <v>0</v>
      </c>
      <c r="AA239" s="330">
        <v>0</v>
      </c>
      <c r="AB239" s="279">
        <v>0</v>
      </c>
      <c r="AC239" s="332">
        <v>0</v>
      </c>
      <c r="AD239" s="330">
        <v>0</v>
      </c>
      <c r="AE239" s="279">
        <v>0</v>
      </c>
      <c r="AF239" s="330">
        <v>0</v>
      </c>
      <c r="AG239" s="495">
        <v>0</v>
      </c>
      <c r="AH239" s="332">
        <v>0</v>
      </c>
      <c r="AI239" s="330">
        <v>0</v>
      </c>
      <c r="AJ239" s="279">
        <v>0</v>
      </c>
      <c r="AK239" s="330">
        <v>0</v>
      </c>
      <c r="AL239" s="285"/>
    </row>
    <row r="240" spans="1:38" s="275" customFormat="1" ht="64.349999999999994" customHeight="1" outlineLevel="1" x14ac:dyDescent="0.25">
      <c r="A240" s="311" t="s">
        <v>718</v>
      </c>
      <c r="B240" s="331" t="s">
        <v>719</v>
      </c>
      <c r="C240" s="330"/>
      <c r="D240" s="330">
        <f t="shared" si="44"/>
        <v>4449</v>
      </c>
      <c r="E240" s="303">
        <v>0</v>
      </c>
      <c r="F240" s="312">
        <v>0</v>
      </c>
      <c r="G240" s="303">
        <v>0</v>
      </c>
      <c r="H240" s="303">
        <v>0</v>
      </c>
      <c r="I240" s="330">
        <v>0</v>
      </c>
      <c r="J240" s="332">
        <v>0</v>
      </c>
      <c r="K240" s="330">
        <v>0</v>
      </c>
      <c r="L240" s="279">
        <v>0</v>
      </c>
      <c r="M240" s="330">
        <v>0</v>
      </c>
      <c r="N240" s="330">
        <v>0</v>
      </c>
      <c r="O240" s="332">
        <v>0</v>
      </c>
      <c r="P240" s="330">
        <v>0</v>
      </c>
      <c r="Q240" s="279">
        <v>0</v>
      </c>
      <c r="R240" s="330">
        <v>0</v>
      </c>
      <c r="S240" s="279">
        <v>0</v>
      </c>
      <c r="T240" s="332">
        <f>W240</f>
        <v>4449</v>
      </c>
      <c r="U240" s="330">
        <v>0</v>
      </c>
      <c r="V240" s="279">
        <v>0</v>
      </c>
      <c r="W240" s="330">
        <v>4449</v>
      </c>
      <c r="X240" s="499">
        <v>0</v>
      </c>
      <c r="Y240" s="332">
        <v>0</v>
      </c>
      <c r="Z240" s="279">
        <v>0</v>
      </c>
      <c r="AA240" s="330">
        <v>0</v>
      </c>
      <c r="AB240" s="279">
        <v>0</v>
      </c>
      <c r="AC240" s="332">
        <v>0</v>
      </c>
      <c r="AD240" s="330">
        <v>0</v>
      </c>
      <c r="AE240" s="279">
        <v>0</v>
      </c>
      <c r="AF240" s="330">
        <v>0</v>
      </c>
      <c r="AG240" s="495">
        <v>0</v>
      </c>
      <c r="AH240" s="332">
        <v>0</v>
      </c>
      <c r="AI240" s="330">
        <v>0</v>
      </c>
      <c r="AJ240" s="279">
        <v>0</v>
      </c>
      <c r="AK240" s="330">
        <v>0</v>
      </c>
      <c r="AL240" s="285"/>
    </row>
    <row r="241" spans="1:38" s="275" customFormat="1" ht="87" customHeight="1" outlineLevel="1" x14ac:dyDescent="0.25">
      <c r="A241" s="311" t="s">
        <v>720</v>
      </c>
      <c r="B241" s="331" t="s">
        <v>721</v>
      </c>
      <c r="C241" s="330"/>
      <c r="D241" s="330">
        <f t="shared" si="44"/>
        <v>561.20000000000005</v>
      </c>
      <c r="E241" s="303">
        <v>0</v>
      </c>
      <c r="F241" s="312">
        <f>H241</f>
        <v>561.20000000000005</v>
      </c>
      <c r="G241" s="303">
        <v>0</v>
      </c>
      <c r="H241" s="303">
        <v>561.20000000000005</v>
      </c>
      <c r="I241" s="330">
        <v>0</v>
      </c>
      <c r="J241" s="332">
        <v>0</v>
      </c>
      <c r="K241" s="330">
        <v>0</v>
      </c>
      <c r="L241" s="279">
        <v>0</v>
      </c>
      <c r="M241" s="330">
        <v>0</v>
      </c>
      <c r="N241" s="330">
        <v>0</v>
      </c>
      <c r="O241" s="332">
        <v>0</v>
      </c>
      <c r="P241" s="330">
        <v>0</v>
      </c>
      <c r="Q241" s="279">
        <v>0</v>
      </c>
      <c r="R241" s="330">
        <v>0</v>
      </c>
      <c r="S241" s="279">
        <v>0</v>
      </c>
      <c r="T241" s="332">
        <v>0</v>
      </c>
      <c r="U241" s="330">
        <v>0</v>
      </c>
      <c r="V241" s="279">
        <v>0</v>
      </c>
      <c r="W241" s="330">
        <v>0</v>
      </c>
      <c r="X241" s="499">
        <v>0</v>
      </c>
      <c r="Y241" s="332">
        <v>0</v>
      </c>
      <c r="Z241" s="279">
        <v>0</v>
      </c>
      <c r="AA241" s="330">
        <v>0</v>
      </c>
      <c r="AB241" s="279">
        <v>0</v>
      </c>
      <c r="AC241" s="332">
        <v>0</v>
      </c>
      <c r="AD241" s="330">
        <v>0</v>
      </c>
      <c r="AE241" s="279">
        <v>0</v>
      </c>
      <c r="AF241" s="330">
        <v>0</v>
      </c>
      <c r="AG241" s="495">
        <v>0</v>
      </c>
      <c r="AH241" s="332">
        <v>0</v>
      </c>
      <c r="AI241" s="330">
        <v>0</v>
      </c>
      <c r="AJ241" s="279">
        <v>0</v>
      </c>
      <c r="AK241" s="330">
        <v>0</v>
      </c>
      <c r="AL241" s="285"/>
    </row>
    <row r="242" spans="1:38" s="399" customFormat="1" ht="51.6" customHeight="1" outlineLevel="1" x14ac:dyDescent="0.25">
      <c r="A242" s="393" t="s">
        <v>722</v>
      </c>
      <c r="B242" s="394" t="s">
        <v>1295</v>
      </c>
      <c r="C242" s="395"/>
      <c r="D242" s="395">
        <f t="shared" si="44"/>
        <v>2489.0700000000002</v>
      </c>
      <c r="E242" s="396">
        <v>0</v>
      </c>
      <c r="F242" s="396">
        <v>0</v>
      </c>
      <c r="G242" s="396">
        <v>0</v>
      </c>
      <c r="H242" s="396">
        <v>0</v>
      </c>
      <c r="I242" s="395">
        <v>0</v>
      </c>
      <c r="J242" s="395">
        <v>0</v>
      </c>
      <c r="K242" s="395">
        <v>0</v>
      </c>
      <c r="L242" s="397">
        <v>0</v>
      </c>
      <c r="M242" s="395">
        <v>0</v>
      </c>
      <c r="N242" s="395">
        <v>0</v>
      </c>
      <c r="O242" s="395">
        <v>0</v>
      </c>
      <c r="P242" s="395">
        <v>0</v>
      </c>
      <c r="Q242" s="397">
        <v>0</v>
      </c>
      <c r="R242" s="395">
        <v>0</v>
      </c>
      <c r="S242" s="397">
        <v>0</v>
      </c>
      <c r="T242" s="397">
        <v>0</v>
      </c>
      <c r="U242" s="397">
        <v>0</v>
      </c>
      <c r="V242" s="397">
        <v>0</v>
      </c>
      <c r="W242" s="397">
        <v>0</v>
      </c>
      <c r="X242" s="517">
        <v>0</v>
      </c>
      <c r="Y242" s="395">
        <v>0</v>
      </c>
      <c r="Z242" s="397">
        <v>0</v>
      </c>
      <c r="AA242" s="395">
        <v>0</v>
      </c>
      <c r="AB242" s="397">
        <v>0</v>
      </c>
      <c r="AC242" s="397">
        <f>AF242</f>
        <v>0</v>
      </c>
      <c r="AD242" s="397">
        <v>0</v>
      </c>
      <c r="AE242" s="397">
        <v>0</v>
      </c>
      <c r="AF242" s="397">
        <v>0</v>
      </c>
      <c r="AG242" s="517">
        <v>0</v>
      </c>
      <c r="AH242" s="397">
        <f>AK242+AJ242+AI242</f>
        <v>2489.0700000000002</v>
      </c>
      <c r="AI242" s="395">
        <v>0</v>
      </c>
      <c r="AJ242" s="397">
        <v>0</v>
      </c>
      <c r="AK242" s="397">
        <v>2489.0700000000002</v>
      </c>
      <c r="AL242" s="398"/>
    </row>
    <row r="243" spans="1:38" s="275" customFormat="1" ht="190.95" customHeight="1" outlineLevel="1" x14ac:dyDescent="0.25">
      <c r="A243" s="311" t="s">
        <v>723</v>
      </c>
      <c r="B243" s="331" t="s">
        <v>724</v>
      </c>
      <c r="C243" s="330"/>
      <c r="D243" s="330">
        <f t="shared" si="44"/>
        <v>0</v>
      </c>
      <c r="E243" s="303">
        <v>0</v>
      </c>
      <c r="F243" s="312">
        <v>0</v>
      </c>
      <c r="G243" s="303">
        <v>0</v>
      </c>
      <c r="H243" s="303">
        <v>0</v>
      </c>
      <c r="I243" s="330">
        <v>0</v>
      </c>
      <c r="J243" s="332">
        <v>0</v>
      </c>
      <c r="K243" s="330">
        <v>0</v>
      </c>
      <c r="L243" s="279">
        <v>0</v>
      </c>
      <c r="M243" s="330">
        <v>0</v>
      </c>
      <c r="N243" s="330"/>
      <c r="O243" s="332">
        <v>0</v>
      </c>
      <c r="P243" s="330">
        <v>0</v>
      </c>
      <c r="Q243" s="279">
        <v>0</v>
      </c>
      <c r="R243" s="330">
        <v>0</v>
      </c>
      <c r="S243" s="279">
        <v>0</v>
      </c>
      <c r="T243" s="280">
        <v>0</v>
      </c>
      <c r="U243" s="279">
        <v>0</v>
      </c>
      <c r="V243" s="279">
        <v>0</v>
      </c>
      <c r="W243" s="279">
        <v>0</v>
      </c>
      <c r="X243" s="499">
        <v>0</v>
      </c>
      <c r="Y243" s="332">
        <v>0</v>
      </c>
      <c r="Z243" s="279">
        <v>0</v>
      </c>
      <c r="AA243" s="330">
        <v>0</v>
      </c>
      <c r="AB243" s="279">
        <v>0</v>
      </c>
      <c r="AC243" s="280">
        <f>AF243</f>
        <v>0</v>
      </c>
      <c r="AD243" s="279">
        <v>0</v>
      </c>
      <c r="AE243" s="279">
        <v>0</v>
      </c>
      <c r="AF243" s="279">
        <v>0</v>
      </c>
      <c r="AG243" s="499">
        <v>0</v>
      </c>
      <c r="AH243" s="280">
        <f t="shared" ref="AH243:AH250" si="45">AK243</f>
        <v>0</v>
      </c>
      <c r="AI243" s="330">
        <v>0</v>
      </c>
      <c r="AJ243" s="279">
        <v>0</v>
      </c>
      <c r="AK243" s="279">
        <v>0</v>
      </c>
      <c r="AL243" s="285"/>
    </row>
    <row r="244" spans="1:38" s="275" customFormat="1" ht="210" customHeight="1" outlineLevel="1" x14ac:dyDescent="0.25">
      <c r="A244" s="311" t="s">
        <v>725</v>
      </c>
      <c r="B244" s="331" t="s">
        <v>726</v>
      </c>
      <c r="C244" s="330"/>
      <c r="D244" s="330">
        <f t="shared" si="44"/>
        <v>0</v>
      </c>
      <c r="E244" s="303"/>
      <c r="F244" s="312">
        <v>0</v>
      </c>
      <c r="G244" s="303">
        <v>0</v>
      </c>
      <c r="H244" s="303">
        <v>0</v>
      </c>
      <c r="I244" s="330"/>
      <c r="J244" s="332">
        <v>0</v>
      </c>
      <c r="K244" s="330">
        <v>0</v>
      </c>
      <c r="L244" s="279">
        <v>0</v>
      </c>
      <c r="M244" s="330">
        <v>0</v>
      </c>
      <c r="N244" s="330"/>
      <c r="O244" s="332">
        <v>0</v>
      </c>
      <c r="P244" s="330">
        <v>0</v>
      </c>
      <c r="Q244" s="279"/>
      <c r="R244" s="330">
        <v>0</v>
      </c>
      <c r="S244" s="279"/>
      <c r="T244" s="280">
        <v>0</v>
      </c>
      <c r="U244" s="279">
        <v>0</v>
      </c>
      <c r="V244" s="279"/>
      <c r="W244" s="279"/>
      <c r="X244" s="499"/>
      <c r="Y244" s="280">
        <v>0</v>
      </c>
      <c r="Z244" s="279">
        <v>0</v>
      </c>
      <c r="AA244" s="279">
        <v>0</v>
      </c>
      <c r="AB244" s="279"/>
      <c r="AC244" s="280">
        <f>AF244</f>
        <v>0</v>
      </c>
      <c r="AD244" s="279">
        <v>0</v>
      </c>
      <c r="AE244" s="279">
        <v>0</v>
      </c>
      <c r="AF244" s="279">
        <v>0</v>
      </c>
      <c r="AG244" s="499">
        <v>0</v>
      </c>
      <c r="AH244" s="280">
        <f t="shared" si="45"/>
        <v>0</v>
      </c>
      <c r="AI244" s="330">
        <v>0</v>
      </c>
      <c r="AJ244" s="279">
        <v>0</v>
      </c>
      <c r="AK244" s="279">
        <v>0</v>
      </c>
      <c r="AL244" s="285"/>
    </row>
    <row r="245" spans="1:38" s="275" customFormat="1" ht="208.2" customHeight="1" outlineLevel="1" x14ac:dyDescent="0.25">
      <c r="A245" s="311" t="s">
        <v>727</v>
      </c>
      <c r="B245" s="331" t="s">
        <v>1403</v>
      </c>
      <c r="C245" s="330"/>
      <c r="D245" s="330">
        <f t="shared" si="44"/>
        <v>15000</v>
      </c>
      <c r="E245" s="303">
        <v>0</v>
      </c>
      <c r="F245" s="312">
        <v>0</v>
      </c>
      <c r="G245" s="303">
        <v>0</v>
      </c>
      <c r="H245" s="303">
        <v>0</v>
      </c>
      <c r="I245" s="330">
        <v>0</v>
      </c>
      <c r="J245" s="332">
        <v>0</v>
      </c>
      <c r="K245" s="330">
        <v>0</v>
      </c>
      <c r="L245" s="279">
        <v>0</v>
      </c>
      <c r="M245" s="330">
        <v>0</v>
      </c>
      <c r="N245" s="330">
        <v>0</v>
      </c>
      <c r="O245" s="332">
        <v>0</v>
      </c>
      <c r="P245" s="330">
        <v>0</v>
      </c>
      <c r="Q245" s="279">
        <v>0</v>
      </c>
      <c r="R245" s="330">
        <v>0</v>
      </c>
      <c r="S245" s="279">
        <v>0</v>
      </c>
      <c r="T245" s="280">
        <v>0</v>
      </c>
      <c r="U245" s="279">
        <v>0</v>
      </c>
      <c r="V245" s="279">
        <v>0</v>
      </c>
      <c r="W245" s="279">
        <v>0</v>
      </c>
      <c r="X245" s="499">
        <v>0</v>
      </c>
      <c r="Y245" s="280">
        <f>AA245</f>
        <v>15000</v>
      </c>
      <c r="Z245" s="279">
        <v>0</v>
      </c>
      <c r="AA245" s="279">
        <v>15000</v>
      </c>
      <c r="AB245" s="279">
        <v>0</v>
      </c>
      <c r="AC245" s="280">
        <f>AF245</f>
        <v>0</v>
      </c>
      <c r="AD245" s="279">
        <v>0</v>
      </c>
      <c r="AE245" s="279">
        <v>0</v>
      </c>
      <c r="AF245" s="279">
        <v>0</v>
      </c>
      <c r="AG245" s="499">
        <v>0</v>
      </c>
      <c r="AH245" s="280">
        <f t="shared" si="45"/>
        <v>0</v>
      </c>
      <c r="AI245" s="330">
        <v>0</v>
      </c>
      <c r="AJ245" s="279">
        <v>0</v>
      </c>
      <c r="AK245" s="279">
        <v>0</v>
      </c>
      <c r="AL245" s="285"/>
    </row>
    <row r="246" spans="1:38" s="275" customFormat="1" ht="114.6" customHeight="1" outlineLevel="1" x14ac:dyDescent="0.25">
      <c r="A246" s="311" t="s">
        <v>728</v>
      </c>
      <c r="B246" s="331" t="s">
        <v>729</v>
      </c>
      <c r="C246" s="330"/>
      <c r="D246" s="330">
        <f t="shared" si="44"/>
        <v>5499</v>
      </c>
      <c r="E246" s="303">
        <v>0</v>
      </c>
      <c r="F246" s="312">
        <v>0</v>
      </c>
      <c r="G246" s="303">
        <v>0</v>
      </c>
      <c r="H246" s="303">
        <v>0</v>
      </c>
      <c r="I246" s="330">
        <v>0</v>
      </c>
      <c r="J246" s="332">
        <v>0</v>
      </c>
      <c r="K246" s="330">
        <v>0</v>
      </c>
      <c r="L246" s="279">
        <v>0</v>
      </c>
      <c r="M246" s="330">
        <v>0</v>
      </c>
      <c r="N246" s="330">
        <v>0</v>
      </c>
      <c r="O246" s="332">
        <v>0</v>
      </c>
      <c r="P246" s="330">
        <v>0</v>
      </c>
      <c r="Q246" s="279">
        <v>0</v>
      </c>
      <c r="R246" s="330">
        <v>0</v>
      </c>
      <c r="S246" s="279">
        <v>0</v>
      </c>
      <c r="T246" s="280">
        <v>0</v>
      </c>
      <c r="U246" s="279">
        <v>0</v>
      </c>
      <c r="V246" s="279">
        <v>0</v>
      </c>
      <c r="W246" s="279">
        <v>0</v>
      </c>
      <c r="X246" s="499">
        <v>0</v>
      </c>
      <c r="Y246" s="280">
        <v>0</v>
      </c>
      <c r="Z246" s="279">
        <v>0</v>
      </c>
      <c r="AA246" s="279">
        <v>0</v>
      </c>
      <c r="AB246" s="279">
        <v>0</v>
      </c>
      <c r="AC246" s="280">
        <v>0</v>
      </c>
      <c r="AD246" s="279">
        <v>0</v>
      </c>
      <c r="AE246" s="279">
        <v>0</v>
      </c>
      <c r="AF246" s="279">
        <v>0</v>
      </c>
      <c r="AG246" s="499">
        <v>0</v>
      </c>
      <c r="AH246" s="280">
        <f t="shared" si="45"/>
        <v>5499</v>
      </c>
      <c r="AI246" s="330">
        <v>0</v>
      </c>
      <c r="AJ246" s="279">
        <v>0</v>
      </c>
      <c r="AK246" s="279">
        <v>5499</v>
      </c>
      <c r="AL246" s="285"/>
    </row>
    <row r="247" spans="1:38" s="275" customFormat="1" ht="147.6" customHeight="1" outlineLevel="1" x14ac:dyDescent="0.25">
      <c r="A247" s="311" t="s">
        <v>730</v>
      </c>
      <c r="B247" s="331" t="s">
        <v>731</v>
      </c>
      <c r="C247" s="330"/>
      <c r="D247" s="330">
        <f t="shared" si="44"/>
        <v>0</v>
      </c>
      <c r="E247" s="303">
        <v>0</v>
      </c>
      <c r="F247" s="312">
        <v>0</v>
      </c>
      <c r="G247" s="303">
        <v>0</v>
      </c>
      <c r="H247" s="303">
        <v>0</v>
      </c>
      <c r="I247" s="330">
        <v>0</v>
      </c>
      <c r="J247" s="332">
        <v>0</v>
      </c>
      <c r="K247" s="330">
        <v>0</v>
      </c>
      <c r="L247" s="279">
        <v>0</v>
      </c>
      <c r="M247" s="330">
        <v>0</v>
      </c>
      <c r="N247" s="330">
        <v>0</v>
      </c>
      <c r="O247" s="332">
        <v>0</v>
      </c>
      <c r="P247" s="330">
        <v>0</v>
      </c>
      <c r="Q247" s="279">
        <v>0</v>
      </c>
      <c r="R247" s="330">
        <v>0</v>
      </c>
      <c r="S247" s="279">
        <v>0</v>
      </c>
      <c r="T247" s="280">
        <v>0</v>
      </c>
      <c r="U247" s="279">
        <v>0</v>
      </c>
      <c r="V247" s="279">
        <v>0</v>
      </c>
      <c r="W247" s="279">
        <v>0</v>
      </c>
      <c r="X247" s="499">
        <v>0</v>
      </c>
      <c r="Y247" s="280">
        <v>0</v>
      </c>
      <c r="Z247" s="279">
        <v>0</v>
      </c>
      <c r="AA247" s="279">
        <v>0</v>
      </c>
      <c r="AB247" s="279">
        <v>0</v>
      </c>
      <c r="AC247" s="280">
        <v>0</v>
      </c>
      <c r="AD247" s="279">
        <v>0</v>
      </c>
      <c r="AE247" s="279">
        <v>0</v>
      </c>
      <c r="AF247" s="279">
        <v>0</v>
      </c>
      <c r="AG247" s="499">
        <v>0</v>
      </c>
      <c r="AH247" s="280">
        <f t="shared" si="45"/>
        <v>0</v>
      </c>
      <c r="AI247" s="330">
        <v>0</v>
      </c>
      <c r="AJ247" s="279">
        <v>0</v>
      </c>
      <c r="AK247" s="279">
        <f>AK248+AK249</f>
        <v>0</v>
      </c>
      <c r="AL247" s="285"/>
    </row>
    <row r="248" spans="1:38" s="275" customFormat="1" ht="266.39999999999998" customHeight="1" outlineLevel="1" x14ac:dyDescent="0.25">
      <c r="A248" s="311" t="s">
        <v>732</v>
      </c>
      <c r="B248" s="331" t="s">
        <v>733</v>
      </c>
      <c r="C248" s="330"/>
      <c r="D248" s="330">
        <f t="shared" si="44"/>
        <v>0</v>
      </c>
      <c r="E248" s="303">
        <v>0</v>
      </c>
      <c r="F248" s="312">
        <v>0</v>
      </c>
      <c r="G248" s="303">
        <v>0</v>
      </c>
      <c r="H248" s="303">
        <v>0</v>
      </c>
      <c r="I248" s="330">
        <v>0</v>
      </c>
      <c r="J248" s="332">
        <v>0</v>
      </c>
      <c r="K248" s="330">
        <v>0</v>
      </c>
      <c r="L248" s="279">
        <v>0</v>
      </c>
      <c r="M248" s="330">
        <v>0</v>
      </c>
      <c r="N248" s="330">
        <v>0</v>
      </c>
      <c r="O248" s="332">
        <v>0</v>
      </c>
      <c r="P248" s="330">
        <v>0</v>
      </c>
      <c r="Q248" s="279">
        <v>0</v>
      </c>
      <c r="R248" s="330">
        <v>0</v>
      </c>
      <c r="S248" s="279">
        <v>0</v>
      </c>
      <c r="T248" s="280">
        <v>0</v>
      </c>
      <c r="U248" s="279">
        <v>0</v>
      </c>
      <c r="V248" s="279">
        <v>0</v>
      </c>
      <c r="W248" s="279">
        <v>0</v>
      </c>
      <c r="X248" s="499">
        <v>0</v>
      </c>
      <c r="Y248" s="280">
        <v>0</v>
      </c>
      <c r="Z248" s="279">
        <v>0</v>
      </c>
      <c r="AA248" s="279">
        <v>0</v>
      </c>
      <c r="AB248" s="279">
        <v>0</v>
      </c>
      <c r="AC248" s="280">
        <v>0</v>
      </c>
      <c r="AD248" s="279">
        <v>0</v>
      </c>
      <c r="AE248" s="279">
        <v>0</v>
      </c>
      <c r="AF248" s="279">
        <v>0</v>
      </c>
      <c r="AG248" s="499">
        <v>0</v>
      </c>
      <c r="AH248" s="280">
        <f t="shared" si="45"/>
        <v>0</v>
      </c>
      <c r="AI248" s="330">
        <v>0</v>
      </c>
      <c r="AJ248" s="279">
        <v>0</v>
      </c>
      <c r="AK248" s="279">
        <v>0</v>
      </c>
      <c r="AL248" s="285"/>
    </row>
    <row r="249" spans="1:38" s="275" customFormat="1" ht="199.2" customHeight="1" outlineLevel="1" x14ac:dyDescent="0.25">
      <c r="A249" s="311" t="s">
        <v>734</v>
      </c>
      <c r="B249" s="331" t="s">
        <v>735</v>
      </c>
      <c r="C249" s="330"/>
      <c r="D249" s="330">
        <f t="shared" si="44"/>
        <v>0</v>
      </c>
      <c r="E249" s="303">
        <v>0</v>
      </c>
      <c r="F249" s="312"/>
      <c r="G249" s="303">
        <v>0</v>
      </c>
      <c r="H249" s="303">
        <v>0</v>
      </c>
      <c r="I249" s="330">
        <v>0</v>
      </c>
      <c r="J249" s="332">
        <v>0</v>
      </c>
      <c r="K249" s="330">
        <v>0</v>
      </c>
      <c r="L249" s="279">
        <v>0</v>
      </c>
      <c r="M249" s="330">
        <v>0</v>
      </c>
      <c r="N249" s="330">
        <v>0</v>
      </c>
      <c r="O249" s="332">
        <v>0</v>
      </c>
      <c r="P249" s="330">
        <v>0</v>
      </c>
      <c r="Q249" s="279">
        <v>0</v>
      </c>
      <c r="R249" s="330">
        <v>0</v>
      </c>
      <c r="S249" s="279">
        <v>0</v>
      </c>
      <c r="T249" s="280">
        <v>0</v>
      </c>
      <c r="U249" s="279">
        <v>0</v>
      </c>
      <c r="V249" s="279">
        <v>0</v>
      </c>
      <c r="W249" s="279">
        <v>0</v>
      </c>
      <c r="X249" s="499">
        <v>0</v>
      </c>
      <c r="Y249" s="280">
        <v>0</v>
      </c>
      <c r="Z249" s="279">
        <v>0</v>
      </c>
      <c r="AA249" s="279"/>
      <c r="AB249" s="279">
        <v>0</v>
      </c>
      <c r="AC249" s="280">
        <v>0</v>
      </c>
      <c r="AD249" s="279">
        <v>0</v>
      </c>
      <c r="AE249" s="279">
        <v>0</v>
      </c>
      <c r="AF249" s="279">
        <v>0</v>
      </c>
      <c r="AG249" s="499">
        <v>0</v>
      </c>
      <c r="AH249" s="280">
        <f t="shared" si="45"/>
        <v>0</v>
      </c>
      <c r="AI249" s="330">
        <v>0</v>
      </c>
      <c r="AJ249" s="279">
        <v>0</v>
      </c>
      <c r="AK249" s="279">
        <v>0</v>
      </c>
      <c r="AL249" s="285"/>
    </row>
    <row r="250" spans="1:38" s="275" customFormat="1" ht="240" customHeight="1" outlineLevel="1" x14ac:dyDescent="0.25">
      <c r="A250" s="311" t="s">
        <v>736</v>
      </c>
      <c r="B250" s="331" t="s">
        <v>737</v>
      </c>
      <c r="C250" s="330"/>
      <c r="D250" s="330">
        <f t="shared" si="44"/>
        <v>1</v>
      </c>
      <c r="E250" s="303">
        <v>0</v>
      </c>
      <c r="F250" s="312">
        <v>0</v>
      </c>
      <c r="G250" s="303">
        <v>0</v>
      </c>
      <c r="H250" s="303">
        <v>0</v>
      </c>
      <c r="I250" s="330">
        <v>0</v>
      </c>
      <c r="J250" s="332">
        <v>0</v>
      </c>
      <c r="K250" s="330">
        <v>0</v>
      </c>
      <c r="L250" s="279">
        <v>0</v>
      </c>
      <c r="M250" s="330">
        <v>0</v>
      </c>
      <c r="N250" s="330">
        <v>0</v>
      </c>
      <c r="O250" s="332">
        <v>0</v>
      </c>
      <c r="P250" s="330">
        <v>0</v>
      </c>
      <c r="Q250" s="279">
        <v>0</v>
      </c>
      <c r="R250" s="330">
        <v>0</v>
      </c>
      <c r="S250" s="279">
        <v>0</v>
      </c>
      <c r="T250" s="280">
        <v>0</v>
      </c>
      <c r="U250" s="279">
        <v>0</v>
      </c>
      <c r="V250" s="279">
        <v>0</v>
      </c>
      <c r="W250" s="279">
        <v>0</v>
      </c>
      <c r="X250" s="499">
        <v>0</v>
      </c>
      <c r="Y250" s="280">
        <v>0</v>
      </c>
      <c r="Z250" s="279">
        <v>0</v>
      </c>
      <c r="AA250" s="279">
        <v>0</v>
      </c>
      <c r="AB250" s="279">
        <v>0</v>
      </c>
      <c r="AC250" s="280">
        <f t="shared" ref="AC250:AC256" si="46">AF250</f>
        <v>1</v>
      </c>
      <c r="AD250" s="279">
        <v>0</v>
      </c>
      <c r="AE250" s="279">
        <v>0</v>
      </c>
      <c r="AF250" s="279">
        <v>1</v>
      </c>
      <c r="AG250" s="499">
        <v>0</v>
      </c>
      <c r="AH250" s="280">
        <f t="shared" si="45"/>
        <v>0</v>
      </c>
      <c r="AI250" s="330">
        <v>0</v>
      </c>
      <c r="AJ250" s="279">
        <v>0</v>
      </c>
      <c r="AK250" s="279">
        <v>0</v>
      </c>
      <c r="AL250" s="285"/>
    </row>
    <row r="251" spans="1:38" s="275" customFormat="1" ht="178.95" customHeight="1" outlineLevel="1" x14ac:dyDescent="0.25">
      <c r="A251" s="311" t="s">
        <v>738</v>
      </c>
      <c r="B251" s="331" t="s">
        <v>739</v>
      </c>
      <c r="C251" s="330"/>
      <c r="D251" s="330">
        <f t="shared" si="44"/>
        <v>1155</v>
      </c>
      <c r="E251" s="303">
        <v>0</v>
      </c>
      <c r="F251" s="312">
        <v>0</v>
      </c>
      <c r="G251" s="303">
        <v>0</v>
      </c>
      <c r="H251" s="303">
        <v>0</v>
      </c>
      <c r="I251" s="330">
        <v>0</v>
      </c>
      <c r="J251" s="332">
        <v>0</v>
      </c>
      <c r="K251" s="330">
        <v>0</v>
      </c>
      <c r="L251" s="279">
        <v>0</v>
      </c>
      <c r="M251" s="330">
        <v>0</v>
      </c>
      <c r="N251" s="330">
        <v>0</v>
      </c>
      <c r="O251" s="332">
        <v>0</v>
      </c>
      <c r="P251" s="330">
        <v>0</v>
      </c>
      <c r="Q251" s="279">
        <v>0</v>
      </c>
      <c r="R251" s="330">
        <v>0</v>
      </c>
      <c r="S251" s="279">
        <v>0</v>
      </c>
      <c r="T251" s="280">
        <v>0</v>
      </c>
      <c r="U251" s="279">
        <v>0</v>
      </c>
      <c r="V251" s="279">
        <v>0</v>
      </c>
      <c r="W251" s="279">
        <v>0</v>
      </c>
      <c r="X251" s="499">
        <v>0</v>
      </c>
      <c r="Y251" s="280">
        <v>0</v>
      </c>
      <c r="Z251" s="279">
        <v>0</v>
      </c>
      <c r="AA251" s="279">
        <v>0</v>
      </c>
      <c r="AB251" s="279">
        <v>0</v>
      </c>
      <c r="AC251" s="280">
        <f>AF251</f>
        <v>782</v>
      </c>
      <c r="AD251" s="279">
        <v>0</v>
      </c>
      <c r="AE251" s="279">
        <v>0</v>
      </c>
      <c r="AF251" s="279">
        <f>585-1+198</f>
        <v>782</v>
      </c>
      <c r="AG251" s="499">
        <v>0</v>
      </c>
      <c r="AH251" s="280">
        <f>AJ251+AK251+AI251</f>
        <v>373</v>
      </c>
      <c r="AI251" s="330">
        <v>0</v>
      </c>
      <c r="AJ251" s="279">
        <v>0</v>
      </c>
      <c r="AK251" s="279">
        <v>373</v>
      </c>
      <c r="AL251" s="285"/>
    </row>
    <row r="252" spans="1:38" s="275" customFormat="1" ht="234.6" customHeight="1" outlineLevel="1" x14ac:dyDescent="0.25">
      <c r="A252" s="311" t="s">
        <v>740</v>
      </c>
      <c r="B252" s="331" t="s">
        <v>741</v>
      </c>
      <c r="C252" s="330"/>
      <c r="D252" s="330">
        <f t="shared" si="44"/>
        <v>25</v>
      </c>
      <c r="E252" s="303">
        <v>0</v>
      </c>
      <c r="F252" s="312">
        <v>0</v>
      </c>
      <c r="G252" s="303">
        <v>0</v>
      </c>
      <c r="H252" s="303">
        <v>0</v>
      </c>
      <c r="I252" s="330">
        <v>0</v>
      </c>
      <c r="J252" s="332">
        <v>0</v>
      </c>
      <c r="K252" s="330">
        <v>0</v>
      </c>
      <c r="L252" s="279">
        <v>0</v>
      </c>
      <c r="M252" s="330">
        <v>0</v>
      </c>
      <c r="N252" s="330">
        <v>0</v>
      </c>
      <c r="O252" s="332">
        <v>0</v>
      </c>
      <c r="P252" s="330">
        <v>0</v>
      </c>
      <c r="Q252" s="279">
        <v>0</v>
      </c>
      <c r="R252" s="330">
        <v>0</v>
      </c>
      <c r="S252" s="279">
        <v>0</v>
      </c>
      <c r="T252" s="280">
        <v>0</v>
      </c>
      <c r="U252" s="279">
        <v>0</v>
      </c>
      <c r="V252" s="279">
        <v>0</v>
      </c>
      <c r="W252" s="279">
        <v>0</v>
      </c>
      <c r="X252" s="499">
        <v>0</v>
      </c>
      <c r="Y252" s="280">
        <v>0</v>
      </c>
      <c r="Z252" s="279">
        <v>0</v>
      </c>
      <c r="AA252" s="279">
        <v>0</v>
      </c>
      <c r="AB252" s="279">
        <v>0</v>
      </c>
      <c r="AC252" s="280">
        <f t="shared" si="46"/>
        <v>25</v>
      </c>
      <c r="AD252" s="279">
        <v>0</v>
      </c>
      <c r="AE252" s="279">
        <v>0</v>
      </c>
      <c r="AF252" s="279">
        <v>25</v>
      </c>
      <c r="AG252" s="499">
        <v>0</v>
      </c>
      <c r="AH252" s="280">
        <v>0</v>
      </c>
      <c r="AI252" s="330">
        <v>0</v>
      </c>
      <c r="AJ252" s="279">
        <v>0</v>
      </c>
      <c r="AK252" s="279">
        <v>0</v>
      </c>
      <c r="AL252" s="285"/>
    </row>
    <row r="253" spans="1:38" s="275" customFormat="1" ht="273" customHeight="1" outlineLevel="1" x14ac:dyDescent="0.25">
      <c r="A253" s="311" t="s">
        <v>742</v>
      </c>
      <c r="B253" s="331" t="s">
        <v>1404</v>
      </c>
      <c r="C253" s="330"/>
      <c r="D253" s="330">
        <f t="shared" si="44"/>
        <v>48</v>
      </c>
      <c r="E253" s="303">
        <v>0</v>
      </c>
      <c r="F253" s="312">
        <v>0</v>
      </c>
      <c r="G253" s="303">
        <v>0</v>
      </c>
      <c r="H253" s="303">
        <v>0</v>
      </c>
      <c r="I253" s="330">
        <v>0</v>
      </c>
      <c r="J253" s="332">
        <v>0</v>
      </c>
      <c r="K253" s="330">
        <v>0</v>
      </c>
      <c r="L253" s="279">
        <v>0</v>
      </c>
      <c r="M253" s="330">
        <v>0</v>
      </c>
      <c r="N253" s="330">
        <v>0</v>
      </c>
      <c r="O253" s="332">
        <v>0</v>
      </c>
      <c r="P253" s="330">
        <v>0</v>
      </c>
      <c r="Q253" s="279">
        <v>0</v>
      </c>
      <c r="R253" s="330">
        <v>0</v>
      </c>
      <c r="S253" s="279">
        <v>0</v>
      </c>
      <c r="T253" s="280">
        <v>0</v>
      </c>
      <c r="U253" s="279">
        <v>0</v>
      </c>
      <c r="V253" s="279">
        <v>0</v>
      </c>
      <c r="W253" s="279">
        <v>0</v>
      </c>
      <c r="X253" s="499">
        <v>0</v>
      </c>
      <c r="Y253" s="280">
        <v>0</v>
      </c>
      <c r="Z253" s="279">
        <v>0</v>
      </c>
      <c r="AA253" s="279">
        <v>0</v>
      </c>
      <c r="AB253" s="279">
        <v>0</v>
      </c>
      <c r="AC253" s="280">
        <f t="shared" si="46"/>
        <v>48</v>
      </c>
      <c r="AD253" s="279">
        <v>0</v>
      </c>
      <c r="AE253" s="279">
        <v>0</v>
      </c>
      <c r="AF253" s="279">
        <v>48</v>
      </c>
      <c r="AG253" s="499">
        <v>0</v>
      </c>
      <c r="AH253" s="280">
        <v>0</v>
      </c>
      <c r="AI253" s="330">
        <v>0</v>
      </c>
      <c r="AJ253" s="279">
        <v>0</v>
      </c>
      <c r="AK253" s="279">
        <v>0</v>
      </c>
      <c r="AL253" s="285"/>
    </row>
    <row r="254" spans="1:38" s="275" customFormat="1" ht="408.6" customHeight="1" outlineLevel="1" x14ac:dyDescent="0.25">
      <c r="A254" s="311" t="s">
        <v>743</v>
      </c>
      <c r="B254" s="320" t="s">
        <v>1405</v>
      </c>
      <c r="C254" s="330"/>
      <c r="D254" s="330">
        <f t="shared" si="44"/>
        <v>100</v>
      </c>
      <c r="E254" s="303">
        <v>0</v>
      </c>
      <c r="F254" s="312">
        <v>0</v>
      </c>
      <c r="G254" s="303">
        <v>0</v>
      </c>
      <c r="H254" s="303">
        <v>0</v>
      </c>
      <c r="I254" s="330">
        <v>0</v>
      </c>
      <c r="J254" s="332">
        <v>0</v>
      </c>
      <c r="K254" s="330">
        <v>0</v>
      </c>
      <c r="L254" s="279">
        <v>0</v>
      </c>
      <c r="M254" s="330">
        <v>0</v>
      </c>
      <c r="N254" s="330">
        <v>0</v>
      </c>
      <c r="O254" s="332">
        <v>0</v>
      </c>
      <c r="P254" s="330">
        <v>0</v>
      </c>
      <c r="Q254" s="279">
        <v>0</v>
      </c>
      <c r="R254" s="330">
        <v>0</v>
      </c>
      <c r="S254" s="279">
        <v>0</v>
      </c>
      <c r="T254" s="280">
        <v>0</v>
      </c>
      <c r="U254" s="279">
        <v>0</v>
      </c>
      <c r="V254" s="279">
        <v>0</v>
      </c>
      <c r="W254" s="279">
        <v>0</v>
      </c>
      <c r="X254" s="499">
        <v>0</v>
      </c>
      <c r="Y254" s="280">
        <v>0</v>
      </c>
      <c r="Z254" s="279">
        <v>0</v>
      </c>
      <c r="AA254" s="279">
        <v>0</v>
      </c>
      <c r="AB254" s="279">
        <v>0</v>
      </c>
      <c r="AC254" s="280">
        <f t="shared" si="46"/>
        <v>100</v>
      </c>
      <c r="AD254" s="279"/>
      <c r="AE254" s="279">
        <v>0</v>
      </c>
      <c r="AF254" s="279">
        <v>100</v>
      </c>
      <c r="AG254" s="499">
        <v>0</v>
      </c>
      <c r="AH254" s="280">
        <v>0</v>
      </c>
      <c r="AI254" s="330">
        <v>0</v>
      </c>
      <c r="AJ254" s="279">
        <v>0</v>
      </c>
      <c r="AK254" s="279">
        <v>0</v>
      </c>
      <c r="AL254" s="285"/>
    </row>
    <row r="255" spans="1:38" s="275" customFormat="1" ht="319.95" customHeight="1" outlineLevel="1" x14ac:dyDescent="0.25">
      <c r="A255" s="311" t="s">
        <v>744</v>
      </c>
      <c r="B255" s="320" t="s">
        <v>745</v>
      </c>
      <c r="C255" s="330"/>
      <c r="D255" s="330">
        <f t="shared" si="44"/>
        <v>24</v>
      </c>
      <c r="E255" s="303">
        <v>0</v>
      </c>
      <c r="F255" s="312">
        <v>0</v>
      </c>
      <c r="G255" s="303">
        <v>0</v>
      </c>
      <c r="H255" s="303">
        <v>0</v>
      </c>
      <c r="I255" s="330">
        <v>0</v>
      </c>
      <c r="J255" s="332">
        <v>0</v>
      </c>
      <c r="K255" s="330">
        <v>0</v>
      </c>
      <c r="L255" s="279">
        <v>0</v>
      </c>
      <c r="M255" s="330">
        <v>0</v>
      </c>
      <c r="N255" s="330">
        <v>0</v>
      </c>
      <c r="O255" s="332">
        <v>0</v>
      </c>
      <c r="P255" s="330">
        <v>0</v>
      </c>
      <c r="Q255" s="279">
        <v>0</v>
      </c>
      <c r="R255" s="330">
        <v>0</v>
      </c>
      <c r="S255" s="279">
        <v>0</v>
      </c>
      <c r="T255" s="280">
        <v>0</v>
      </c>
      <c r="U255" s="279">
        <v>0</v>
      </c>
      <c r="V255" s="279">
        <v>0</v>
      </c>
      <c r="W255" s="279">
        <v>0</v>
      </c>
      <c r="X255" s="499">
        <v>0</v>
      </c>
      <c r="Y255" s="280">
        <v>0</v>
      </c>
      <c r="Z255" s="279">
        <v>0</v>
      </c>
      <c r="AA255" s="279">
        <v>0</v>
      </c>
      <c r="AB255" s="279">
        <v>0</v>
      </c>
      <c r="AC255" s="280">
        <f t="shared" si="46"/>
        <v>24</v>
      </c>
      <c r="AD255" s="279">
        <v>0</v>
      </c>
      <c r="AE255" s="279">
        <v>0</v>
      </c>
      <c r="AF255" s="279">
        <v>24</v>
      </c>
      <c r="AG255" s="499">
        <v>0</v>
      </c>
      <c r="AH255" s="280">
        <v>0</v>
      </c>
      <c r="AI255" s="330">
        <v>0</v>
      </c>
      <c r="AJ255" s="279">
        <v>0</v>
      </c>
      <c r="AK255" s="279">
        <v>0</v>
      </c>
      <c r="AL255" s="285"/>
    </row>
    <row r="256" spans="1:38" s="275" customFormat="1" ht="409.2" customHeight="1" outlineLevel="1" x14ac:dyDescent="0.25">
      <c r="A256" s="311" t="s">
        <v>746</v>
      </c>
      <c r="B256" s="296" t="s">
        <v>1406</v>
      </c>
      <c r="C256" s="330"/>
      <c r="D256" s="330">
        <f t="shared" si="44"/>
        <v>120</v>
      </c>
      <c r="E256" s="303"/>
      <c r="F256" s="312">
        <v>0</v>
      </c>
      <c r="G256" s="303">
        <v>0</v>
      </c>
      <c r="H256" s="303">
        <v>0</v>
      </c>
      <c r="I256" s="330">
        <v>0</v>
      </c>
      <c r="J256" s="332">
        <v>0</v>
      </c>
      <c r="K256" s="330">
        <v>0</v>
      </c>
      <c r="L256" s="279">
        <v>0</v>
      </c>
      <c r="M256" s="330">
        <v>0</v>
      </c>
      <c r="N256" s="330">
        <v>0</v>
      </c>
      <c r="O256" s="332">
        <v>0</v>
      </c>
      <c r="P256" s="330">
        <v>0</v>
      </c>
      <c r="Q256" s="279">
        <v>0</v>
      </c>
      <c r="R256" s="330">
        <v>0</v>
      </c>
      <c r="S256" s="279">
        <v>0</v>
      </c>
      <c r="T256" s="280">
        <v>0</v>
      </c>
      <c r="U256" s="279">
        <v>0</v>
      </c>
      <c r="V256" s="279">
        <v>0</v>
      </c>
      <c r="W256" s="279">
        <v>0</v>
      </c>
      <c r="X256" s="499">
        <v>0</v>
      </c>
      <c r="Y256" s="280">
        <v>0</v>
      </c>
      <c r="Z256" s="279">
        <v>0</v>
      </c>
      <c r="AA256" s="279">
        <v>0</v>
      </c>
      <c r="AB256" s="279">
        <v>0</v>
      </c>
      <c r="AC256" s="280">
        <f t="shared" si="46"/>
        <v>120</v>
      </c>
      <c r="AD256" s="279">
        <v>0</v>
      </c>
      <c r="AE256" s="279">
        <v>0</v>
      </c>
      <c r="AF256" s="279">
        <v>120</v>
      </c>
      <c r="AG256" s="499">
        <v>0</v>
      </c>
      <c r="AH256" s="280">
        <v>0</v>
      </c>
      <c r="AI256" s="330">
        <v>0</v>
      </c>
      <c r="AJ256" s="279">
        <v>0</v>
      </c>
      <c r="AK256" s="279">
        <v>0</v>
      </c>
      <c r="AL256" s="285"/>
    </row>
    <row r="257" spans="1:65" s="277" customFormat="1" ht="63" customHeight="1" outlineLevel="1" x14ac:dyDescent="0.25">
      <c r="A257" s="311" t="s">
        <v>747</v>
      </c>
      <c r="B257" s="320" t="s">
        <v>1295</v>
      </c>
      <c r="C257" s="330">
        <v>0</v>
      </c>
      <c r="D257" s="330">
        <f t="shared" si="44"/>
        <v>16121</v>
      </c>
      <c r="E257" s="303">
        <v>0</v>
      </c>
      <c r="F257" s="312">
        <v>0</v>
      </c>
      <c r="G257" s="303">
        <v>0</v>
      </c>
      <c r="H257" s="303">
        <v>0</v>
      </c>
      <c r="I257" s="330">
        <v>0</v>
      </c>
      <c r="J257" s="332">
        <v>0</v>
      </c>
      <c r="K257" s="330">
        <v>0</v>
      </c>
      <c r="L257" s="279">
        <v>0</v>
      </c>
      <c r="M257" s="330">
        <v>0</v>
      </c>
      <c r="N257" s="330">
        <v>0</v>
      </c>
      <c r="O257" s="332">
        <v>0</v>
      </c>
      <c r="P257" s="330">
        <v>0</v>
      </c>
      <c r="Q257" s="279">
        <v>0</v>
      </c>
      <c r="R257" s="330">
        <v>0</v>
      </c>
      <c r="S257" s="279">
        <v>0</v>
      </c>
      <c r="T257" s="280">
        <v>0</v>
      </c>
      <c r="U257" s="279">
        <v>0</v>
      </c>
      <c r="V257" s="279">
        <v>0</v>
      </c>
      <c r="W257" s="279">
        <v>0</v>
      </c>
      <c r="X257" s="499">
        <v>0</v>
      </c>
      <c r="Y257" s="280">
        <v>0</v>
      </c>
      <c r="Z257" s="279">
        <v>0</v>
      </c>
      <c r="AA257" s="279">
        <v>0</v>
      </c>
      <c r="AB257" s="279">
        <v>0</v>
      </c>
      <c r="AC257" s="280">
        <f>AE257</f>
        <v>16121</v>
      </c>
      <c r="AD257" s="279">
        <v>0</v>
      </c>
      <c r="AE257" s="279">
        <v>16121</v>
      </c>
      <c r="AF257" s="279">
        <v>0</v>
      </c>
      <c r="AG257" s="499">
        <v>0</v>
      </c>
      <c r="AH257" s="280">
        <v>0</v>
      </c>
      <c r="AI257" s="330">
        <v>0</v>
      </c>
      <c r="AJ257" s="279">
        <v>0</v>
      </c>
      <c r="AK257" s="279">
        <v>0</v>
      </c>
      <c r="AL257" s="333"/>
    </row>
    <row r="258" spans="1:65" s="275" customFormat="1" ht="409.2" customHeight="1" outlineLevel="1" x14ac:dyDescent="0.25">
      <c r="A258" s="311" t="s">
        <v>748</v>
      </c>
      <c r="B258" s="296" t="s">
        <v>749</v>
      </c>
      <c r="C258" s="330">
        <v>0</v>
      </c>
      <c r="D258" s="330">
        <f t="shared" si="44"/>
        <v>1026.44</v>
      </c>
      <c r="E258" s="303">
        <v>0</v>
      </c>
      <c r="F258" s="312">
        <v>0</v>
      </c>
      <c r="G258" s="303">
        <v>0</v>
      </c>
      <c r="H258" s="303">
        <v>0</v>
      </c>
      <c r="I258" s="330">
        <v>0</v>
      </c>
      <c r="J258" s="332">
        <v>0</v>
      </c>
      <c r="K258" s="330">
        <v>0</v>
      </c>
      <c r="L258" s="279">
        <v>0</v>
      </c>
      <c r="M258" s="330">
        <v>0</v>
      </c>
      <c r="N258" s="330">
        <v>0</v>
      </c>
      <c r="O258" s="332">
        <v>0</v>
      </c>
      <c r="P258" s="330">
        <v>0</v>
      </c>
      <c r="Q258" s="279">
        <v>0</v>
      </c>
      <c r="R258" s="330">
        <v>0</v>
      </c>
      <c r="S258" s="279">
        <v>0</v>
      </c>
      <c r="T258" s="280">
        <v>0</v>
      </c>
      <c r="U258" s="279">
        <v>0</v>
      </c>
      <c r="V258" s="279">
        <v>0</v>
      </c>
      <c r="W258" s="279">
        <v>0</v>
      </c>
      <c r="X258" s="499">
        <v>0</v>
      </c>
      <c r="Y258" s="280">
        <v>0</v>
      </c>
      <c r="Z258" s="279">
        <v>0</v>
      </c>
      <c r="AA258" s="279">
        <v>0</v>
      </c>
      <c r="AB258" s="279">
        <v>0</v>
      </c>
      <c r="AC258" s="280">
        <v>0</v>
      </c>
      <c r="AD258" s="279">
        <v>0</v>
      </c>
      <c r="AE258" s="279">
        <v>0</v>
      </c>
      <c r="AF258" s="279">
        <v>0</v>
      </c>
      <c r="AG258" s="499">
        <v>0</v>
      </c>
      <c r="AH258" s="280">
        <f t="shared" ref="AH258:AH259" si="47">AJ258+AK258</f>
        <v>1026.44</v>
      </c>
      <c r="AI258" s="330">
        <v>0</v>
      </c>
      <c r="AJ258" s="279">
        <v>0</v>
      </c>
      <c r="AK258" s="279">
        <v>1026.44</v>
      </c>
      <c r="AL258" s="285"/>
    </row>
    <row r="259" spans="1:65" s="275" customFormat="1" ht="235.2" customHeight="1" outlineLevel="1" x14ac:dyDescent="0.25">
      <c r="A259" s="311" t="s">
        <v>750</v>
      </c>
      <c r="B259" s="320" t="s">
        <v>1407</v>
      </c>
      <c r="C259" s="330">
        <v>0</v>
      </c>
      <c r="D259" s="330">
        <f t="shared" si="44"/>
        <v>3305.16</v>
      </c>
      <c r="E259" s="303">
        <v>0</v>
      </c>
      <c r="F259" s="312">
        <v>0</v>
      </c>
      <c r="G259" s="303">
        <v>0</v>
      </c>
      <c r="H259" s="303">
        <v>0</v>
      </c>
      <c r="I259" s="330">
        <v>0</v>
      </c>
      <c r="J259" s="332">
        <v>0</v>
      </c>
      <c r="K259" s="330">
        <v>0</v>
      </c>
      <c r="L259" s="279">
        <v>0</v>
      </c>
      <c r="M259" s="330">
        <v>0</v>
      </c>
      <c r="N259" s="330">
        <v>0</v>
      </c>
      <c r="O259" s="332">
        <v>0</v>
      </c>
      <c r="P259" s="330">
        <v>0</v>
      </c>
      <c r="Q259" s="279">
        <v>0</v>
      </c>
      <c r="R259" s="330">
        <v>0</v>
      </c>
      <c r="S259" s="279">
        <v>0</v>
      </c>
      <c r="T259" s="280">
        <v>0</v>
      </c>
      <c r="U259" s="279">
        <v>0</v>
      </c>
      <c r="V259" s="279">
        <v>0</v>
      </c>
      <c r="W259" s="279">
        <v>0</v>
      </c>
      <c r="X259" s="499">
        <v>0</v>
      </c>
      <c r="Y259" s="280">
        <v>0</v>
      </c>
      <c r="Z259" s="279">
        <v>0</v>
      </c>
      <c r="AA259" s="279">
        <v>0</v>
      </c>
      <c r="AB259" s="279">
        <v>0</v>
      </c>
      <c r="AC259" s="280">
        <v>0</v>
      </c>
      <c r="AD259" s="279">
        <v>0</v>
      </c>
      <c r="AE259" s="279">
        <v>0</v>
      </c>
      <c r="AF259" s="279">
        <v>0</v>
      </c>
      <c r="AG259" s="499">
        <v>0</v>
      </c>
      <c r="AH259" s="280">
        <f t="shared" si="47"/>
        <v>3305.16</v>
      </c>
      <c r="AI259" s="330">
        <v>0</v>
      </c>
      <c r="AJ259" s="279">
        <v>0</v>
      </c>
      <c r="AK259" s="279">
        <v>3305.16</v>
      </c>
      <c r="AL259" s="285"/>
    </row>
    <row r="260" spans="1:65" s="275" customFormat="1" ht="186.6" customHeight="1" outlineLevel="1" x14ac:dyDescent="0.25">
      <c r="A260" s="311" t="s">
        <v>751</v>
      </c>
      <c r="B260" s="320" t="s">
        <v>752</v>
      </c>
      <c r="C260" s="330">
        <v>0</v>
      </c>
      <c r="D260" s="330">
        <f t="shared" si="44"/>
        <v>3892.87</v>
      </c>
      <c r="E260" s="303">
        <v>0</v>
      </c>
      <c r="F260" s="312">
        <v>0</v>
      </c>
      <c r="G260" s="303">
        <v>0</v>
      </c>
      <c r="H260" s="303">
        <v>0</v>
      </c>
      <c r="I260" s="330">
        <v>0</v>
      </c>
      <c r="J260" s="332">
        <v>0</v>
      </c>
      <c r="K260" s="330">
        <v>0</v>
      </c>
      <c r="L260" s="279">
        <v>0</v>
      </c>
      <c r="M260" s="330">
        <v>0</v>
      </c>
      <c r="N260" s="330">
        <v>0</v>
      </c>
      <c r="O260" s="332">
        <v>0</v>
      </c>
      <c r="P260" s="330">
        <v>0</v>
      </c>
      <c r="Q260" s="279">
        <v>0</v>
      </c>
      <c r="R260" s="330">
        <v>0</v>
      </c>
      <c r="S260" s="279">
        <v>0</v>
      </c>
      <c r="T260" s="280">
        <v>0</v>
      </c>
      <c r="U260" s="279">
        <v>0</v>
      </c>
      <c r="V260" s="279">
        <v>0</v>
      </c>
      <c r="W260" s="279">
        <v>0</v>
      </c>
      <c r="X260" s="499">
        <v>0</v>
      </c>
      <c r="Y260" s="280">
        <v>0</v>
      </c>
      <c r="Z260" s="279">
        <v>0</v>
      </c>
      <c r="AA260" s="279">
        <v>0</v>
      </c>
      <c r="AB260" s="279">
        <v>0</v>
      </c>
      <c r="AC260" s="280">
        <v>0</v>
      </c>
      <c r="AD260" s="279">
        <v>0</v>
      </c>
      <c r="AE260" s="279">
        <v>0</v>
      </c>
      <c r="AF260" s="279">
        <v>0</v>
      </c>
      <c r="AG260" s="499">
        <v>0</v>
      </c>
      <c r="AH260" s="280">
        <f>AJ260+AK260+AI260</f>
        <v>3892.87</v>
      </c>
      <c r="AI260" s="330">
        <v>0</v>
      </c>
      <c r="AJ260" s="279">
        <v>0</v>
      </c>
      <c r="AK260" s="279">
        <v>3892.87</v>
      </c>
      <c r="AL260" s="285"/>
    </row>
    <row r="261" spans="1:65" s="275" customFormat="1" ht="246" customHeight="1" outlineLevel="1" x14ac:dyDescent="0.25">
      <c r="A261" s="311" t="s">
        <v>753</v>
      </c>
      <c r="B261" s="320" t="s">
        <v>754</v>
      </c>
      <c r="C261" s="330">
        <v>0</v>
      </c>
      <c r="D261" s="330">
        <f t="shared" si="44"/>
        <v>4391.63</v>
      </c>
      <c r="E261" s="303">
        <v>0</v>
      </c>
      <c r="F261" s="312">
        <v>0</v>
      </c>
      <c r="G261" s="303">
        <v>0</v>
      </c>
      <c r="H261" s="303">
        <v>0</v>
      </c>
      <c r="I261" s="330">
        <v>0</v>
      </c>
      <c r="J261" s="332">
        <v>0</v>
      </c>
      <c r="K261" s="330">
        <v>0</v>
      </c>
      <c r="L261" s="279">
        <v>0</v>
      </c>
      <c r="M261" s="330">
        <v>0</v>
      </c>
      <c r="N261" s="330">
        <v>0</v>
      </c>
      <c r="O261" s="332">
        <v>0</v>
      </c>
      <c r="P261" s="330">
        <v>0</v>
      </c>
      <c r="Q261" s="279">
        <v>0</v>
      </c>
      <c r="R261" s="330">
        <v>0</v>
      </c>
      <c r="S261" s="279">
        <v>0</v>
      </c>
      <c r="T261" s="280">
        <v>0</v>
      </c>
      <c r="U261" s="279">
        <v>0</v>
      </c>
      <c r="V261" s="279">
        <v>0</v>
      </c>
      <c r="W261" s="279">
        <v>0</v>
      </c>
      <c r="X261" s="499">
        <v>0</v>
      </c>
      <c r="Y261" s="280">
        <v>0</v>
      </c>
      <c r="Z261" s="279">
        <v>0</v>
      </c>
      <c r="AA261" s="279">
        <v>0</v>
      </c>
      <c r="AB261" s="279">
        <v>0</v>
      </c>
      <c r="AC261" s="280">
        <v>0</v>
      </c>
      <c r="AD261" s="279">
        <v>0</v>
      </c>
      <c r="AE261" s="279">
        <v>0</v>
      </c>
      <c r="AF261" s="279">
        <v>0</v>
      </c>
      <c r="AG261" s="499">
        <v>0</v>
      </c>
      <c r="AH261" s="280">
        <f>AJ261+AK261+AI261</f>
        <v>4391.63</v>
      </c>
      <c r="AI261" s="330">
        <v>0</v>
      </c>
      <c r="AJ261" s="279">
        <v>4211.57</v>
      </c>
      <c r="AK261" s="279">
        <v>180.06</v>
      </c>
      <c r="AL261" s="285"/>
    </row>
    <row r="262" spans="1:65" s="275" customFormat="1" ht="231.6" customHeight="1" outlineLevel="1" x14ac:dyDescent="0.25">
      <c r="A262" s="311" t="s">
        <v>755</v>
      </c>
      <c r="B262" s="320" t="s">
        <v>756</v>
      </c>
      <c r="C262" s="330">
        <v>0</v>
      </c>
      <c r="D262" s="330">
        <f t="shared" si="44"/>
        <v>4080.59</v>
      </c>
      <c r="E262" s="303">
        <v>0</v>
      </c>
      <c r="F262" s="312">
        <v>0</v>
      </c>
      <c r="G262" s="303">
        <v>0</v>
      </c>
      <c r="H262" s="303">
        <v>0</v>
      </c>
      <c r="I262" s="330">
        <v>0</v>
      </c>
      <c r="J262" s="332">
        <v>0</v>
      </c>
      <c r="K262" s="330">
        <v>0</v>
      </c>
      <c r="L262" s="279">
        <v>0</v>
      </c>
      <c r="M262" s="330">
        <v>0</v>
      </c>
      <c r="N262" s="330">
        <v>0</v>
      </c>
      <c r="O262" s="332">
        <v>0</v>
      </c>
      <c r="P262" s="330">
        <v>0</v>
      </c>
      <c r="Q262" s="279">
        <v>0</v>
      </c>
      <c r="R262" s="330">
        <v>0</v>
      </c>
      <c r="S262" s="279">
        <v>0</v>
      </c>
      <c r="T262" s="280">
        <v>0</v>
      </c>
      <c r="U262" s="279">
        <v>0</v>
      </c>
      <c r="V262" s="279">
        <v>0</v>
      </c>
      <c r="W262" s="279">
        <v>0</v>
      </c>
      <c r="X262" s="499">
        <v>0</v>
      </c>
      <c r="Y262" s="280">
        <v>0</v>
      </c>
      <c r="Z262" s="279">
        <v>0</v>
      </c>
      <c r="AA262" s="279">
        <v>0</v>
      </c>
      <c r="AB262" s="279">
        <v>0</v>
      </c>
      <c r="AC262" s="280">
        <v>0</v>
      </c>
      <c r="AD262" s="279">
        <v>0</v>
      </c>
      <c r="AE262" s="279">
        <v>0</v>
      </c>
      <c r="AF262" s="279">
        <v>0</v>
      </c>
      <c r="AG262" s="499">
        <v>0</v>
      </c>
      <c r="AH262" s="280">
        <f t="shared" ref="AH262:AH264" si="48">AJ262+AK262+AI262</f>
        <v>4080.59</v>
      </c>
      <c r="AI262" s="330">
        <v>0</v>
      </c>
      <c r="AJ262" s="279">
        <v>3913.28</v>
      </c>
      <c r="AK262" s="279">
        <v>167.31</v>
      </c>
      <c r="AL262" s="285"/>
    </row>
    <row r="263" spans="1:65" s="275" customFormat="1" ht="157.94999999999999" customHeight="1" outlineLevel="1" x14ac:dyDescent="0.25">
      <c r="A263" s="311" t="s">
        <v>757</v>
      </c>
      <c r="B263" s="320" t="s">
        <v>758</v>
      </c>
      <c r="C263" s="330">
        <v>0</v>
      </c>
      <c r="D263" s="330">
        <f t="shared" si="44"/>
        <v>1698.92</v>
      </c>
      <c r="E263" s="303">
        <v>0</v>
      </c>
      <c r="F263" s="312">
        <v>0</v>
      </c>
      <c r="G263" s="303">
        <v>0</v>
      </c>
      <c r="H263" s="303">
        <v>0</v>
      </c>
      <c r="I263" s="330">
        <v>0</v>
      </c>
      <c r="J263" s="332">
        <v>0</v>
      </c>
      <c r="K263" s="330">
        <v>0</v>
      </c>
      <c r="L263" s="279">
        <v>0</v>
      </c>
      <c r="M263" s="330">
        <v>0</v>
      </c>
      <c r="N263" s="330">
        <v>0</v>
      </c>
      <c r="O263" s="332">
        <v>0</v>
      </c>
      <c r="P263" s="330">
        <v>0</v>
      </c>
      <c r="Q263" s="279">
        <v>0</v>
      </c>
      <c r="R263" s="330">
        <v>0</v>
      </c>
      <c r="S263" s="279">
        <v>0</v>
      </c>
      <c r="T263" s="280">
        <v>0</v>
      </c>
      <c r="U263" s="279">
        <v>0</v>
      </c>
      <c r="V263" s="279">
        <v>0</v>
      </c>
      <c r="W263" s="279">
        <v>0</v>
      </c>
      <c r="X263" s="499">
        <v>0</v>
      </c>
      <c r="Y263" s="280">
        <v>0</v>
      </c>
      <c r="Z263" s="279">
        <v>0</v>
      </c>
      <c r="AA263" s="279">
        <v>0</v>
      </c>
      <c r="AB263" s="279">
        <v>0</v>
      </c>
      <c r="AC263" s="280">
        <v>0</v>
      </c>
      <c r="AD263" s="279">
        <v>0</v>
      </c>
      <c r="AE263" s="279">
        <v>0</v>
      </c>
      <c r="AF263" s="279">
        <v>0</v>
      </c>
      <c r="AG263" s="499">
        <v>0</v>
      </c>
      <c r="AH263" s="280">
        <f t="shared" si="48"/>
        <v>1698.92</v>
      </c>
      <c r="AI263" s="330">
        <v>0</v>
      </c>
      <c r="AJ263" s="279">
        <v>0</v>
      </c>
      <c r="AK263" s="279">
        <v>1698.92</v>
      </c>
      <c r="AL263" s="285"/>
    </row>
    <row r="264" spans="1:65" s="275" customFormat="1" ht="160.19999999999999" customHeight="1" outlineLevel="1" x14ac:dyDescent="0.25">
      <c r="A264" s="311" t="s">
        <v>759</v>
      </c>
      <c r="B264" s="320" t="s">
        <v>760</v>
      </c>
      <c r="C264" s="330">
        <v>0</v>
      </c>
      <c r="D264" s="330">
        <f t="shared" si="44"/>
        <v>435</v>
      </c>
      <c r="E264" s="303">
        <v>0</v>
      </c>
      <c r="F264" s="312">
        <v>0</v>
      </c>
      <c r="G264" s="303">
        <v>0</v>
      </c>
      <c r="H264" s="303">
        <v>0</v>
      </c>
      <c r="I264" s="330">
        <v>0</v>
      </c>
      <c r="J264" s="332">
        <v>0</v>
      </c>
      <c r="K264" s="330">
        <v>0</v>
      </c>
      <c r="L264" s="279">
        <v>0</v>
      </c>
      <c r="M264" s="330">
        <v>0</v>
      </c>
      <c r="N264" s="330">
        <v>0</v>
      </c>
      <c r="O264" s="332">
        <v>0</v>
      </c>
      <c r="P264" s="330">
        <v>0</v>
      </c>
      <c r="Q264" s="279">
        <v>0</v>
      </c>
      <c r="R264" s="330">
        <v>0</v>
      </c>
      <c r="S264" s="279">
        <v>0</v>
      </c>
      <c r="T264" s="280">
        <v>0</v>
      </c>
      <c r="U264" s="279">
        <v>0</v>
      </c>
      <c r="V264" s="279">
        <v>0</v>
      </c>
      <c r="W264" s="279">
        <v>0</v>
      </c>
      <c r="X264" s="499">
        <v>0</v>
      </c>
      <c r="Y264" s="280">
        <v>0</v>
      </c>
      <c r="Z264" s="279">
        <v>0</v>
      </c>
      <c r="AA264" s="279">
        <v>0</v>
      </c>
      <c r="AB264" s="279">
        <v>0</v>
      </c>
      <c r="AC264" s="280">
        <v>0</v>
      </c>
      <c r="AD264" s="279">
        <v>0</v>
      </c>
      <c r="AE264" s="279">
        <v>0</v>
      </c>
      <c r="AF264" s="279">
        <v>0</v>
      </c>
      <c r="AG264" s="499">
        <v>0</v>
      </c>
      <c r="AH264" s="280">
        <f t="shared" si="48"/>
        <v>435</v>
      </c>
      <c r="AI264" s="330">
        <v>0</v>
      </c>
      <c r="AJ264" s="279">
        <v>0</v>
      </c>
      <c r="AK264" s="279">
        <v>435</v>
      </c>
      <c r="AL264" s="285"/>
    </row>
    <row r="265" spans="1:65" s="399" customFormat="1" ht="60.6" customHeight="1" outlineLevel="1" x14ac:dyDescent="0.25">
      <c r="A265" s="393" t="s">
        <v>761</v>
      </c>
      <c r="B265" s="400" t="s">
        <v>1376</v>
      </c>
      <c r="C265" s="395">
        <v>0</v>
      </c>
      <c r="D265" s="395">
        <f t="shared" si="44"/>
        <v>17200</v>
      </c>
      <c r="E265" s="396">
        <v>0</v>
      </c>
      <c r="F265" s="396">
        <v>0</v>
      </c>
      <c r="G265" s="396">
        <v>0</v>
      </c>
      <c r="H265" s="396">
        <v>0</v>
      </c>
      <c r="I265" s="395">
        <v>0</v>
      </c>
      <c r="J265" s="395">
        <v>0</v>
      </c>
      <c r="K265" s="395">
        <v>0</v>
      </c>
      <c r="L265" s="397">
        <v>0</v>
      </c>
      <c r="M265" s="395">
        <v>0</v>
      </c>
      <c r="N265" s="395">
        <v>0</v>
      </c>
      <c r="O265" s="395">
        <v>0</v>
      </c>
      <c r="P265" s="395">
        <v>0</v>
      </c>
      <c r="Q265" s="397">
        <v>0</v>
      </c>
      <c r="R265" s="395">
        <v>0</v>
      </c>
      <c r="S265" s="397">
        <v>0</v>
      </c>
      <c r="T265" s="397">
        <v>0</v>
      </c>
      <c r="U265" s="397">
        <v>0</v>
      </c>
      <c r="V265" s="397">
        <v>0</v>
      </c>
      <c r="W265" s="397">
        <v>0</v>
      </c>
      <c r="X265" s="517">
        <v>0</v>
      </c>
      <c r="Y265" s="397">
        <v>0</v>
      </c>
      <c r="Z265" s="397">
        <v>0</v>
      </c>
      <c r="AA265" s="397">
        <v>0</v>
      </c>
      <c r="AB265" s="397">
        <v>0</v>
      </c>
      <c r="AC265" s="397">
        <v>0</v>
      </c>
      <c r="AD265" s="397">
        <v>0</v>
      </c>
      <c r="AE265" s="397">
        <v>0</v>
      </c>
      <c r="AF265" s="397">
        <v>0</v>
      </c>
      <c r="AG265" s="517">
        <v>0</v>
      </c>
      <c r="AH265" s="397">
        <f>AJ265+AK265+AI265</f>
        <v>17200</v>
      </c>
      <c r="AI265" s="395">
        <v>0</v>
      </c>
      <c r="AJ265" s="397">
        <v>0</v>
      </c>
      <c r="AK265" s="397">
        <v>17200</v>
      </c>
      <c r="AL265" s="398"/>
    </row>
    <row r="266" spans="1:65" s="502" customFormat="1" ht="216" customHeight="1" outlineLevel="1" x14ac:dyDescent="0.25">
      <c r="A266" s="493" t="s">
        <v>762</v>
      </c>
      <c r="B266" s="494" t="s">
        <v>763</v>
      </c>
      <c r="C266" s="495"/>
      <c r="D266" s="495">
        <f t="shared" si="44"/>
        <v>1786.14</v>
      </c>
      <c r="E266" s="496">
        <v>0</v>
      </c>
      <c r="F266" s="497">
        <v>0</v>
      </c>
      <c r="G266" s="496">
        <v>0</v>
      </c>
      <c r="H266" s="496">
        <v>0</v>
      </c>
      <c r="I266" s="495">
        <v>0</v>
      </c>
      <c r="J266" s="498">
        <v>0</v>
      </c>
      <c r="K266" s="495">
        <v>0</v>
      </c>
      <c r="L266" s="499">
        <v>0</v>
      </c>
      <c r="M266" s="495">
        <v>0</v>
      </c>
      <c r="N266" s="495">
        <v>0</v>
      </c>
      <c r="O266" s="498">
        <v>0</v>
      </c>
      <c r="P266" s="495">
        <v>0</v>
      </c>
      <c r="Q266" s="499">
        <v>0</v>
      </c>
      <c r="R266" s="495">
        <v>0</v>
      </c>
      <c r="S266" s="499">
        <v>0</v>
      </c>
      <c r="T266" s="500">
        <v>0</v>
      </c>
      <c r="U266" s="499">
        <v>0</v>
      </c>
      <c r="V266" s="499">
        <v>0</v>
      </c>
      <c r="W266" s="499">
        <v>0</v>
      </c>
      <c r="X266" s="499">
        <v>0</v>
      </c>
      <c r="Y266" s="500">
        <v>0</v>
      </c>
      <c r="Z266" s="499">
        <v>0</v>
      </c>
      <c r="AA266" s="499">
        <v>0</v>
      </c>
      <c r="AB266" s="499">
        <v>0</v>
      </c>
      <c r="AC266" s="500">
        <v>0</v>
      </c>
      <c r="AD266" s="499">
        <v>0</v>
      </c>
      <c r="AE266" s="499">
        <v>0</v>
      </c>
      <c r="AF266" s="499">
        <v>0</v>
      </c>
      <c r="AG266" s="499"/>
      <c r="AH266" s="500">
        <f>AJ266+AK266+AI266</f>
        <v>1786.14</v>
      </c>
      <c r="AI266" s="495">
        <v>0</v>
      </c>
      <c r="AJ266" s="499">
        <v>1712.91</v>
      </c>
      <c r="AK266" s="499">
        <v>73.23</v>
      </c>
      <c r="AL266" s="501"/>
    </row>
    <row r="267" spans="1:65" s="275" customFormat="1" ht="225.6" customHeight="1" outlineLevel="1" x14ac:dyDescent="0.25">
      <c r="A267" s="311" t="s">
        <v>764</v>
      </c>
      <c r="B267" s="320" t="s">
        <v>1317</v>
      </c>
      <c r="C267" s="330"/>
      <c r="D267" s="330">
        <f t="shared" si="44"/>
        <v>6922.5599999999995</v>
      </c>
      <c r="E267" s="303">
        <v>0</v>
      </c>
      <c r="F267" s="312">
        <v>0</v>
      </c>
      <c r="G267" s="303">
        <v>0</v>
      </c>
      <c r="H267" s="303">
        <v>0</v>
      </c>
      <c r="I267" s="330">
        <v>0</v>
      </c>
      <c r="J267" s="332">
        <v>0</v>
      </c>
      <c r="K267" s="330">
        <v>0</v>
      </c>
      <c r="L267" s="279">
        <v>0</v>
      </c>
      <c r="M267" s="330">
        <v>0</v>
      </c>
      <c r="N267" s="330">
        <v>0</v>
      </c>
      <c r="O267" s="332">
        <v>0</v>
      </c>
      <c r="P267" s="330">
        <v>0</v>
      </c>
      <c r="Q267" s="279">
        <v>0</v>
      </c>
      <c r="R267" s="330">
        <v>0</v>
      </c>
      <c r="S267" s="279">
        <v>0</v>
      </c>
      <c r="T267" s="280">
        <v>0</v>
      </c>
      <c r="U267" s="279">
        <v>0</v>
      </c>
      <c r="V267" s="279">
        <v>0</v>
      </c>
      <c r="W267" s="279">
        <v>0</v>
      </c>
      <c r="X267" s="499">
        <v>0</v>
      </c>
      <c r="Y267" s="280">
        <v>0</v>
      </c>
      <c r="Z267" s="279">
        <v>0</v>
      </c>
      <c r="AA267" s="279">
        <v>0</v>
      </c>
      <c r="AB267" s="279">
        <v>0</v>
      </c>
      <c r="AC267" s="280">
        <v>0</v>
      </c>
      <c r="AD267" s="279">
        <v>0</v>
      </c>
      <c r="AE267" s="279">
        <v>0</v>
      </c>
      <c r="AF267" s="279">
        <v>0</v>
      </c>
      <c r="AG267" s="499"/>
      <c r="AH267" s="280">
        <f>AI267+AJ267+AK267</f>
        <v>6922.5599999999995</v>
      </c>
      <c r="AI267" s="330">
        <v>0</v>
      </c>
      <c r="AJ267" s="279">
        <v>6638.74</v>
      </c>
      <c r="AK267" s="279">
        <v>283.82</v>
      </c>
      <c r="AL267" s="285"/>
    </row>
    <row r="268" spans="1:65" s="275" customFormat="1" ht="61.2" customHeight="1" outlineLevel="1" x14ac:dyDescent="0.25">
      <c r="A268" s="311" t="s">
        <v>1318</v>
      </c>
      <c r="B268" s="320" t="s">
        <v>1319</v>
      </c>
      <c r="C268" s="330">
        <v>0</v>
      </c>
      <c r="D268" s="330">
        <f t="shared" si="44"/>
        <v>844.75</v>
      </c>
      <c r="E268" s="303">
        <v>0</v>
      </c>
      <c r="F268" s="312">
        <v>0</v>
      </c>
      <c r="G268" s="303">
        <v>0</v>
      </c>
      <c r="H268" s="303">
        <v>0</v>
      </c>
      <c r="I268" s="330"/>
      <c r="J268" s="332"/>
      <c r="K268" s="330"/>
      <c r="L268" s="279"/>
      <c r="M268" s="330"/>
      <c r="N268" s="330"/>
      <c r="O268" s="332"/>
      <c r="P268" s="330"/>
      <c r="Q268" s="279"/>
      <c r="R268" s="330"/>
      <c r="S268" s="279"/>
      <c r="T268" s="280"/>
      <c r="U268" s="279"/>
      <c r="V268" s="279"/>
      <c r="W268" s="279"/>
      <c r="X268" s="499"/>
      <c r="Y268" s="280"/>
      <c r="Z268" s="279"/>
      <c r="AA268" s="279"/>
      <c r="AB268" s="279">
        <v>0</v>
      </c>
      <c r="AC268" s="280">
        <v>0</v>
      </c>
      <c r="AD268" s="279">
        <v>0</v>
      </c>
      <c r="AE268" s="279">
        <v>0</v>
      </c>
      <c r="AF268" s="279">
        <v>0</v>
      </c>
      <c r="AG268" s="499">
        <v>0</v>
      </c>
      <c r="AH268" s="280">
        <f>AI268+AJ268+AK268</f>
        <v>844.75</v>
      </c>
      <c r="AI268" s="330">
        <v>0</v>
      </c>
      <c r="AJ268" s="279">
        <v>810.12</v>
      </c>
      <c r="AK268" s="279">
        <v>34.630000000000003</v>
      </c>
      <c r="AL268" s="285"/>
    </row>
    <row r="269" spans="1:65" s="278" customFormat="1" ht="201.6" customHeight="1" x14ac:dyDescent="0.25">
      <c r="A269" s="309"/>
      <c r="B269" s="334" t="s">
        <v>1377</v>
      </c>
      <c r="C269" s="433">
        <f>SUM(C225:C268)-C257-C265</f>
        <v>0</v>
      </c>
      <c r="D269" s="433">
        <f>F269+J269+O269+T269+Y269+AC269+AH269</f>
        <v>121533.06</v>
      </c>
      <c r="E269" s="433">
        <f t="shared" ref="E269" si="49">SUM(E225:E268)-E257-E265</f>
        <v>0</v>
      </c>
      <c r="F269" s="433">
        <f>SUM(F225:F268)-F257-F265-F230-F231-F232-F233</f>
        <v>21508</v>
      </c>
      <c r="G269" s="433">
        <f t="shared" ref="G269:I269" si="50">SUM(G225:G268)-G257-G265-G230-G231-G232-G233</f>
        <v>0</v>
      </c>
      <c r="H269" s="433">
        <f t="shared" si="50"/>
        <v>21508</v>
      </c>
      <c r="I269" s="433">
        <f t="shared" si="50"/>
        <v>0</v>
      </c>
      <c r="J269" s="433">
        <f>SUM(J225:J268)-J257-J265-J230-J231-J232-J233</f>
        <v>17201</v>
      </c>
      <c r="K269" s="433">
        <f>SUM(K225:K268)-K257-K265-K230-K231-K232-K233</f>
        <v>0</v>
      </c>
      <c r="L269" s="433">
        <f t="shared" ref="L269:M269" si="51">SUM(L225:L268)-L257-L265-L230-L231-L232-L233</f>
        <v>0</v>
      </c>
      <c r="M269" s="433">
        <f t="shared" si="51"/>
        <v>17201</v>
      </c>
      <c r="N269" s="433">
        <f t="shared" ref="N269" si="52">SUM(N225:N268)-N257-N265-N230-N231-N232-N233</f>
        <v>0</v>
      </c>
      <c r="O269" s="433">
        <f t="shared" ref="O269" si="53">SUM(O225:O268)-O257-O265-O230-O231-O232-O233</f>
        <v>16347</v>
      </c>
      <c r="P269" s="433">
        <f t="shared" ref="P269:S269" si="54">SUM(P225:P268)-P257-P265</f>
        <v>0</v>
      </c>
      <c r="Q269" s="433">
        <f t="shared" si="54"/>
        <v>0</v>
      </c>
      <c r="R269" s="433">
        <f t="shared" si="54"/>
        <v>16347</v>
      </c>
      <c r="S269" s="433">
        <f t="shared" si="54"/>
        <v>0</v>
      </c>
      <c r="T269" s="433">
        <f>SUM(T225:T268)-T257-T265-T238-T239-T240</f>
        <v>16121</v>
      </c>
      <c r="U269" s="433">
        <f t="shared" ref="U269:X269" si="55">SUM(U225:U268)-U257-U265-U238-U239-U240</f>
        <v>0</v>
      </c>
      <c r="V269" s="433">
        <f t="shared" si="55"/>
        <v>0</v>
      </c>
      <c r="W269" s="433">
        <f t="shared" si="55"/>
        <v>16121</v>
      </c>
      <c r="X269" s="516">
        <f t="shared" si="55"/>
        <v>0</v>
      </c>
      <c r="Y269" s="433">
        <f t="shared" ref="Y269" si="56">Y225+Y226+Y227+Y228+Y229+Y234+Y235+Y236+Y237+Y241+Y242+Y243+Y244+Y245+Y246+Y247+Y250+Y251+Y252+Y253+Y254+Y255+Y256+Y257+Y258+Y259+Y260+Y261+Y262+Y263+Y264+Y265+Y266+Y267+Y268</f>
        <v>15000</v>
      </c>
      <c r="Z269" s="433">
        <f t="shared" ref="Z269:AB269" si="57">SUM(Z225:Z268)-Z257-Z265</f>
        <v>0</v>
      </c>
      <c r="AA269" s="433">
        <f t="shared" si="57"/>
        <v>15000</v>
      </c>
      <c r="AB269" s="433">
        <f t="shared" si="57"/>
        <v>0</v>
      </c>
      <c r="AC269" s="433">
        <f>SUM(AC225:AC268)-AC257-AC265</f>
        <v>1100</v>
      </c>
      <c r="AD269" s="433">
        <f t="shared" ref="AD269:AG269" si="58">SUM(AD225:AD268)-AD257-AD265</f>
        <v>0</v>
      </c>
      <c r="AE269" s="433">
        <f t="shared" si="58"/>
        <v>0</v>
      </c>
      <c r="AF269" s="433">
        <f t="shared" si="58"/>
        <v>1100</v>
      </c>
      <c r="AG269" s="516">
        <f t="shared" si="58"/>
        <v>0</v>
      </c>
      <c r="AH269" s="433">
        <f>SUM(AH225:AH268)-AH257-AH265-AH242</f>
        <v>34256.06</v>
      </c>
      <c r="AI269" s="433">
        <f t="shared" ref="AI269" si="59">SUM(AI225:AI268)-AI257-AI265</f>
        <v>0</v>
      </c>
      <c r="AJ269" s="433">
        <f t="shared" ref="AJ269" si="60">SUM(AJ225:AJ268)-AJ257-AJ265</f>
        <v>17286.62</v>
      </c>
      <c r="AK269" s="433">
        <f>SUM(AK225:AK268)-AK257-AK265-AK242</f>
        <v>16969.440000000002</v>
      </c>
      <c r="AL269" s="285"/>
      <c r="AM269" s="275"/>
      <c r="AN269" s="275"/>
      <c r="AO269" s="275"/>
      <c r="AP269" s="275"/>
      <c r="AQ269" s="275"/>
      <c r="AR269" s="275"/>
      <c r="AS269" s="275"/>
      <c r="AT269" s="275"/>
      <c r="AU269" s="275"/>
      <c r="AV269" s="275"/>
      <c r="AW269" s="275"/>
      <c r="AX269" s="275"/>
      <c r="AY269" s="275"/>
      <c r="AZ269" s="275"/>
      <c r="BA269" s="275"/>
      <c r="BB269" s="275"/>
      <c r="BC269" s="275"/>
      <c r="BD269" s="275"/>
      <c r="BE269" s="275"/>
      <c r="BF269" s="275"/>
      <c r="BG269" s="275"/>
      <c r="BH269" s="275"/>
      <c r="BI269" s="275"/>
      <c r="BJ269" s="275"/>
      <c r="BK269" s="275"/>
      <c r="BL269" s="275"/>
      <c r="BM269" s="275"/>
    </row>
    <row r="270" spans="1:65" s="399" customFormat="1" ht="48" customHeight="1" x14ac:dyDescent="0.25">
      <c r="A270" s="401"/>
      <c r="B270" s="402" t="s">
        <v>1295</v>
      </c>
      <c r="C270" s="403">
        <f>C257+C265</f>
        <v>0</v>
      </c>
      <c r="D270" s="403">
        <f>F270+J270+O270+T270+Y270+AC270+AH270</f>
        <v>35810.07</v>
      </c>
      <c r="E270" s="403">
        <f t="shared" ref="E270" si="61">E257+E265</f>
        <v>0</v>
      </c>
      <c r="F270" s="403">
        <f t="shared" ref="F270:J270" si="62">F257+F265</f>
        <v>0</v>
      </c>
      <c r="G270" s="403">
        <f t="shared" si="62"/>
        <v>0</v>
      </c>
      <c r="H270" s="403">
        <f t="shared" si="62"/>
        <v>0</v>
      </c>
      <c r="I270" s="403">
        <f t="shared" si="62"/>
        <v>0</v>
      </c>
      <c r="J270" s="403">
        <f t="shared" si="62"/>
        <v>0</v>
      </c>
      <c r="K270" s="403">
        <f t="shared" ref="K270:O270" si="63">K257+K265</f>
        <v>0</v>
      </c>
      <c r="L270" s="403">
        <f t="shared" si="63"/>
        <v>0</v>
      </c>
      <c r="M270" s="403">
        <f t="shared" si="63"/>
        <v>0</v>
      </c>
      <c r="N270" s="403">
        <f t="shared" si="63"/>
        <v>0</v>
      </c>
      <c r="O270" s="403">
        <f t="shared" si="63"/>
        <v>0</v>
      </c>
      <c r="P270" s="403">
        <f t="shared" ref="P270:S270" si="64">P257+P265</f>
        <v>0</v>
      </c>
      <c r="Q270" s="403">
        <f t="shared" si="64"/>
        <v>0</v>
      </c>
      <c r="R270" s="403">
        <f t="shared" si="64"/>
        <v>0</v>
      </c>
      <c r="S270" s="403">
        <f t="shared" si="64"/>
        <v>0</v>
      </c>
      <c r="T270" s="403">
        <f>T257+T265</f>
        <v>0</v>
      </c>
      <c r="U270" s="403">
        <f>U257+U265</f>
        <v>0</v>
      </c>
      <c r="V270" s="403">
        <f t="shared" ref="V270:X270" si="65">V257+V265</f>
        <v>0</v>
      </c>
      <c r="W270" s="403">
        <f t="shared" si="65"/>
        <v>0</v>
      </c>
      <c r="X270" s="518">
        <f t="shared" si="65"/>
        <v>0</v>
      </c>
      <c r="Y270" s="403">
        <f>Y257+Y265</f>
        <v>0</v>
      </c>
      <c r="Z270" s="403">
        <f t="shared" ref="Z270:AB270" si="66">Z257+Z265</f>
        <v>0</v>
      </c>
      <c r="AA270" s="403">
        <f t="shared" si="66"/>
        <v>0</v>
      </c>
      <c r="AB270" s="403">
        <f t="shared" si="66"/>
        <v>0</v>
      </c>
      <c r="AC270" s="403">
        <f t="shared" ref="AC270:AG270" si="67">AC257+AC265</f>
        <v>16121</v>
      </c>
      <c r="AD270" s="403">
        <f t="shared" si="67"/>
        <v>0</v>
      </c>
      <c r="AE270" s="403">
        <f t="shared" si="67"/>
        <v>16121</v>
      </c>
      <c r="AF270" s="403">
        <f t="shared" si="67"/>
        <v>0</v>
      </c>
      <c r="AG270" s="518">
        <f t="shared" si="67"/>
        <v>0</v>
      </c>
      <c r="AH270" s="403">
        <f>AI270+AJ270+AK270</f>
        <v>19689.07</v>
      </c>
      <c r="AI270" s="403">
        <f t="shared" ref="AI270:AJ270" si="68">AI257+AI265+AI242</f>
        <v>0</v>
      </c>
      <c r="AJ270" s="403">
        <f t="shared" si="68"/>
        <v>0</v>
      </c>
      <c r="AK270" s="403">
        <f>AK257+AK265+AK242</f>
        <v>19689.07</v>
      </c>
      <c r="AL270" s="398"/>
    </row>
    <row r="271" spans="1:65" s="276" customFormat="1" ht="31.65" customHeight="1" x14ac:dyDescent="0.25">
      <c r="A271" s="685" t="s">
        <v>765</v>
      </c>
      <c r="B271" s="685"/>
      <c r="C271" s="685"/>
      <c r="D271" s="685"/>
      <c r="E271" s="685"/>
      <c r="F271" s="685"/>
      <c r="G271" s="685"/>
      <c r="H271" s="685"/>
      <c r="I271" s="685"/>
      <c r="J271" s="685"/>
      <c r="K271" s="685"/>
      <c r="L271" s="685"/>
      <c r="M271" s="685"/>
      <c r="N271" s="685"/>
      <c r="O271" s="685"/>
      <c r="P271" s="685"/>
      <c r="Q271" s="685"/>
      <c r="R271" s="685"/>
      <c r="S271" s="685"/>
      <c r="T271" s="685"/>
      <c r="U271" s="685"/>
      <c r="V271" s="685"/>
      <c r="W271" s="685"/>
      <c r="X271" s="685"/>
      <c r="Y271" s="685"/>
      <c r="Z271" s="685"/>
      <c r="AA271" s="685"/>
      <c r="AB271" s="685"/>
      <c r="AC271" s="685"/>
      <c r="AD271" s="685"/>
      <c r="AE271" s="685"/>
      <c r="AF271" s="685"/>
      <c r="AG271" s="685"/>
      <c r="AH271" s="685"/>
      <c r="AI271" s="685"/>
      <c r="AJ271" s="685"/>
      <c r="AK271" s="685"/>
      <c r="AL271" s="285"/>
      <c r="AM271" s="275"/>
      <c r="AN271" s="275"/>
      <c r="AO271" s="275"/>
      <c r="AP271" s="275"/>
      <c r="AQ271" s="275"/>
      <c r="AR271" s="275"/>
      <c r="AS271" s="275"/>
      <c r="AT271" s="275"/>
      <c r="AU271" s="275"/>
      <c r="AV271" s="275"/>
      <c r="AW271" s="275"/>
      <c r="AX271" s="275"/>
      <c r="AY271" s="275"/>
      <c r="AZ271" s="275"/>
      <c r="BA271" s="275"/>
      <c r="BB271" s="275"/>
      <c r="BC271" s="275"/>
      <c r="BD271" s="275"/>
      <c r="BE271" s="275"/>
      <c r="BF271" s="275"/>
      <c r="BG271" s="275"/>
      <c r="BH271" s="275"/>
      <c r="BI271" s="275"/>
      <c r="BJ271" s="275"/>
      <c r="BK271" s="275"/>
      <c r="BL271" s="275"/>
      <c r="BM271" s="275"/>
    </row>
    <row r="272" spans="1:65" s="275" customFormat="1" ht="177.6" customHeight="1" outlineLevel="1" x14ac:dyDescent="0.25">
      <c r="A272" s="311" t="s">
        <v>766</v>
      </c>
      <c r="B272" s="331" t="s">
        <v>767</v>
      </c>
      <c r="C272" s="330">
        <f>E272+I272+N272+S272+X272+AB272+AG272</f>
        <v>8</v>
      </c>
      <c r="D272" s="303">
        <f>F272+J272+O272+T272+Y272+AC272+AH272</f>
        <v>56437.210000000006</v>
      </c>
      <c r="E272" s="303">
        <v>8</v>
      </c>
      <c r="F272" s="307">
        <f>G272+H272</f>
        <v>56437.210000000006</v>
      </c>
      <c r="G272" s="303">
        <f>G273+G274</f>
        <v>27571.22</v>
      </c>
      <c r="H272" s="303">
        <f>H273+H274</f>
        <v>28865.99</v>
      </c>
      <c r="I272" s="330">
        <v>0</v>
      </c>
      <c r="J272" s="335">
        <v>0</v>
      </c>
      <c r="K272" s="330">
        <v>0</v>
      </c>
      <c r="L272" s="330">
        <v>0</v>
      </c>
      <c r="M272" s="330">
        <v>0</v>
      </c>
      <c r="N272" s="311">
        <v>0</v>
      </c>
      <c r="O272" s="318">
        <v>0</v>
      </c>
      <c r="P272" s="311">
        <v>0</v>
      </c>
      <c r="Q272" s="311">
        <v>0</v>
      </c>
      <c r="R272" s="311">
        <v>0</v>
      </c>
      <c r="S272" s="330">
        <v>0</v>
      </c>
      <c r="T272" s="335">
        <v>0</v>
      </c>
      <c r="U272" s="330">
        <v>0</v>
      </c>
      <c r="V272" s="330">
        <v>0</v>
      </c>
      <c r="W272" s="330">
        <v>0</v>
      </c>
      <c r="X272" s="499">
        <v>0</v>
      </c>
      <c r="Y272" s="280">
        <v>0</v>
      </c>
      <c r="Z272" s="279">
        <v>0</v>
      </c>
      <c r="AA272" s="279">
        <v>0</v>
      </c>
      <c r="AB272" s="279">
        <v>0</v>
      </c>
      <c r="AC272" s="336">
        <v>0</v>
      </c>
      <c r="AD272" s="279">
        <v>0</v>
      </c>
      <c r="AE272" s="279">
        <v>0</v>
      </c>
      <c r="AF272" s="279">
        <v>0</v>
      </c>
      <c r="AG272" s="499">
        <v>0</v>
      </c>
      <c r="AH272" s="336">
        <v>0</v>
      </c>
      <c r="AI272" s="279">
        <v>0</v>
      </c>
      <c r="AJ272" s="279">
        <v>0</v>
      </c>
      <c r="AK272" s="279">
        <v>0</v>
      </c>
      <c r="AL272" s="285"/>
    </row>
    <row r="273" spans="1:38" s="275" customFormat="1" ht="93" customHeight="1" outlineLevel="1" x14ac:dyDescent="0.25">
      <c r="A273" s="303" t="s">
        <v>768</v>
      </c>
      <c r="B273" s="331" t="s">
        <v>769</v>
      </c>
      <c r="C273" s="330">
        <v>0</v>
      </c>
      <c r="D273" s="303">
        <v>0</v>
      </c>
      <c r="E273" s="303">
        <v>0</v>
      </c>
      <c r="F273" s="307">
        <f>H273</f>
        <v>27261.31</v>
      </c>
      <c r="G273" s="303">
        <v>0</v>
      </c>
      <c r="H273" s="303">
        <v>27261.31</v>
      </c>
      <c r="I273" s="330">
        <v>0</v>
      </c>
      <c r="J273" s="335">
        <v>0</v>
      </c>
      <c r="K273" s="330">
        <v>0</v>
      </c>
      <c r="L273" s="330">
        <v>0</v>
      </c>
      <c r="M273" s="330">
        <v>0</v>
      </c>
      <c r="N273" s="311">
        <v>0</v>
      </c>
      <c r="O273" s="318">
        <v>0</v>
      </c>
      <c r="P273" s="311">
        <v>0</v>
      </c>
      <c r="Q273" s="311">
        <v>0</v>
      </c>
      <c r="R273" s="311">
        <v>0</v>
      </c>
      <c r="S273" s="330">
        <v>0</v>
      </c>
      <c r="T273" s="335">
        <v>0</v>
      </c>
      <c r="U273" s="330">
        <v>0</v>
      </c>
      <c r="V273" s="330">
        <v>0</v>
      </c>
      <c r="W273" s="330">
        <v>0</v>
      </c>
      <c r="X273" s="499">
        <v>0</v>
      </c>
      <c r="Y273" s="280">
        <v>0</v>
      </c>
      <c r="Z273" s="279">
        <v>0</v>
      </c>
      <c r="AA273" s="279">
        <v>0</v>
      </c>
      <c r="AB273" s="279">
        <v>0</v>
      </c>
      <c r="AC273" s="336">
        <v>0</v>
      </c>
      <c r="AD273" s="279">
        <v>0</v>
      </c>
      <c r="AE273" s="279">
        <v>0</v>
      </c>
      <c r="AF273" s="279">
        <v>0</v>
      </c>
      <c r="AG273" s="499">
        <v>0</v>
      </c>
      <c r="AH273" s="336">
        <v>0</v>
      </c>
      <c r="AI273" s="279">
        <v>0</v>
      </c>
      <c r="AJ273" s="279">
        <v>0</v>
      </c>
      <c r="AK273" s="279">
        <v>0</v>
      </c>
      <c r="AL273" s="285"/>
    </row>
    <row r="274" spans="1:38" s="275" customFormat="1" ht="40.5" customHeight="1" outlineLevel="1" x14ac:dyDescent="0.25">
      <c r="A274" s="303" t="s">
        <v>770</v>
      </c>
      <c r="B274" s="331" t="s">
        <v>771</v>
      </c>
      <c r="C274" s="330">
        <v>0</v>
      </c>
      <c r="D274" s="303">
        <v>0</v>
      </c>
      <c r="E274" s="303">
        <v>0</v>
      </c>
      <c r="F274" s="307">
        <f>G274+H274</f>
        <v>29175.9</v>
      </c>
      <c r="G274" s="303">
        <v>27571.22</v>
      </c>
      <c r="H274" s="303">
        <v>1604.68</v>
      </c>
      <c r="I274" s="330">
        <v>0</v>
      </c>
      <c r="J274" s="335">
        <v>0</v>
      </c>
      <c r="K274" s="330">
        <v>0</v>
      </c>
      <c r="L274" s="330">
        <v>0</v>
      </c>
      <c r="M274" s="330">
        <v>0</v>
      </c>
      <c r="N274" s="311">
        <v>0</v>
      </c>
      <c r="O274" s="318">
        <v>0</v>
      </c>
      <c r="P274" s="311">
        <v>0</v>
      </c>
      <c r="Q274" s="311">
        <v>0</v>
      </c>
      <c r="R274" s="311">
        <v>0</v>
      </c>
      <c r="S274" s="330">
        <v>0</v>
      </c>
      <c r="T274" s="335">
        <v>0</v>
      </c>
      <c r="U274" s="330">
        <v>0</v>
      </c>
      <c r="V274" s="330">
        <v>0</v>
      </c>
      <c r="W274" s="330">
        <v>0</v>
      </c>
      <c r="X274" s="499">
        <v>0</v>
      </c>
      <c r="Y274" s="280">
        <v>0</v>
      </c>
      <c r="Z274" s="279">
        <v>0</v>
      </c>
      <c r="AA274" s="279">
        <v>0</v>
      </c>
      <c r="AB274" s="279">
        <v>0</v>
      </c>
      <c r="AC274" s="336">
        <v>0</v>
      </c>
      <c r="AD274" s="279">
        <v>0</v>
      </c>
      <c r="AE274" s="279">
        <v>0</v>
      </c>
      <c r="AF274" s="279">
        <v>0</v>
      </c>
      <c r="AG274" s="499">
        <v>0</v>
      </c>
      <c r="AH274" s="336">
        <v>0</v>
      </c>
      <c r="AI274" s="279">
        <v>0</v>
      </c>
      <c r="AJ274" s="279">
        <v>0</v>
      </c>
      <c r="AK274" s="279">
        <v>0</v>
      </c>
      <c r="AL274" s="285"/>
    </row>
    <row r="275" spans="1:38" s="275" customFormat="1" ht="219.6" customHeight="1" outlineLevel="1" x14ac:dyDescent="0.25">
      <c r="A275" s="303" t="s">
        <v>772</v>
      </c>
      <c r="B275" s="331" t="s">
        <v>773</v>
      </c>
      <c r="C275" s="330">
        <v>0</v>
      </c>
      <c r="D275" s="303">
        <f t="shared" ref="D275:D282" si="69">F275+J275+O275+T275+Y275+AC275+AH275</f>
        <v>551.69000000000005</v>
      </c>
      <c r="E275" s="303">
        <v>0</v>
      </c>
      <c r="F275" s="307">
        <f>H275</f>
        <v>551.69000000000005</v>
      </c>
      <c r="G275" s="303">
        <v>0</v>
      </c>
      <c r="H275" s="303">
        <v>551.69000000000005</v>
      </c>
      <c r="I275" s="330">
        <v>0</v>
      </c>
      <c r="J275" s="335">
        <v>0</v>
      </c>
      <c r="K275" s="330">
        <v>0</v>
      </c>
      <c r="L275" s="330">
        <v>0</v>
      </c>
      <c r="M275" s="330">
        <v>0</v>
      </c>
      <c r="N275" s="311">
        <v>0</v>
      </c>
      <c r="O275" s="318">
        <v>0</v>
      </c>
      <c r="P275" s="311">
        <v>0</v>
      </c>
      <c r="Q275" s="311">
        <v>0</v>
      </c>
      <c r="R275" s="311">
        <v>0</v>
      </c>
      <c r="S275" s="330">
        <v>0</v>
      </c>
      <c r="T275" s="335">
        <v>0</v>
      </c>
      <c r="U275" s="330">
        <v>0</v>
      </c>
      <c r="V275" s="330">
        <v>0</v>
      </c>
      <c r="W275" s="330">
        <v>0</v>
      </c>
      <c r="X275" s="499">
        <v>0</v>
      </c>
      <c r="Y275" s="280">
        <v>0</v>
      </c>
      <c r="Z275" s="279">
        <v>0</v>
      </c>
      <c r="AA275" s="279">
        <v>0</v>
      </c>
      <c r="AB275" s="279">
        <v>0</v>
      </c>
      <c r="AC275" s="336">
        <v>0</v>
      </c>
      <c r="AD275" s="279">
        <v>0</v>
      </c>
      <c r="AE275" s="279">
        <v>0</v>
      </c>
      <c r="AF275" s="279">
        <v>0</v>
      </c>
      <c r="AG275" s="499">
        <v>0</v>
      </c>
      <c r="AH275" s="336">
        <v>0</v>
      </c>
      <c r="AI275" s="279">
        <v>0</v>
      </c>
      <c r="AJ275" s="279">
        <v>0</v>
      </c>
      <c r="AK275" s="279">
        <v>0</v>
      </c>
      <c r="AL275" s="285"/>
    </row>
    <row r="276" spans="1:38" s="275" customFormat="1" ht="75.900000000000006" customHeight="1" outlineLevel="1" x14ac:dyDescent="0.25">
      <c r="A276" s="303" t="s">
        <v>772</v>
      </c>
      <c r="B276" s="331" t="s">
        <v>774</v>
      </c>
      <c r="C276" s="330"/>
      <c r="D276" s="303">
        <f t="shared" si="69"/>
        <v>0</v>
      </c>
      <c r="E276" s="303"/>
      <c r="F276" s="307"/>
      <c r="G276" s="303"/>
      <c r="H276" s="303"/>
      <c r="I276" s="330"/>
      <c r="J276" s="335"/>
      <c r="K276" s="330"/>
      <c r="L276" s="330"/>
      <c r="M276" s="330"/>
      <c r="N276" s="330"/>
      <c r="O276" s="335"/>
      <c r="P276" s="335"/>
      <c r="Q276" s="330"/>
      <c r="R276" s="330"/>
      <c r="S276" s="279"/>
      <c r="T276" s="336"/>
      <c r="U276" s="336"/>
      <c r="V276" s="279"/>
      <c r="W276" s="279"/>
      <c r="X276" s="499"/>
      <c r="Y276" s="280"/>
      <c r="Z276" s="279"/>
      <c r="AA276" s="279"/>
      <c r="AB276" s="279"/>
      <c r="AC276" s="336"/>
      <c r="AD276" s="279"/>
      <c r="AE276" s="279"/>
      <c r="AF276" s="279"/>
      <c r="AG276" s="499"/>
      <c r="AH276" s="336"/>
      <c r="AI276" s="279">
        <v>0</v>
      </c>
      <c r="AJ276" s="279"/>
      <c r="AK276" s="279"/>
      <c r="AL276" s="285"/>
    </row>
    <row r="277" spans="1:38" s="275" customFormat="1" ht="16.95" customHeight="1" outlineLevel="1" x14ac:dyDescent="0.25">
      <c r="A277" s="303" t="s">
        <v>775</v>
      </c>
      <c r="B277" s="331" t="s">
        <v>776</v>
      </c>
      <c r="C277" s="330"/>
      <c r="D277" s="303">
        <f t="shared" si="69"/>
        <v>0</v>
      </c>
      <c r="E277" s="303"/>
      <c r="F277" s="307"/>
      <c r="G277" s="303"/>
      <c r="H277" s="303"/>
      <c r="I277" s="330"/>
      <c r="J277" s="335"/>
      <c r="K277" s="330"/>
      <c r="L277" s="330"/>
      <c r="M277" s="330"/>
      <c r="N277" s="330"/>
      <c r="O277" s="335"/>
      <c r="P277" s="335"/>
      <c r="Q277" s="330"/>
      <c r="R277" s="330"/>
      <c r="S277" s="279"/>
      <c r="T277" s="336"/>
      <c r="U277" s="336"/>
      <c r="V277" s="279"/>
      <c r="W277" s="279"/>
      <c r="X277" s="499"/>
      <c r="Y277" s="280"/>
      <c r="Z277" s="279"/>
      <c r="AA277" s="279"/>
      <c r="AB277" s="279"/>
      <c r="AC277" s="336"/>
      <c r="AD277" s="279"/>
      <c r="AE277" s="279"/>
      <c r="AF277" s="279"/>
      <c r="AG277" s="499"/>
      <c r="AH277" s="336"/>
      <c r="AI277" s="279">
        <v>0</v>
      </c>
      <c r="AJ277" s="279"/>
      <c r="AK277" s="279"/>
      <c r="AL277" s="285"/>
    </row>
    <row r="278" spans="1:38" s="275" customFormat="1" ht="100.2" customHeight="1" outlineLevel="1" x14ac:dyDescent="0.25">
      <c r="A278" s="303" t="s">
        <v>777</v>
      </c>
      <c r="B278" s="331" t="s">
        <v>778</v>
      </c>
      <c r="C278" s="330">
        <f>I278+N278+S278+X278+AB278+AG278</f>
        <v>18.920000000000002</v>
      </c>
      <c r="D278" s="303">
        <f t="shared" si="69"/>
        <v>38114.810000000005</v>
      </c>
      <c r="E278" s="303">
        <v>0</v>
      </c>
      <c r="F278" s="307">
        <v>0</v>
      </c>
      <c r="G278" s="303">
        <v>0</v>
      </c>
      <c r="H278" s="303">
        <v>0</v>
      </c>
      <c r="I278" s="330">
        <v>18.920000000000002</v>
      </c>
      <c r="J278" s="335">
        <f>L278+M278</f>
        <v>38114.810000000005</v>
      </c>
      <c r="K278" s="330">
        <v>0</v>
      </c>
      <c r="L278" s="330">
        <v>35065.620000000003</v>
      </c>
      <c r="M278" s="330">
        <v>3049.19</v>
      </c>
      <c r="N278" s="330">
        <v>0</v>
      </c>
      <c r="O278" s="335">
        <v>0</v>
      </c>
      <c r="P278" s="330">
        <v>0</v>
      </c>
      <c r="Q278" s="330">
        <v>0</v>
      </c>
      <c r="R278" s="330">
        <v>0</v>
      </c>
      <c r="S278" s="279">
        <v>0</v>
      </c>
      <c r="T278" s="336">
        <v>0</v>
      </c>
      <c r="U278" s="279">
        <v>0</v>
      </c>
      <c r="V278" s="279">
        <v>0</v>
      </c>
      <c r="W278" s="279">
        <v>0</v>
      </c>
      <c r="X278" s="499">
        <v>0</v>
      </c>
      <c r="Y278" s="280">
        <v>0</v>
      </c>
      <c r="Z278" s="279">
        <v>0</v>
      </c>
      <c r="AA278" s="279">
        <v>0</v>
      </c>
      <c r="AB278" s="279">
        <v>0</v>
      </c>
      <c r="AC278" s="336">
        <v>0</v>
      </c>
      <c r="AD278" s="279">
        <v>0</v>
      </c>
      <c r="AE278" s="279">
        <v>0</v>
      </c>
      <c r="AF278" s="279">
        <v>0</v>
      </c>
      <c r="AG278" s="499">
        <v>0</v>
      </c>
      <c r="AH278" s="336">
        <v>0</v>
      </c>
      <c r="AI278" s="279">
        <v>0</v>
      </c>
      <c r="AJ278" s="279">
        <v>0</v>
      </c>
      <c r="AK278" s="279">
        <v>0</v>
      </c>
      <c r="AL278" s="285"/>
    </row>
    <row r="279" spans="1:38" s="275" customFormat="1" ht="141" customHeight="1" outlineLevel="1" x14ac:dyDescent="0.25">
      <c r="A279" s="303" t="s">
        <v>779</v>
      </c>
      <c r="B279" s="331" t="s">
        <v>780</v>
      </c>
      <c r="C279" s="330">
        <v>0</v>
      </c>
      <c r="D279" s="303">
        <f t="shared" si="69"/>
        <v>294.10000000000002</v>
      </c>
      <c r="E279" s="303">
        <v>0</v>
      </c>
      <c r="F279" s="307">
        <v>0</v>
      </c>
      <c r="G279" s="303">
        <v>0</v>
      </c>
      <c r="H279" s="303">
        <v>0</v>
      </c>
      <c r="I279" s="330">
        <v>0</v>
      </c>
      <c r="J279" s="335">
        <f>M279</f>
        <v>294.10000000000002</v>
      </c>
      <c r="K279" s="330">
        <v>0</v>
      </c>
      <c r="L279" s="330">
        <v>0</v>
      </c>
      <c r="M279" s="330">
        <v>294.10000000000002</v>
      </c>
      <c r="N279" s="330">
        <v>0</v>
      </c>
      <c r="O279" s="335">
        <v>0</v>
      </c>
      <c r="P279" s="330">
        <v>0</v>
      </c>
      <c r="Q279" s="330">
        <v>0</v>
      </c>
      <c r="R279" s="330">
        <v>0</v>
      </c>
      <c r="S279" s="279">
        <v>0</v>
      </c>
      <c r="T279" s="336">
        <v>0</v>
      </c>
      <c r="U279" s="279">
        <v>0</v>
      </c>
      <c r="V279" s="279">
        <v>0</v>
      </c>
      <c r="W279" s="279">
        <v>0</v>
      </c>
      <c r="X279" s="499">
        <v>0</v>
      </c>
      <c r="Y279" s="280">
        <v>0</v>
      </c>
      <c r="Z279" s="279">
        <v>0</v>
      </c>
      <c r="AA279" s="279">
        <v>0</v>
      </c>
      <c r="AB279" s="279">
        <v>0</v>
      </c>
      <c r="AC279" s="336">
        <v>0</v>
      </c>
      <c r="AD279" s="279">
        <v>0</v>
      </c>
      <c r="AE279" s="279">
        <v>0</v>
      </c>
      <c r="AF279" s="279">
        <v>0</v>
      </c>
      <c r="AG279" s="499">
        <v>0</v>
      </c>
      <c r="AH279" s="336">
        <v>0</v>
      </c>
      <c r="AI279" s="279">
        <v>0</v>
      </c>
      <c r="AJ279" s="279">
        <v>0</v>
      </c>
      <c r="AK279" s="279">
        <v>0</v>
      </c>
      <c r="AL279" s="285"/>
    </row>
    <row r="280" spans="1:38" s="275" customFormat="1" ht="90.6" customHeight="1" outlineLevel="1" x14ac:dyDescent="0.25">
      <c r="A280" s="303" t="s">
        <v>781</v>
      </c>
      <c r="B280" s="331" t="s">
        <v>782</v>
      </c>
      <c r="C280" s="330">
        <f>E280+I280+N280+S280+X280+AB280+AG280</f>
        <v>15.08</v>
      </c>
      <c r="D280" s="303">
        <f t="shared" si="69"/>
        <v>47659.59</v>
      </c>
      <c r="E280" s="303">
        <v>0</v>
      </c>
      <c r="F280" s="307">
        <v>0</v>
      </c>
      <c r="G280" s="303">
        <v>0</v>
      </c>
      <c r="H280" s="303">
        <v>0</v>
      </c>
      <c r="I280" s="330">
        <v>15.08</v>
      </c>
      <c r="J280" s="335">
        <f>L280+M280</f>
        <v>47659.59</v>
      </c>
      <c r="K280" s="330">
        <v>0</v>
      </c>
      <c r="L280" s="330">
        <v>43846.82</v>
      </c>
      <c r="M280" s="330">
        <v>3812.77</v>
      </c>
      <c r="N280" s="330">
        <v>0</v>
      </c>
      <c r="O280" s="335">
        <v>0</v>
      </c>
      <c r="P280" s="330">
        <v>0</v>
      </c>
      <c r="Q280" s="330">
        <v>0</v>
      </c>
      <c r="R280" s="330">
        <v>0</v>
      </c>
      <c r="S280" s="279">
        <v>0</v>
      </c>
      <c r="T280" s="336">
        <v>0</v>
      </c>
      <c r="U280" s="279">
        <v>0</v>
      </c>
      <c r="V280" s="279">
        <v>0</v>
      </c>
      <c r="W280" s="279">
        <v>0</v>
      </c>
      <c r="X280" s="499">
        <v>0</v>
      </c>
      <c r="Y280" s="280">
        <v>0</v>
      </c>
      <c r="Z280" s="279">
        <v>0</v>
      </c>
      <c r="AA280" s="279">
        <v>0</v>
      </c>
      <c r="AB280" s="279">
        <v>0</v>
      </c>
      <c r="AC280" s="336">
        <v>0</v>
      </c>
      <c r="AD280" s="279">
        <v>0</v>
      </c>
      <c r="AE280" s="279">
        <v>0</v>
      </c>
      <c r="AF280" s="279">
        <v>0</v>
      </c>
      <c r="AG280" s="499">
        <v>0</v>
      </c>
      <c r="AH280" s="336">
        <v>0</v>
      </c>
      <c r="AI280" s="279">
        <v>0</v>
      </c>
      <c r="AJ280" s="279">
        <v>0</v>
      </c>
      <c r="AK280" s="279">
        <v>0</v>
      </c>
      <c r="AL280" s="285"/>
    </row>
    <row r="281" spans="1:38" s="275" customFormat="1" ht="138" customHeight="1" outlineLevel="1" x14ac:dyDescent="0.25">
      <c r="A281" s="303" t="s">
        <v>783</v>
      </c>
      <c r="B281" s="331" t="s">
        <v>784</v>
      </c>
      <c r="C281" s="330">
        <v>0</v>
      </c>
      <c r="D281" s="303">
        <f t="shared" si="69"/>
        <v>368</v>
      </c>
      <c r="E281" s="303">
        <v>0</v>
      </c>
      <c r="F281" s="307">
        <v>0</v>
      </c>
      <c r="G281" s="303">
        <v>0</v>
      </c>
      <c r="H281" s="303">
        <v>0</v>
      </c>
      <c r="I281" s="330">
        <v>0</v>
      </c>
      <c r="J281" s="335">
        <f>M281</f>
        <v>368</v>
      </c>
      <c r="K281" s="330">
        <v>0</v>
      </c>
      <c r="L281" s="330">
        <v>0</v>
      </c>
      <c r="M281" s="330">
        <v>368</v>
      </c>
      <c r="N281" s="330">
        <v>0</v>
      </c>
      <c r="O281" s="335">
        <v>0</v>
      </c>
      <c r="P281" s="330">
        <v>0</v>
      </c>
      <c r="Q281" s="330">
        <v>0</v>
      </c>
      <c r="R281" s="330">
        <v>0</v>
      </c>
      <c r="S281" s="279">
        <v>0</v>
      </c>
      <c r="T281" s="336">
        <v>0</v>
      </c>
      <c r="U281" s="279">
        <v>0</v>
      </c>
      <c r="V281" s="279">
        <v>0</v>
      </c>
      <c r="W281" s="279">
        <v>0</v>
      </c>
      <c r="X281" s="499">
        <v>0</v>
      </c>
      <c r="Y281" s="280">
        <v>0</v>
      </c>
      <c r="Z281" s="279">
        <v>0</v>
      </c>
      <c r="AA281" s="279">
        <v>0</v>
      </c>
      <c r="AB281" s="279">
        <v>0</v>
      </c>
      <c r="AC281" s="336">
        <v>0</v>
      </c>
      <c r="AD281" s="279">
        <v>0</v>
      </c>
      <c r="AE281" s="279">
        <v>0</v>
      </c>
      <c r="AF281" s="279">
        <v>0</v>
      </c>
      <c r="AG281" s="499">
        <v>0</v>
      </c>
      <c r="AH281" s="336">
        <v>0</v>
      </c>
      <c r="AI281" s="279">
        <v>0</v>
      </c>
      <c r="AJ281" s="279">
        <v>0</v>
      </c>
      <c r="AK281" s="279">
        <v>0</v>
      </c>
      <c r="AL281" s="285"/>
    </row>
    <row r="282" spans="1:38" s="275" customFormat="1" ht="105.6" customHeight="1" outlineLevel="1" x14ac:dyDescent="0.25">
      <c r="A282" s="303" t="s">
        <v>785</v>
      </c>
      <c r="B282" s="331" t="s">
        <v>786</v>
      </c>
      <c r="C282" s="330">
        <f>E282+I282+N282+S282+X282+AB282+AG282</f>
        <v>16.2</v>
      </c>
      <c r="D282" s="303">
        <f t="shared" si="69"/>
        <v>42435.6</v>
      </c>
      <c r="E282" s="303">
        <v>0</v>
      </c>
      <c r="F282" s="307">
        <v>0</v>
      </c>
      <c r="G282" s="303">
        <v>0</v>
      </c>
      <c r="H282" s="303">
        <v>0</v>
      </c>
      <c r="I282" s="330">
        <v>16.2</v>
      </c>
      <c r="J282" s="307">
        <f>L282+M282</f>
        <v>42435.6</v>
      </c>
      <c r="K282" s="330">
        <v>0</v>
      </c>
      <c r="L282" s="330">
        <v>39040.75</v>
      </c>
      <c r="M282" s="330">
        <v>3394.85</v>
      </c>
      <c r="N282" s="330">
        <v>0</v>
      </c>
      <c r="O282" s="335">
        <v>0</v>
      </c>
      <c r="P282" s="330">
        <v>0</v>
      </c>
      <c r="Q282" s="330">
        <v>0</v>
      </c>
      <c r="R282" s="330">
        <v>0</v>
      </c>
      <c r="S282" s="279">
        <v>0</v>
      </c>
      <c r="T282" s="336">
        <v>0</v>
      </c>
      <c r="U282" s="279">
        <v>0</v>
      </c>
      <c r="V282" s="279">
        <v>0</v>
      </c>
      <c r="W282" s="279">
        <v>0</v>
      </c>
      <c r="X282" s="499">
        <v>0</v>
      </c>
      <c r="Y282" s="280">
        <v>0</v>
      </c>
      <c r="Z282" s="279">
        <v>0</v>
      </c>
      <c r="AA282" s="279">
        <v>0</v>
      </c>
      <c r="AB282" s="279">
        <v>0</v>
      </c>
      <c r="AC282" s="336">
        <v>0</v>
      </c>
      <c r="AD282" s="279">
        <v>0</v>
      </c>
      <c r="AE282" s="279">
        <v>0</v>
      </c>
      <c r="AF282" s="279">
        <v>0</v>
      </c>
      <c r="AG282" s="499">
        <v>0</v>
      </c>
      <c r="AH282" s="336">
        <v>0</v>
      </c>
      <c r="AI282" s="279">
        <v>0</v>
      </c>
      <c r="AJ282" s="279">
        <v>0</v>
      </c>
      <c r="AK282" s="279">
        <v>0</v>
      </c>
      <c r="AL282" s="285"/>
    </row>
    <row r="283" spans="1:38" s="275" customFormat="1" ht="165" customHeight="1" outlineLevel="1" x14ac:dyDescent="0.25">
      <c r="A283" s="303" t="s">
        <v>787</v>
      </c>
      <c r="B283" s="331" t="s">
        <v>788</v>
      </c>
      <c r="C283" s="330">
        <v>0</v>
      </c>
      <c r="D283" s="303">
        <f>J283</f>
        <v>327.39999999999998</v>
      </c>
      <c r="E283" s="303">
        <v>0</v>
      </c>
      <c r="F283" s="307">
        <v>0</v>
      </c>
      <c r="G283" s="303">
        <v>0</v>
      </c>
      <c r="H283" s="303">
        <v>0</v>
      </c>
      <c r="I283" s="330">
        <v>0</v>
      </c>
      <c r="J283" s="307">
        <f>M283</f>
        <v>327.39999999999998</v>
      </c>
      <c r="K283" s="330">
        <v>0</v>
      </c>
      <c r="L283" s="330">
        <v>0</v>
      </c>
      <c r="M283" s="330">
        <v>327.39999999999998</v>
      </c>
      <c r="N283" s="330">
        <v>0</v>
      </c>
      <c r="O283" s="335">
        <v>0</v>
      </c>
      <c r="P283" s="330">
        <v>0</v>
      </c>
      <c r="Q283" s="330">
        <v>0</v>
      </c>
      <c r="R283" s="330">
        <v>0</v>
      </c>
      <c r="S283" s="279">
        <v>0</v>
      </c>
      <c r="T283" s="336">
        <v>0</v>
      </c>
      <c r="U283" s="279">
        <v>0</v>
      </c>
      <c r="V283" s="279">
        <v>0</v>
      </c>
      <c r="W283" s="279">
        <v>0</v>
      </c>
      <c r="X283" s="499">
        <v>0</v>
      </c>
      <c r="Y283" s="280">
        <v>0</v>
      </c>
      <c r="Z283" s="279">
        <v>0</v>
      </c>
      <c r="AA283" s="279">
        <v>0</v>
      </c>
      <c r="AB283" s="279">
        <v>0</v>
      </c>
      <c r="AC283" s="336">
        <v>0</v>
      </c>
      <c r="AD283" s="279">
        <v>0</v>
      </c>
      <c r="AE283" s="279">
        <v>0</v>
      </c>
      <c r="AF283" s="279">
        <v>0</v>
      </c>
      <c r="AG283" s="499">
        <v>0</v>
      </c>
      <c r="AH283" s="336">
        <v>0</v>
      </c>
      <c r="AI283" s="279">
        <v>0</v>
      </c>
      <c r="AJ283" s="279">
        <v>0</v>
      </c>
      <c r="AK283" s="279">
        <v>0</v>
      </c>
      <c r="AL283" s="285"/>
    </row>
    <row r="284" spans="1:38" s="275" customFormat="1" ht="100.95" customHeight="1" outlineLevel="1" x14ac:dyDescent="0.25">
      <c r="A284" s="303" t="s">
        <v>789</v>
      </c>
      <c r="B284" s="331" t="s">
        <v>790</v>
      </c>
      <c r="C284" s="330">
        <v>35.1</v>
      </c>
      <c r="D284" s="303">
        <f t="shared" ref="D284:D298" si="70">F284+J284+O284+T284+Y284+AC284+AH284</f>
        <v>0</v>
      </c>
      <c r="E284" s="303">
        <v>0</v>
      </c>
      <c r="F284" s="307">
        <v>0</v>
      </c>
      <c r="G284" s="303">
        <v>0</v>
      </c>
      <c r="H284" s="303">
        <v>0</v>
      </c>
      <c r="I284" s="330">
        <v>0</v>
      </c>
      <c r="J284" s="335">
        <v>0</v>
      </c>
      <c r="K284" s="330">
        <v>0</v>
      </c>
      <c r="L284" s="330">
        <v>0</v>
      </c>
      <c r="M284" s="330">
        <v>0</v>
      </c>
      <c r="N284" s="330">
        <v>0</v>
      </c>
      <c r="O284" s="335">
        <v>0</v>
      </c>
      <c r="P284" s="330">
        <v>0</v>
      </c>
      <c r="Q284" s="330">
        <v>0</v>
      </c>
      <c r="R284" s="330">
        <v>0</v>
      </c>
      <c r="S284" s="279">
        <v>0</v>
      </c>
      <c r="T284" s="336">
        <v>0</v>
      </c>
      <c r="U284" s="279">
        <v>0</v>
      </c>
      <c r="V284" s="279">
        <v>0</v>
      </c>
      <c r="W284" s="279">
        <v>0</v>
      </c>
      <c r="X284" s="495">
        <v>0</v>
      </c>
      <c r="Y284" s="332">
        <f>Z284+AA284</f>
        <v>0</v>
      </c>
      <c r="Z284" s="330">
        <v>0</v>
      </c>
      <c r="AA284" s="330">
        <v>0</v>
      </c>
      <c r="AB284" s="279">
        <v>0</v>
      </c>
      <c r="AC284" s="336">
        <v>0</v>
      </c>
      <c r="AD284" s="279">
        <v>0</v>
      </c>
      <c r="AE284" s="330">
        <v>0</v>
      </c>
      <c r="AF284" s="330">
        <v>0</v>
      </c>
      <c r="AG284" s="499">
        <v>0</v>
      </c>
      <c r="AH284" s="336">
        <v>0</v>
      </c>
      <c r="AI284" s="279">
        <v>0</v>
      </c>
      <c r="AJ284" s="330">
        <v>0</v>
      </c>
      <c r="AK284" s="330">
        <v>0</v>
      </c>
      <c r="AL284" s="285"/>
    </row>
    <row r="285" spans="1:38" s="275" customFormat="1" ht="165" customHeight="1" outlineLevel="1" x14ac:dyDescent="0.25">
      <c r="A285" s="303" t="s">
        <v>791</v>
      </c>
      <c r="B285" s="331" t="s">
        <v>792</v>
      </c>
      <c r="C285" s="330">
        <v>0</v>
      </c>
      <c r="D285" s="303">
        <f t="shared" si="70"/>
        <v>0</v>
      </c>
      <c r="E285" s="303">
        <v>0</v>
      </c>
      <c r="F285" s="307">
        <v>0</v>
      </c>
      <c r="G285" s="303">
        <v>0</v>
      </c>
      <c r="H285" s="303">
        <v>0</v>
      </c>
      <c r="I285" s="330">
        <v>0</v>
      </c>
      <c r="J285" s="335">
        <v>0</v>
      </c>
      <c r="K285" s="330">
        <v>0</v>
      </c>
      <c r="L285" s="330">
        <v>0</v>
      </c>
      <c r="M285" s="330">
        <v>0</v>
      </c>
      <c r="N285" s="330">
        <v>0</v>
      </c>
      <c r="O285" s="335">
        <v>0</v>
      </c>
      <c r="P285" s="330">
        <v>0</v>
      </c>
      <c r="Q285" s="330">
        <v>0</v>
      </c>
      <c r="R285" s="330">
        <v>0</v>
      </c>
      <c r="S285" s="279">
        <v>0</v>
      </c>
      <c r="T285" s="336">
        <v>0</v>
      </c>
      <c r="U285" s="279">
        <v>0</v>
      </c>
      <c r="V285" s="279">
        <v>0</v>
      </c>
      <c r="W285" s="279">
        <v>0</v>
      </c>
      <c r="X285" s="499">
        <v>0</v>
      </c>
      <c r="Y285" s="332">
        <v>0</v>
      </c>
      <c r="Z285" s="330">
        <v>0</v>
      </c>
      <c r="AA285" s="330">
        <v>0</v>
      </c>
      <c r="AB285" s="279">
        <v>0</v>
      </c>
      <c r="AC285" s="336">
        <f>AF285</f>
        <v>0</v>
      </c>
      <c r="AD285" s="279">
        <v>0</v>
      </c>
      <c r="AE285" s="279">
        <v>0</v>
      </c>
      <c r="AF285" s="279">
        <v>0</v>
      </c>
      <c r="AG285" s="499">
        <v>0</v>
      </c>
      <c r="AH285" s="336">
        <v>0</v>
      </c>
      <c r="AI285" s="279">
        <v>0</v>
      </c>
      <c r="AJ285" s="279">
        <v>0</v>
      </c>
      <c r="AK285" s="279">
        <v>0</v>
      </c>
      <c r="AL285" s="285"/>
    </row>
    <row r="286" spans="1:38" s="275" customFormat="1" ht="96" customHeight="1" outlineLevel="1" x14ac:dyDescent="0.25">
      <c r="A286" s="303" t="s">
        <v>793</v>
      </c>
      <c r="B286" s="331" t="s">
        <v>794</v>
      </c>
      <c r="C286" s="330">
        <f>E286+I286+N286+S286+X286+AB286+AG286</f>
        <v>0</v>
      </c>
      <c r="D286" s="303">
        <f t="shared" si="70"/>
        <v>0</v>
      </c>
      <c r="E286" s="303">
        <v>0</v>
      </c>
      <c r="F286" s="307">
        <v>0</v>
      </c>
      <c r="G286" s="303">
        <v>0</v>
      </c>
      <c r="H286" s="303">
        <v>0</v>
      </c>
      <c r="I286" s="330">
        <v>0</v>
      </c>
      <c r="J286" s="335">
        <v>0</v>
      </c>
      <c r="K286" s="330">
        <v>0</v>
      </c>
      <c r="L286" s="330">
        <v>0</v>
      </c>
      <c r="M286" s="330">
        <v>0</v>
      </c>
      <c r="N286" s="330">
        <v>0</v>
      </c>
      <c r="O286" s="335">
        <v>0</v>
      </c>
      <c r="P286" s="330">
        <v>0</v>
      </c>
      <c r="Q286" s="330">
        <v>0</v>
      </c>
      <c r="R286" s="330">
        <v>0</v>
      </c>
      <c r="S286" s="279">
        <v>0</v>
      </c>
      <c r="T286" s="336">
        <v>0</v>
      </c>
      <c r="U286" s="279">
        <v>0</v>
      </c>
      <c r="V286" s="279">
        <v>0</v>
      </c>
      <c r="W286" s="279">
        <v>0</v>
      </c>
      <c r="X286" s="495">
        <v>0</v>
      </c>
      <c r="Y286" s="332">
        <f>Z286+AA286</f>
        <v>0</v>
      </c>
      <c r="Z286" s="330">
        <v>0</v>
      </c>
      <c r="AA286" s="330">
        <v>0</v>
      </c>
      <c r="AB286" s="279">
        <v>0</v>
      </c>
      <c r="AC286" s="336">
        <f>AE286+AF286</f>
        <v>0</v>
      </c>
      <c r="AD286" s="279">
        <v>0</v>
      </c>
      <c r="AE286" s="330">
        <v>0</v>
      </c>
      <c r="AF286" s="330">
        <v>0</v>
      </c>
      <c r="AG286" s="499">
        <v>0</v>
      </c>
      <c r="AH286" s="336">
        <v>0</v>
      </c>
      <c r="AI286" s="279">
        <v>0</v>
      </c>
      <c r="AJ286" s="330">
        <v>0</v>
      </c>
      <c r="AK286" s="330">
        <v>0</v>
      </c>
      <c r="AL286" s="285"/>
    </row>
    <row r="287" spans="1:38" s="275" customFormat="1" ht="159" customHeight="1" outlineLevel="1" x14ac:dyDescent="0.25">
      <c r="A287" s="303" t="s">
        <v>795</v>
      </c>
      <c r="B287" s="331" t="s">
        <v>796</v>
      </c>
      <c r="C287" s="330">
        <v>0</v>
      </c>
      <c r="D287" s="303">
        <f t="shared" si="70"/>
        <v>0</v>
      </c>
      <c r="E287" s="303">
        <v>0</v>
      </c>
      <c r="F287" s="307">
        <v>0</v>
      </c>
      <c r="G287" s="303">
        <v>0</v>
      </c>
      <c r="H287" s="303">
        <v>0</v>
      </c>
      <c r="I287" s="330">
        <v>0</v>
      </c>
      <c r="J287" s="335">
        <v>0</v>
      </c>
      <c r="K287" s="330">
        <v>0</v>
      </c>
      <c r="L287" s="330">
        <v>0</v>
      </c>
      <c r="M287" s="330">
        <v>0</v>
      </c>
      <c r="N287" s="330">
        <v>0</v>
      </c>
      <c r="O287" s="335">
        <v>0</v>
      </c>
      <c r="P287" s="330">
        <v>0</v>
      </c>
      <c r="Q287" s="330">
        <v>0</v>
      </c>
      <c r="R287" s="330">
        <v>0</v>
      </c>
      <c r="S287" s="279">
        <v>0</v>
      </c>
      <c r="T287" s="336">
        <v>0</v>
      </c>
      <c r="U287" s="279">
        <v>0</v>
      </c>
      <c r="V287" s="279">
        <v>0</v>
      </c>
      <c r="W287" s="279">
        <v>0</v>
      </c>
      <c r="X287" s="499">
        <v>0</v>
      </c>
      <c r="Y287" s="332">
        <v>0</v>
      </c>
      <c r="Z287" s="330">
        <v>0</v>
      </c>
      <c r="AA287" s="330">
        <v>0</v>
      </c>
      <c r="AB287" s="279">
        <v>0</v>
      </c>
      <c r="AC287" s="336">
        <f>AF287</f>
        <v>0</v>
      </c>
      <c r="AD287" s="279">
        <v>0</v>
      </c>
      <c r="AE287" s="279">
        <v>0</v>
      </c>
      <c r="AF287" s="279">
        <v>0</v>
      </c>
      <c r="AG287" s="499">
        <v>0</v>
      </c>
      <c r="AH287" s="336">
        <v>0</v>
      </c>
      <c r="AI287" s="279">
        <v>0</v>
      </c>
      <c r="AJ287" s="279">
        <v>0</v>
      </c>
      <c r="AK287" s="279">
        <v>0</v>
      </c>
      <c r="AL287" s="285"/>
    </row>
    <row r="288" spans="1:38" s="275" customFormat="1" ht="111.6" customHeight="1" outlineLevel="1" x14ac:dyDescent="0.25">
      <c r="A288" s="303" t="s">
        <v>797</v>
      </c>
      <c r="B288" s="331" t="s">
        <v>798</v>
      </c>
      <c r="C288" s="330">
        <f>E288+I288+N288+S288+X288+AB288+AG288</f>
        <v>0</v>
      </c>
      <c r="D288" s="303">
        <f t="shared" si="70"/>
        <v>0</v>
      </c>
      <c r="E288" s="303">
        <v>0</v>
      </c>
      <c r="F288" s="307">
        <v>0</v>
      </c>
      <c r="G288" s="303">
        <v>0</v>
      </c>
      <c r="H288" s="303">
        <v>0</v>
      </c>
      <c r="I288" s="330">
        <v>0</v>
      </c>
      <c r="J288" s="335">
        <v>0</v>
      </c>
      <c r="K288" s="330">
        <v>0</v>
      </c>
      <c r="L288" s="330">
        <v>0</v>
      </c>
      <c r="M288" s="330">
        <v>0</v>
      </c>
      <c r="N288" s="330">
        <v>0</v>
      </c>
      <c r="O288" s="335">
        <v>0</v>
      </c>
      <c r="P288" s="330">
        <v>0</v>
      </c>
      <c r="Q288" s="330">
        <v>0</v>
      </c>
      <c r="R288" s="330">
        <v>0</v>
      </c>
      <c r="S288" s="279">
        <v>0</v>
      </c>
      <c r="T288" s="336">
        <v>0</v>
      </c>
      <c r="U288" s="279">
        <v>0</v>
      </c>
      <c r="V288" s="279">
        <v>0</v>
      </c>
      <c r="W288" s="279">
        <v>0</v>
      </c>
      <c r="X288" s="495">
        <v>0</v>
      </c>
      <c r="Y288" s="332">
        <f>Z288+AA288</f>
        <v>0</v>
      </c>
      <c r="Z288" s="330">
        <v>0</v>
      </c>
      <c r="AA288" s="330">
        <v>0</v>
      </c>
      <c r="AB288" s="279">
        <v>0</v>
      </c>
      <c r="AC288" s="336">
        <f>AE288+AF288</f>
        <v>0</v>
      </c>
      <c r="AD288" s="279">
        <v>0</v>
      </c>
      <c r="AE288" s="330">
        <v>0</v>
      </c>
      <c r="AF288" s="330">
        <v>0</v>
      </c>
      <c r="AG288" s="499">
        <v>0</v>
      </c>
      <c r="AH288" s="336">
        <v>0</v>
      </c>
      <c r="AI288" s="279">
        <v>0</v>
      </c>
      <c r="AJ288" s="330">
        <v>0</v>
      </c>
      <c r="AK288" s="330">
        <v>0</v>
      </c>
      <c r="AL288" s="285"/>
    </row>
    <row r="289" spans="1:51" s="275" customFormat="1" ht="180" customHeight="1" outlineLevel="1" x14ac:dyDescent="0.25">
      <c r="A289" s="303" t="s">
        <v>799</v>
      </c>
      <c r="B289" s="331" t="s">
        <v>800</v>
      </c>
      <c r="C289" s="330">
        <v>0</v>
      </c>
      <c r="D289" s="303">
        <f t="shared" si="70"/>
        <v>0</v>
      </c>
      <c r="E289" s="303">
        <v>0</v>
      </c>
      <c r="F289" s="307">
        <v>0</v>
      </c>
      <c r="G289" s="303">
        <v>0</v>
      </c>
      <c r="H289" s="303">
        <v>0</v>
      </c>
      <c r="I289" s="330"/>
      <c r="J289" s="335">
        <v>0</v>
      </c>
      <c r="K289" s="330">
        <v>0</v>
      </c>
      <c r="L289" s="330">
        <v>0</v>
      </c>
      <c r="M289" s="330">
        <v>0</v>
      </c>
      <c r="N289" s="330">
        <v>0</v>
      </c>
      <c r="O289" s="335">
        <v>0</v>
      </c>
      <c r="P289" s="330">
        <v>0</v>
      </c>
      <c r="Q289" s="330">
        <v>0</v>
      </c>
      <c r="R289" s="330">
        <v>0</v>
      </c>
      <c r="S289" s="279">
        <v>0</v>
      </c>
      <c r="T289" s="336">
        <v>0</v>
      </c>
      <c r="U289" s="279">
        <v>0</v>
      </c>
      <c r="V289" s="279">
        <v>0</v>
      </c>
      <c r="W289" s="279">
        <v>0</v>
      </c>
      <c r="X289" s="499">
        <v>0</v>
      </c>
      <c r="Y289" s="332">
        <v>0</v>
      </c>
      <c r="Z289" s="330">
        <v>0</v>
      </c>
      <c r="AA289" s="330">
        <v>0</v>
      </c>
      <c r="AB289" s="279">
        <v>0</v>
      </c>
      <c r="AC289" s="336">
        <f>AF289</f>
        <v>0</v>
      </c>
      <c r="AD289" s="279">
        <v>0</v>
      </c>
      <c r="AE289" s="279">
        <v>0</v>
      </c>
      <c r="AF289" s="279">
        <v>0</v>
      </c>
      <c r="AG289" s="499">
        <v>0</v>
      </c>
      <c r="AH289" s="336">
        <v>0</v>
      </c>
      <c r="AI289" s="279">
        <v>0</v>
      </c>
      <c r="AJ289" s="330">
        <v>0</v>
      </c>
      <c r="AK289" s="330">
        <v>0</v>
      </c>
      <c r="AL289" s="285"/>
    </row>
    <row r="290" spans="1:51" s="275" customFormat="1" ht="93" customHeight="1" outlineLevel="1" x14ac:dyDescent="0.25">
      <c r="A290" s="303" t="s">
        <v>801</v>
      </c>
      <c r="B290" s="331" t="s">
        <v>802</v>
      </c>
      <c r="C290" s="330">
        <v>5.63</v>
      </c>
      <c r="D290" s="303">
        <f t="shared" si="70"/>
        <v>0</v>
      </c>
      <c r="E290" s="303">
        <v>0</v>
      </c>
      <c r="F290" s="307">
        <v>0</v>
      </c>
      <c r="G290" s="303">
        <v>0</v>
      </c>
      <c r="H290" s="303">
        <v>0</v>
      </c>
      <c r="I290" s="330">
        <v>0</v>
      </c>
      <c r="J290" s="335">
        <v>0</v>
      </c>
      <c r="K290" s="330">
        <v>0</v>
      </c>
      <c r="L290" s="330">
        <v>0</v>
      </c>
      <c r="M290" s="330">
        <v>0</v>
      </c>
      <c r="N290" s="330">
        <v>0</v>
      </c>
      <c r="O290" s="335">
        <v>0</v>
      </c>
      <c r="P290" s="330">
        <v>0</v>
      </c>
      <c r="Q290" s="330">
        <v>0</v>
      </c>
      <c r="R290" s="330">
        <v>0</v>
      </c>
      <c r="S290" s="279">
        <v>0</v>
      </c>
      <c r="T290" s="336">
        <v>0</v>
      </c>
      <c r="U290" s="279">
        <v>0</v>
      </c>
      <c r="V290" s="279">
        <v>0</v>
      </c>
      <c r="W290" s="279">
        <v>0</v>
      </c>
      <c r="X290" s="495">
        <v>0</v>
      </c>
      <c r="Y290" s="332">
        <f>Z290+AA290</f>
        <v>0</v>
      </c>
      <c r="Z290" s="330">
        <v>0</v>
      </c>
      <c r="AA290" s="330">
        <v>0</v>
      </c>
      <c r="AB290" s="279">
        <v>0</v>
      </c>
      <c r="AC290" s="336">
        <v>0</v>
      </c>
      <c r="AD290" s="279">
        <v>0</v>
      </c>
      <c r="AE290" s="330">
        <v>0</v>
      </c>
      <c r="AF290" s="330">
        <v>0</v>
      </c>
      <c r="AG290" s="499">
        <v>0</v>
      </c>
      <c r="AH290" s="336">
        <v>0</v>
      </c>
      <c r="AI290" s="279">
        <v>0</v>
      </c>
      <c r="AJ290" s="330">
        <v>0</v>
      </c>
      <c r="AK290" s="330">
        <v>0</v>
      </c>
      <c r="AL290" s="285"/>
    </row>
    <row r="291" spans="1:51" s="275" customFormat="1" ht="165.6" customHeight="1" outlineLevel="1" x14ac:dyDescent="0.25">
      <c r="A291" s="303" t="s">
        <v>803</v>
      </c>
      <c r="B291" s="331" t="s">
        <v>804</v>
      </c>
      <c r="C291" s="330">
        <v>0</v>
      </c>
      <c r="D291" s="303">
        <f t="shared" si="70"/>
        <v>0</v>
      </c>
      <c r="E291" s="303">
        <v>0</v>
      </c>
      <c r="F291" s="307">
        <v>0</v>
      </c>
      <c r="G291" s="303">
        <v>0</v>
      </c>
      <c r="H291" s="303">
        <v>0</v>
      </c>
      <c r="I291" s="330">
        <v>0</v>
      </c>
      <c r="J291" s="335">
        <v>0</v>
      </c>
      <c r="K291" s="330">
        <v>0</v>
      </c>
      <c r="L291" s="330">
        <v>0</v>
      </c>
      <c r="M291" s="330">
        <v>0</v>
      </c>
      <c r="N291" s="330">
        <v>0</v>
      </c>
      <c r="O291" s="335">
        <v>0</v>
      </c>
      <c r="P291" s="330">
        <v>0</v>
      </c>
      <c r="Q291" s="330">
        <v>0</v>
      </c>
      <c r="R291" s="330">
        <v>0</v>
      </c>
      <c r="S291" s="279">
        <v>0</v>
      </c>
      <c r="T291" s="336">
        <v>0</v>
      </c>
      <c r="U291" s="279">
        <v>0</v>
      </c>
      <c r="V291" s="279">
        <v>0</v>
      </c>
      <c r="W291" s="279">
        <v>0</v>
      </c>
      <c r="X291" s="499">
        <v>0</v>
      </c>
      <c r="Y291" s="332">
        <v>0</v>
      </c>
      <c r="Z291" s="330">
        <v>0</v>
      </c>
      <c r="AA291" s="330">
        <v>0</v>
      </c>
      <c r="AB291" s="279">
        <v>0</v>
      </c>
      <c r="AC291" s="336">
        <f>AF291</f>
        <v>0</v>
      </c>
      <c r="AD291" s="279">
        <v>0</v>
      </c>
      <c r="AE291" s="279">
        <v>0</v>
      </c>
      <c r="AF291" s="279">
        <v>0</v>
      </c>
      <c r="AG291" s="499">
        <v>0</v>
      </c>
      <c r="AH291" s="336">
        <v>0</v>
      </c>
      <c r="AI291" s="279">
        <v>0</v>
      </c>
      <c r="AJ291" s="330">
        <v>0</v>
      </c>
      <c r="AK291" s="330">
        <v>0</v>
      </c>
      <c r="AL291" s="285"/>
    </row>
    <row r="292" spans="1:51" s="275" customFormat="1" ht="118.2" customHeight="1" outlineLevel="1" x14ac:dyDescent="0.25">
      <c r="A292" s="303" t="s">
        <v>805</v>
      </c>
      <c r="B292" s="331" t="s">
        <v>806</v>
      </c>
      <c r="C292" s="330">
        <f>-E292+I292+N292+S292+X292+AB292+AG292</f>
        <v>0</v>
      </c>
      <c r="D292" s="303">
        <f t="shared" si="70"/>
        <v>0</v>
      </c>
      <c r="E292" s="303">
        <v>0</v>
      </c>
      <c r="F292" s="307">
        <v>0</v>
      </c>
      <c r="G292" s="303">
        <v>0</v>
      </c>
      <c r="H292" s="303">
        <v>0</v>
      </c>
      <c r="I292" s="330">
        <v>0</v>
      </c>
      <c r="J292" s="335">
        <v>0</v>
      </c>
      <c r="K292" s="330">
        <v>0</v>
      </c>
      <c r="L292" s="330">
        <v>0</v>
      </c>
      <c r="M292" s="330">
        <v>0</v>
      </c>
      <c r="N292" s="311">
        <v>0</v>
      </c>
      <c r="O292" s="318">
        <v>0</v>
      </c>
      <c r="P292" s="311">
        <v>0</v>
      </c>
      <c r="Q292" s="311">
        <v>0</v>
      </c>
      <c r="R292" s="311">
        <v>0</v>
      </c>
      <c r="S292" s="330">
        <v>0</v>
      </c>
      <c r="T292" s="335">
        <v>0</v>
      </c>
      <c r="U292" s="330">
        <v>0</v>
      </c>
      <c r="V292" s="330">
        <v>0</v>
      </c>
      <c r="W292" s="330">
        <v>0</v>
      </c>
      <c r="X292" s="499">
        <v>0</v>
      </c>
      <c r="Y292" s="280">
        <v>0</v>
      </c>
      <c r="Z292" s="279">
        <v>0</v>
      </c>
      <c r="AA292" s="279">
        <v>0</v>
      </c>
      <c r="AB292" s="330">
        <v>0</v>
      </c>
      <c r="AC292" s="335">
        <v>0</v>
      </c>
      <c r="AD292" s="330">
        <v>0</v>
      </c>
      <c r="AE292" s="330">
        <v>0</v>
      </c>
      <c r="AF292" s="330">
        <v>0</v>
      </c>
      <c r="AG292" s="499">
        <v>0</v>
      </c>
      <c r="AH292" s="336">
        <v>0</v>
      </c>
      <c r="AI292" s="279">
        <v>0</v>
      </c>
      <c r="AJ292" s="330">
        <v>0</v>
      </c>
      <c r="AK292" s="330">
        <v>0</v>
      </c>
      <c r="AL292" s="285"/>
    </row>
    <row r="293" spans="1:51" s="275" customFormat="1" ht="189.6" customHeight="1" outlineLevel="1" x14ac:dyDescent="0.25">
      <c r="A293" s="303" t="s">
        <v>807</v>
      </c>
      <c r="B293" s="331" t="s">
        <v>808</v>
      </c>
      <c r="C293" s="330">
        <v>0</v>
      </c>
      <c r="D293" s="303">
        <f t="shared" si="70"/>
        <v>0</v>
      </c>
      <c r="E293" s="303">
        <v>0</v>
      </c>
      <c r="F293" s="307">
        <v>0</v>
      </c>
      <c r="G293" s="303">
        <v>0</v>
      </c>
      <c r="H293" s="303">
        <v>0</v>
      </c>
      <c r="I293" s="330">
        <v>0</v>
      </c>
      <c r="J293" s="335">
        <v>0</v>
      </c>
      <c r="K293" s="330">
        <v>0</v>
      </c>
      <c r="L293" s="330">
        <v>0</v>
      </c>
      <c r="M293" s="330">
        <v>0</v>
      </c>
      <c r="N293" s="311">
        <v>0</v>
      </c>
      <c r="O293" s="318">
        <v>0</v>
      </c>
      <c r="P293" s="311">
        <v>0</v>
      </c>
      <c r="Q293" s="311">
        <v>0</v>
      </c>
      <c r="R293" s="311">
        <v>0</v>
      </c>
      <c r="S293" s="330">
        <v>0</v>
      </c>
      <c r="T293" s="335">
        <v>0</v>
      </c>
      <c r="U293" s="330">
        <v>0</v>
      </c>
      <c r="V293" s="330">
        <v>0</v>
      </c>
      <c r="W293" s="330">
        <v>0</v>
      </c>
      <c r="X293" s="499">
        <v>0</v>
      </c>
      <c r="Y293" s="280">
        <v>0</v>
      </c>
      <c r="Z293" s="279">
        <v>0</v>
      </c>
      <c r="AA293" s="279">
        <v>0</v>
      </c>
      <c r="AB293" s="279">
        <v>0</v>
      </c>
      <c r="AC293" s="335">
        <v>0</v>
      </c>
      <c r="AD293" s="330">
        <v>0</v>
      </c>
      <c r="AE293" s="330">
        <v>0</v>
      </c>
      <c r="AF293" s="330">
        <v>0</v>
      </c>
      <c r="AG293" s="499">
        <v>0</v>
      </c>
      <c r="AH293" s="336">
        <v>0</v>
      </c>
      <c r="AI293" s="279">
        <v>0</v>
      </c>
      <c r="AJ293" s="330">
        <v>0</v>
      </c>
      <c r="AK293" s="330">
        <v>0</v>
      </c>
      <c r="AL293" s="285"/>
    </row>
    <row r="294" spans="1:51" s="275" customFormat="1" ht="85.95" customHeight="1" outlineLevel="1" x14ac:dyDescent="0.25">
      <c r="A294" s="303" t="s">
        <v>809</v>
      </c>
      <c r="B294" s="331" t="s">
        <v>810</v>
      </c>
      <c r="C294" s="330">
        <f>E294+I294+N294+S294+X294+AB294+AG294</f>
        <v>0</v>
      </c>
      <c r="D294" s="303">
        <f t="shared" si="70"/>
        <v>0</v>
      </c>
      <c r="E294" s="303">
        <v>0</v>
      </c>
      <c r="F294" s="307">
        <v>0</v>
      </c>
      <c r="G294" s="303">
        <v>0</v>
      </c>
      <c r="H294" s="303">
        <v>0</v>
      </c>
      <c r="I294" s="330">
        <v>0</v>
      </c>
      <c r="J294" s="335">
        <v>0</v>
      </c>
      <c r="K294" s="330">
        <v>0</v>
      </c>
      <c r="L294" s="330">
        <v>0</v>
      </c>
      <c r="M294" s="330">
        <v>0</v>
      </c>
      <c r="N294" s="330">
        <v>0</v>
      </c>
      <c r="O294" s="335">
        <v>0</v>
      </c>
      <c r="P294" s="330">
        <v>0</v>
      </c>
      <c r="Q294" s="330">
        <v>0</v>
      </c>
      <c r="R294" s="330">
        <v>0</v>
      </c>
      <c r="S294" s="279">
        <v>0</v>
      </c>
      <c r="T294" s="336">
        <v>0</v>
      </c>
      <c r="U294" s="279">
        <v>0</v>
      </c>
      <c r="V294" s="279">
        <v>0</v>
      </c>
      <c r="W294" s="279">
        <v>0</v>
      </c>
      <c r="X294" s="499">
        <v>0</v>
      </c>
      <c r="Y294" s="280">
        <v>0</v>
      </c>
      <c r="Z294" s="279">
        <v>0</v>
      </c>
      <c r="AA294" s="279">
        <v>0</v>
      </c>
      <c r="AB294" s="279">
        <v>0</v>
      </c>
      <c r="AC294" s="336">
        <v>0</v>
      </c>
      <c r="AD294" s="279">
        <v>0</v>
      </c>
      <c r="AE294" s="279">
        <v>0</v>
      </c>
      <c r="AF294" s="279">
        <v>0</v>
      </c>
      <c r="AG294" s="499">
        <v>0</v>
      </c>
      <c r="AH294" s="336">
        <v>0</v>
      </c>
      <c r="AI294" s="279">
        <v>0</v>
      </c>
      <c r="AJ294" s="279">
        <v>0</v>
      </c>
      <c r="AK294" s="279">
        <v>0</v>
      </c>
      <c r="AL294" s="285"/>
    </row>
    <row r="295" spans="1:51" s="275" customFormat="1" ht="153.6" customHeight="1" outlineLevel="1" x14ac:dyDescent="0.25">
      <c r="A295" s="303" t="s">
        <v>811</v>
      </c>
      <c r="B295" s="331" t="s">
        <v>812</v>
      </c>
      <c r="C295" s="330">
        <v>0</v>
      </c>
      <c r="D295" s="303">
        <f t="shared" si="70"/>
        <v>0</v>
      </c>
      <c r="E295" s="303">
        <v>0</v>
      </c>
      <c r="F295" s="307">
        <v>0</v>
      </c>
      <c r="G295" s="303">
        <v>0</v>
      </c>
      <c r="H295" s="303">
        <v>0</v>
      </c>
      <c r="I295" s="330">
        <v>0</v>
      </c>
      <c r="J295" s="335">
        <v>0</v>
      </c>
      <c r="K295" s="330">
        <v>0</v>
      </c>
      <c r="L295" s="330">
        <v>0</v>
      </c>
      <c r="M295" s="330">
        <v>0</v>
      </c>
      <c r="N295" s="330">
        <v>0</v>
      </c>
      <c r="O295" s="335">
        <v>0</v>
      </c>
      <c r="P295" s="330">
        <v>0</v>
      </c>
      <c r="Q295" s="330">
        <v>0</v>
      </c>
      <c r="R295" s="330">
        <v>0</v>
      </c>
      <c r="S295" s="279">
        <v>0</v>
      </c>
      <c r="T295" s="336">
        <v>0</v>
      </c>
      <c r="U295" s="279">
        <v>0</v>
      </c>
      <c r="V295" s="279">
        <v>0</v>
      </c>
      <c r="W295" s="279">
        <v>0</v>
      </c>
      <c r="X295" s="499">
        <v>0</v>
      </c>
      <c r="Y295" s="280">
        <v>0</v>
      </c>
      <c r="Z295" s="279">
        <v>0</v>
      </c>
      <c r="AA295" s="279">
        <v>0</v>
      </c>
      <c r="AB295" s="279">
        <v>0</v>
      </c>
      <c r="AC295" s="336">
        <v>0</v>
      </c>
      <c r="AD295" s="279">
        <v>0</v>
      </c>
      <c r="AE295" s="279">
        <v>0</v>
      </c>
      <c r="AF295" s="279">
        <v>0</v>
      </c>
      <c r="AG295" s="499">
        <v>0</v>
      </c>
      <c r="AH295" s="336">
        <v>0</v>
      </c>
      <c r="AI295" s="279">
        <v>0</v>
      </c>
      <c r="AJ295" s="279">
        <v>0</v>
      </c>
      <c r="AK295" s="279">
        <v>0</v>
      </c>
      <c r="AL295" s="285"/>
    </row>
    <row r="296" spans="1:51" s="275" customFormat="1" ht="230.4" customHeight="1" outlineLevel="1" x14ac:dyDescent="0.25">
      <c r="A296" s="303" t="s">
        <v>813</v>
      </c>
      <c r="B296" s="331" t="s">
        <v>814</v>
      </c>
      <c r="C296" s="330">
        <f>E296+I296+N296+S296+X296+AB296+AG296</f>
        <v>10.45</v>
      </c>
      <c r="D296" s="303">
        <f t="shared" si="70"/>
        <v>54591.1</v>
      </c>
      <c r="E296" s="303">
        <v>0</v>
      </c>
      <c r="F296" s="307">
        <v>0</v>
      </c>
      <c r="G296" s="303">
        <v>0</v>
      </c>
      <c r="H296" s="303">
        <v>0</v>
      </c>
      <c r="I296" s="330">
        <v>0</v>
      </c>
      <c r="J296" s="335">
        <v>0</v>
      </c>
      <c r="K296" s="330">
        <v>0</v>
      </c>
      <c r="L296" s="330">
        <v>0</v>
      </c>
      <c r="M296" s="330">
        <v>0</v>
      </c>
      <c r="N296" s="330">
        <v>0</v>
      </c>
      <c r="O296" s="335">
        <v>0</v>
      </c>
      <c r="P296" s="330">
        <v>0</v>
      </c>
      <c r="Q296" s="330">
        <v>0</v>
      </c>
      <c r="R296" s="330">
        <v>0</v>
      </c>
      <c r="S296" s="279">
        <v>0</v>
      </c>
      <c r="T296" s="336">
        <v>0</v>
      </c>
      <c r="U296" s="279">
        <v>0</v>
      </c>
      <c r="V296" s="279">
        <v>0</v>
      </c>
      <c r="W296" s="279">
        <v>0</v>
      </c>
      <c r="X296" s="499">
        <v>0</v>
      </c>
      <c r="Y296" s="280">
        <v>0</v>
      </c>
      <c r="Z296" s="279">
        <v>0</v>
      </c>
      <c r="AA296" s="279">
        <v>0</v>
      </c>
      <c r="AB296" s="279">
        <v>0</v>
      </c>
      <c r="AC296" s="336">
        <v>0</v>
      </c>
      <c r="AD296" s="279">
        <v>0</v>
      </c>
      <c r="AE296" s="279">
        <v>0</v>
      </c>
      <c r="AF296" s="279">
        <v>0</v>
      </c>
      <c r="AG296" s="499">
        <v>10.45</v>
      </c>
      <c r="AH296" s="336">
        <f>AJ296+AK296</f>
        <v>54591.1</v>
      </c>
      <c r="AI296" s="279">
        <v>0</v>
      </c>
      <c r="AJ296" s="279">
        <v>52352.86</v>
      </c>
      <c r="AK296" s="279">
        <v>2238.2399999999998</v>
      </c>
      <c r="AL296" s="285"/>
    </row>
    <row r="297" spans="1:51" s="275" customFormat="1" ht="169.2" customHeight="1" outlineLevel="1" x14ac:dyDescent="0.25">
      <c r="A297" s="303" t="s">
        <v>815</v>
      </c>
      <c r="B297" s="331" t="s">
        <v>816</v>
      </c>
      <c r="C297" s="330">
        <v>0</v>
      </c>
      <c r="D297" s="303">
        <f t="shared" si="70"/>
        <v>1841.79</v>
      </c>
      <c r="E297" s="303">
        <v>0</v>
      </c>
      <c r="F297" s="307">
        <v>0</v>
      </c>
      <c r="G297" s="303">
        <v>0</v>
      </c>
      <c r="H297" s="303">
        <v>0</v>
      </c>
      <c r="I297" s="330">
        <v>0</v>
      </c>
      <c r="J297" s="335">
        <f>M297</f>
        <v>1841.79</v>
      </c>
      <c r="K297" s="330">
        <v>0</v>
      </c>
      <c r="L297" s="330">
        <v>0</v>
      </c>
      <c r="M297" s="330">
        <v>1841.79</v>
      </c>
      <c r="N297" s="330">
        <v>0</v>
      </c>
      <c r="O297" s="335">
        <v>0</v>
      </c>
      <c r="P297" s="330">
        <v>0</v>
      </c>
      <c r="Q297" s="330">
        <v>0</v>
      </c>
      <c r="R297" s="330">
        <v>0</v>
      </c>
      <c r="S297" s="279">
        <v>0</v>
      </c>
      <c r="T297" s="336">
        <v>0</v>
      </c>
      <c r="U297" s="279">
        <v>0</v>
      </c>
      <c r="V297" s="279">
        <v>0</v>
      </c>
      <c r="W297" s="279">
        <v>0</v>
      </c>
      <c r="X297" s="499">
        <v>0</v>
      </c>
      <c r="Y297" s="280">
        <v>0</v>
      </c>
      <c r="Z297" s="279">
        <v>0</v>
      </c>
      <c r="AA297" s="279">
        <v>0</v>
      </c>
      <c r="AB297" s="279">
        <v>0</v>
      </c>
      <c r="AC297" s="336">
        <v>0</v>
      </c>
      <c r="AD297" s="279">
        <v>0</v>
      </c>
      <c r="AE297" s="279">
        <v>0</v>
      </c>
      <c r="AF297" s="279">
        <v>0</v>
      </c>
      <c r="AG297" s="499">
        <v>0</v>
      </c>
      <c r="AH297" s="336">
        <v>0</v>
      </c>
      <c r="AI297" s="279">
        <v>0</v>
      </c>
      <c r="AJ297" s="279">
        <v>0</v>
      </c>
      <c r="AK297" s="279">
        <v>0</v>
      </c>
      <c r="AL297" s="285"/>
    </row>
    <row r="298" spans="1:51" s="275" customFormat="1" ht="186.6" customHeight="1" outlineLevel="1" x14ac:dyDescent="0.25">
      <c r="A298" s="303" t="s">
        <v>817</v>
      </c>
      <c r="B298" s="331" t="s">
        <v>818</v>
      </c>
      <c r="C298" s="330">
        <v>0</v>
      </c>
      <c r="D298" s="303">
        <f t="shared" si="70"/>
        <v>91.04</v>
      </c>
      <c r="E298" s="303">
        <v>0</v>
      </c>
      <c r="F298" s="307">
        <v>0</v>
      </c>
      <c r="G298" s="303">
        <v>0</v>
      </c>
      <c r="H298" s="303">
        <v>0</v>
      </c>
      <c r="I298" s="330">
        <v>0</v>
      </c>
      <c r="J298" s="335">
        <v>0</v>
      </c>
      <c r="K298" s="330">
        <v>0</v>
      </c>
      <c r="L298" s="330">
        <v>0</v>
      </c>
      <c r="M298" s="330">
        <v>0</v>
      </c>
      <c r="N298" s="330">
        <v>0</v>
      </c>
      <c r="O298" s="335">
        <v>0</v>
      </c>
      <c r="P298" s="330">
        <v>0</v>
      </c>
      <c r="Q298" s="330">
        <v>0</v>
      </c>
      <c r="R298" s="330">
        <v>0</v>
      </c>
      <c r="S298" s="279">
        <v>0</v>
      </c>
      <c r="T298" s="336">
        <v>0</v>
      </c>
      <c r="U298" s="279">
        <v>0</v>
      </c>
      <c r="V298" s="279">
        <v>0</v>
      </c>
      <c r="W298" s="279">
        <v>0</v>
      </c>
      <c r="X298" s="499">
        <v>0</v>
      </c>
      <c r="Y298" s="280">
        <v>0</v>
      </c>
      <c r="Z298" s="279">
        <v>0</v>
      </c>
      <c r="AA298" s="279">
        <v>0</v>
      </c>
      <c r="AB298" s="279">
        <v>0</v>
      </c>
      <c r="AC298" s="336">
        <v>0</v>
      </c>
      <c r="AD298" s="279">
        <v>0</v>
      </c>
      <c r="AE298" s="279">
        <v>0</v>
      </c>
      <c r="AF298" s="279">
        <v>0</v>
      </c>
      <c r="AG298" s="499">
        <v>0</v>
      </c>
      <c r="AH298" s="336">
        <f>AJ298+AK298</f>
        <v>91.04</v>
      </c>
      <c r="AI298" s="279">
        <v>0</v>
      </c>
      <c r="AJ298" s="279">
        <v>0</v>
      </c>
      <c r="AK298" s="279">
        <v>91.04</v>
      </c>
      <c r="AL298" s="285"/>
    </row>
    <row r="299" spans="1:51" s="282" customFormat="1" ht="85.95" customHeight="1" x14ac:dyDescent="0.25">
      <c r="A299" s="337"/>
      <c r="B299" s="338" t="s">
        <v>819</v>
      </c>
      <c r="C299" s="339">
        <f>C272+C278+C280+C282+C284+C286+C288+C290+C292+C294+C296</f>
        <v>109.38000000000001</v>
      </c>
      <c r="D299" s="339">
        <f>SUM(D272:D297)+D298-0.1</f>
        <v>242712.23000000004</v>
      </c>
      <c r="E299" s="339">
        <f>SUM(E272:E298)</f>
        <v>8</v>
      </c>
      <c r="F299" s="339">
        <f>F272+F275+F276+F277+F278+F279+F280+F281+F282+F283+F284+F285+F286+F287+F288+F289+F290+F291+F292+F293+F294+F295+F296+F297</f>
        <v>56988.900000000009</v>
      </c>
      <c r="G299" s="339">
        <f t="shared" ref="G299:AG299" si="71">G272+G275+G276+G277+G278+G279+G280+G281+G282+G283+G284+G285+G286+G287+G288+G289+G290+G291+G292+G293+G294+G295+G296+G297</f>
        <v>27571.22</v>
      </c>
      <c r="H299" s="339">
        <f t="shared" si="71"/>
        <v>29417.68</v>
      </c>
      <c r="I299" s="339">
        <f t="shared" si="71"/>
        <v>50.2</v>
      </c>
      <c r="J299" s="339">
        <f t="shared" si="71"/>
        <v>131041.29</v>
      </c>
      <c r="K299" s="339">
        <f t="shared" si="71"/>
        <v>0</v>
      </c>
      <c r="L299" s="339">
        <f t="shared" si="71"/>
        <v>117953.19</v>
      </c>
      <c r="M299" s="339">
        <f t="shared" si="71"/>
        <v>13088.099999999999</v>
      </c>
      <c r="N299" s="339">
        <f t="shared" si="71"/>
        <v>0</v>
      </c>
      <c r="O299" s="339">
        <f t="shared" si="71"/>
        <v>0</v>
      </c>
      <c r="P299" s="339">
        <f t="shared" si="71"/>
        <v>0</v>
      </c>
      <c r="Q299" s="339">
        <f t="shared" si="71"/>
        <v>0</v>
      </c>
      <c r="R299" s="339">
        <f t="shared" si="71"/>
        <v>0</v>
      </c>
      <c r="S299" s="339">
        <f t="shared" si="71"/>
        <v>0</v>
      </c>
      <c r="T299" s="339">
        <f t="shared" si="71"/>
        <v>0</v>
      </c>
      <c r="U299" s="339">
        <f t="shared" si="71"/>
        <v>0</v>
      </c>
      <c r="V299" s="339">
        <f t="shared" si="71"/>
        <v>0</v>
      </c>
      <c r="W299" s="339">
        <f t="shared" si="71"/>
        <v>0</v>
      </c>
      <c r="X299" s="519">
        <f t="shared" si="71"/>
        <v>0</v>
      </c>
      <c r="Y299" s="339">
        <f t="shared" si="71"/>
        <v>0</v>
      </c>
      <c r="Z299" s="339">
        <f t="shared" si="71"/>
        <v>0</v>
      </c>
      <c r="AA299" s="339">
        <f t="shared" si="71"/>
        <v>0</v>
      </c>
      <c r="AB299" s="339">
        <f t="shared" si="71"/>
        <v>0</v>
      </c>
      <c r="AC299" s="339">
        <f t="shared" si="71"/>
        <v>0</v>
      </c>
      <c r="AD299" s="339">
        <f t="shared" si="71"/>
        <v>0</v>
      </c>
      <c r="AE299" s="339">
        <f t="shared" si="71"/>
        <v>0</v>
      </c>
      <c r="AF299" s="339">
        <f t="shared" si="71"/>
        <v>0</v>
      </c>
      <c r="AG299" s="519">
        <f t="shared" si="71"/>
        <v>10.45</v>
      </c>
      <c r="AH299" s="339">
        <f>AH272+AH275+AH276+AH277+AH278+AH279+AH280+AH281+AH282+AH283+AH284+AH285+AH286+AH287+AH288+AH289+AH290+AH291+AH292+AH293+AH294+AH295+AH296+AH297+AH298</f>
        <v>54682.14</v>
      </c>
      <c r="AI299" s="339">
        <v>0</v>
      </c>
      <c r="AJ299" s="339">
        <f t="shared" ref="AJ299:AK299" si="72">AJ272+AJ275+AJ276+AJ277+AJ278+AJ279+AJ280+AJ281+AJ282+AJ283+AJ284+AJ285+AJ286+AJ287+AJ288+AJ289+AJ290+AJ291+AJ292+AJ293+AJ294+AJ295+AJ296+AJ297+AJ298</f>
        <v>52352.86</v>
      </c>
      <c r="AK299" s="339">
        <f t="shared" si="72"/>
        <v>2329.2799999999997</v>
      </c>
      <c r="AL299" s="340"/>
      <c r="AM299" s="281"/>
      <c r="AN299" s="281"/>
      <c r="AO299" s="281"/>
      <c r="AP299" s="281"/>
      <c r="AQ299" s="281"/>
      <c r="AR299" s="281"/>
      <c r="AS299" s="281"/>
      <c r="AT299" s="281"/>
      <c r="AU299" s="281"/>
      <c r="AV299" s="281"/>
      <c r="AW299" s="281"/>
      <c r="AX299" s="281"/>
      <c r="AY299" s="281"/>
    </row>
    <row r="300" spans="1:51" s="276" customFormat="1" ht="30" customHeight="1" x14ac:dyDescent="0.25">
      <c r="A300" s="685" t="s">
        <v>820</v>
      </c>
      <c r="B300" s="685"/>
      <c r="C300" s="685"/>
      <c r="D300" s="685"/>
      <c r="E300" s="685"/>
      <c r="F300" s="685"/>
      <c r="G300" s="685"/>
      <c r="H300" s="685"/>
      <c r="I300" s="685"/>
      <c r="J300" s="685"/>
      <c r="K300" s="685"/>
      <c r="L300" s="685"/>
      <c r="M300" s="685"/>
      <c r="N300" s="685"/>
      <c r="O300" s="685"/>
      <c r="P300" s="685"/>
      <c r="Q300" s="685"/>
      <c r="R300" s="685"/>
      <c r="S300" s="685"/>
      <c r="T300" s="685"/>
      <c r="U300" s="685"/>
      <c r="V300" s="685"/>
      <c r="W300" s="685"/>
      <c r="X300" s="685"/>
      <c r="Y300" s="685"/>
      <c r="Z300" s="685"/>
      <c r="AA300" s="685"/>
      <c r="AB300" s="685"/>
      <c r="AC300" s="685"/>
      <c r="AD300" s="685"/>
      <c r="AE300" s="685"/>
      <c r="AF300" s="685"/>
      <c r="AG300" s="685"/>
      <c r="AH300" s="685"/>
      <c r="AI300" s="685"/>
      <c r="AJ300" s="685"/>
      <c r="AK300" s="685"/>
      <c r="AL300" s="285"/>
      <c r="AM300" s="275"/>
      <c r="AN300" s="275"/>
      <c r="AO300" s="275"/>
      <c r="AP300" s="275"/>
      <c r="AQ300" s="275"/>
      <c r="AR300" s="275"/>
      <c r="AS300" s="275"/>
      <c r="AT300" s="275"/>
      <c r="AU300" s="275"/>
      <c r="AV300" s="275"/>
      <c r="AW300" s="275"/>
      <c r="AX300" s="275"/>
      <c r="AY300" s="275"/>
    </row>
    <row r="301" spans="1:51" s="283" customFormat="1" ht="90.6" customHeight="1" outlineLevel="1" x14ac:dyDescent="0.25">
      <c r="A301" s="341" t="s">
        <v>821</v>
      </c>
      <c r="B301" s="342" t="s">
        <v>822</v>
      </c>
      <c r="C301" s="341">
        <f>E301</f>
        <v>26.13</v>
      </c>
      <c r="D301" s="314">
        <f t="shared" ref="D301:D330" si="73">F301+J301+O301+T301+Y301+AC301+AH301</f>
        <v>26175.97</v>
      </c>
      <c r="E301" s="314">
        <v>26.13</v>
      </c>
      <c r="F301" s="318">
        <f>G301+H301</f>
        <v>26175.97</v>
      </c>
      <c r="G301" s="314">
        <v>24736.29</v>
      </c>
      <c r="H301" s="314">
        <v>1439.68</v>
      </c>
      <c r="I301" s="314">
        <v>0</v>
      </c>
      <c r="J301" s="335">
        <v>0</v>
      </c>
      <c r="K301" s="330">
        <v>0</v>
      </c>
      <c r="L301" s="330">
        <v>0</v>
      </c>
      <c r="M301" s="330">
        <v>0</v>
      </c>
      <c r="N301" s="330">
        <v>0</v>
      </c>
      <c r="O301" s="335">
        <v>0</v>
      </c>
      <c r="P301" s="330">
        <v>0</v>
      </c>
      <c r="Q301" s="330">
        <v>0</v>
      </c>
      <c r="R301" s="330">
        <v>0</v>
      </c>
      <c r="S301" s="330">
        <v>0</v>
      </c>
      <c r="T301" s="335">
        <v>0</v>
      </c>
      <c r="U301" s="330">
        <v>0</v>
      </c>
      <c r="V301" s="330">
        <v>0</v>
      </c>
      <c r="W301" s="330">
        <v>0</v>
      </c>
      <c r="X301" s="495">
        <v>0</v>
      </c>
      <c r="Y301" s="332">
        <v>0</v>
      </c>
      <c r="Z301" s="330">
        <v>0</v>
      </c>
      <c r="AA301" s="330">
        <v>0</v>
      </c>
      <c r="AB301" s="330">
        <v>0</v>
      </c>
      <c r="AC301" s="335">
        <v>0</v>
      </c>
      <c r="AD301" s="330">
        <v>0</v>
      </c>
      <c r="AE301" s="330">
        <v>0</v>
      </c>
      <c r="AF301" s="330">
        <v>0</v>
      </c>
      <c r="AG301" s="495">
        <v>0</v>
      </c>
      <c r="AH301" s="335">
        <v>0</v>
      </c>
      <c r="AI301" s="395">
        <v>0</v>
      </c>
      <c r="AJ301" s="395">
        <v>0</v>
      </c>
      <c r="AK301" s="395">
        <v>0</v>
      </c>
      <c r="AL301" s="285"/>
      <c r="AM301" s="275"/>
      <c r="AN301" s="275"/>
      <c r="AO301" s="275"/>
      <c r="AP301" s="275"/>
      <c r="AQ301" s="275"/>
      <c r="AR301" s="275"/>
      <c r="AS301" s="275"/>
      <c r="AT301" s="275"/>
      <c r="AU301" s="275"/>
      <c r="AV301" s="275"/>
      <c r="AW301" s="275"/>
      <c r="AX301" s="275"/>
      <c r="AY301" s="275"/>
    </row>
    <row r="302" spans="1:51" s="283" customFormat="1" ht="82.2" customHeight="1" outlineLevel="1" x14ac:dyDescent="0.25">
      <c r="A302" s="341" t="s">
        <v>823</v>
      </c>
      <c r="B302" s="342" t="s">
        <v>824</v>
      </c>
      <c r="C302" s="341">
        <f t="shared" ref="C302:C331" si="74">E302</f>
        <v>62.48</v>
      </c>
      <c r="D302" s="314">
        <f t="shared" si="73"/>
        <v>62186.61</v>
      </c>
      <c r="E302" s="314">
        <v>62.48</v>
      </c>
      <c r="F302" s="318">
        <f t="shared" ref="F302:F330" si="75">G302+H302</f>
        <v>62186.61</v>
      </c>
      <c r="G302" s="314">
        <v>58766.35</v>
      </c>
      <c r="H302" s="314">
        <v>3420.26</v>
      </c>
      <c r="I302" s="314">
        <v>0</v>
      </c>
      <c r="J302" s="335">
        <v>0</v>
      </c>
      <c r="K302" s="330">
        <v>0</v>
      </c>
      <c r="L302" s="330">
        <v>0</v>
      </c>
      <c r="M302" s="330">
        <v>0</v>
      </c>
      <c r="N302" s="330">
        <v>0</v>
      </c>
      <c r="O302" s="335">
        <v>0</v>
      </c>
      <c r="P302" s="330">
        <v>0</v>
      </c>
      <c r="Q302" s="330">
        <v>0</v>
      </c>
      <c r="R302" s="330">
        <v>0</v>
      </c>
      <c r="S302" s="330">
        <v>0</v>
      </c>
      <c r="T302" s="335">
        <v>0</v>
      </c>
      <c r="U302" s="330">
        <v>0</v>
      </c>
      <c r="V302" s="330">
        <v>0</v>
      </c>
      <c r="W302" s="330">
        <v>0</v>
      </c>
      <c r="X302" s="495">
        <v>0</v>
      </c>
      <c r="Y302" s="332">
        <v>0</v>
      </c>
      <c r="Z302" s="330">
        <v>0</v>
      </c>
      <c r="AA302" s="330">
        <v>0</v>
      </c>
      <c r="AB302" s="330">
        <v>0</v>
      </c>
      <c r="AC302" s="335">
        <v>0</v>
      </c>
      <c r="AD302" s="330">
        <v>0</v>
      </c>
      <c r="AE302" s="330">
        <v>0</v>
      </c>
      <c r="AF302" s="330">
        <v>0</v>
      </c>
      <c r="AG302" s="495">
        <v>0</v>
      </c>
      <c r="AH302" s="335">
        <v>0</v>
      </c>
      <c r="AI302" s="330">
        <v>0</v>
      </c>
      <c r="AJ302" s="330">
        <v>0</v>
      </c>
      <c r="AK302" s="330">
        <v>0</v>
      </c>
      <c r="AL302" s="285"/>
      <c r="AM302" s="275"/>
      <c r="AN302" s="275"/>
      <c r="AO302" s="275"/>
      <c r="AP302" s="275"/>
      <c r="AQ302" s="275"/>
      <c r="AR302" s="275"/>
      <c r="AS302" s="275"/>
      <c r="AT302" s="275"/>
      <c r="AU302" s="275"/>
      <c r="AV302" s="275"/>
      <c r="AW302" s="275"/>
      <c r="AX302" s="275"/>
      <c r="AY302" s="275"/>
    </row>
    <row r="303" spans="1:51" s="283" customFormat="1" ht="126" customHeight="1" outlineLevel="1" x14ac:dyDescent="0.25">
      <c r="A303" s="341" t="s">
        <v>825</v>
      </c>
      <c r="B303" s="342" t="s">
        <v>826</v>
      </c>
      <c r="C303" s="341">
        <f t="shared" si="74"/>
        <v>35.299999999999997</v>
      </c>
      <c r="D303" s="314">
        <f t="shared" si="73"/>
        <v>34818.559999999998</v>
      </c>
      <c r="E303" s="343">
        <v>35.299999999999997</v>
      </c>
      <c r="F303" s="318">
        <f t="shared" si="75"/>
        <v>34818.559999999998</v>
      </c>
      <c r="G303" s="314">
        <v>32903.54</v>
      </c>
      <c r="H303" s="314">
        <v>1915.02</v>
      </c>
      <c r="I303" s="314">
        <v>0</v>
      </c>
      <c r="J303" s="335">
        <v>0</v>
      </c>
      <c r="K303" s="330">
        <v>0</v>
      </c>
      <c r="L303" s="330">
        <v>0</v>
      </c>
      <c r="M303" s="330">
        <v>0</v>
      </c>
      <c r="N303" s="330">
        <v>0</v>
      </c>
      <c r="O303" s="335">
        <v>0</v>
      </c>
      <c r="P303" s="330">
        <v>0</v>
      </c>
      <c r="Q303" s="330">
        <v>0</v>
      </c>
      <c r="R303" s="330">
        <v>0</v>
      </c>
      <c r="S303" s="330">
        <v>0</v>
      </c>
      <c r="T303" s="335">
        <v>0</v>
      </c>
      <c r="U303" s="330">
        <v>0</v>
      </c>
      <c r="V303" s="330">
        <v>0</v>
      </c>
      <c r="W303" s="330">
        <v>0</v>
      </c>
      <c r="X303" s="495">
        <v>0</v>
      </c>
      <c r="Y303" s="332">
        <v>0</v>
      </c>
      <c r="Z303" s="330">
        <v>0</v>
      </c>
      <c r="AA303" s="330">
        <v>0</v>
      </c>
      <c r="AB303" s="330">
        <v>0</v>
      </c>
      <c r="AC303" s="335">
        <v>0</v>
      </c>
      <c r="AD303" s="330">
        <v>0</v>
      </c>
      <c r="AE303" s="330">
        <v>0</v>
      </c>
      <c r="AF303" s="330">
        <v>0</v>
      </c>
      <c r="AG303" s="495">
        <v>0</v>
      </c>
      <c r="AH303" s="335">
        <v>0</v>
      </c>
      <c r="AI303" s="330">
        <v>0</v>
      </c>
      <c r="AJ303" s="330">
        <v>0</v>
      </c>
      <c r="AK303" s="330">
        <v>0</v>
      </c>
      <c r="AL303" s="285"/>
      <c r="AM303" s="275"/>
      <c r="AN303" s="275"/>
      <c r="AO303" s="275"/>
      <c r="AP303" s="275"/>
      <c r="AQ303" s="275"/>
      <c r="AR303" s="275"/>
      <c r="AS303" s="275"/>
      <c r="AT303" s="275"/>
      <c r="AU303" s="275"/>
      <c r="AV303" s="275"/>
      <c r="AW303" s="275"/>
      <c r="AX303" s="275"/>
      <c r="AY303" s="275"/>
    </row>
    <row r="304" spans="1:51" s="283" customFormat="1" ht="233.4" customHeight="1" outlineLevel="1" x14ac:dyDescent="0.25">
      <c r="A304" s="314" t="s">
        <v>827</v>
      </c>
      <c r="B304" s="320" t="s">
        <v>828</v>
      </c>
      <c r="C304" s="341">
        <f t="shared" si="74"/>
        <v>3.45</v>
      </c>
      <c r="D304" s="314">
        <f t="shared" si="73"/>
        <v>2706</v>
      </c>
      <c r="E304" s="343">
        <v>3.45</v>
      </c>
      <c r="F304" s="318">
        <f t="shared" si="75"/>
        <v>2706</v>
      </c>
      <c r="G304" s="314">
        <v>2557.17</v>
      </c>
      <c r="H304" s="314">
        <v>148.83000000000001</v>
      </c>
      <c r="I304" s="314">
        <v>0</v>
      </c>
      <c r="J304" s="335">
        <v>0</v>
      </c>
      <c r="K304" s="330">
        <v>0</v>
      </c>
      <c r="L304" s="330">
        <v>0</v>
      </c>
      <c r="M304" s="330">
        <v>0</v>
      </c>
      <c r="N304" s="330">
        <v>0</v>
      </c>
      <c r="O304" s="335">
        <v>0</v>
      </c>
      <c r="P304" s="330">
        <v>0</v>
      </c>
      <c r="Q304" s="330">
        <v>0</v>
      </c>
      <c r="R304" s="330">
        <v>0</v>
      </c>
      <c r="S304" s="330">
        <v>0</v>
      </c>
      <c r="T304" s="335">
        <v>0</v>
      </c>
      <c r="U304" s="330">
        <v>0</v>
      </c>
      <c r="V304" s="330">
        <v>0</v>
      </c>
      <c r="W304" s="330">
        <v>0</v>
      </c>
      <c r="X304" s="495">
        <v>0</v>
      </c>
      <c r="Y304" s="332">
        <v>0</v>
      </c>
      <c r="Z304" s="330">
        <v>0</v>
      </c>
      <c r="AA304" s="330">
        <v>0</v>
      </c>
      <c r="AB304" s="330">
        <v>0</v>
      </c>
      <c r="AC304" s="335">
        <v>0</v>
      </c>
      <c r="AD304" s="330">
        <v>0</v>
      </c>
      <c r="AE304" s="330">
        <v>0</v>
      </c>
      <c r="AF304" s="330">
        <v>0</v>
      </c>
      <c r="AG304" s="495">
        <v>0</v>
      </c>
      <c r="AH304" s="335">
        <v>0</v>
      </c>
      <c r="AI304" s="330">
        <v>0</v>
      </c>
      <c r="AJ304" s="330">
        <v>0</v>
      </c>
      <c r="AK304" s="330">
        <v>0</v>
      </c>
      <c r="AL304" s="285"/>
      <c r="AM304" s="275"/>
      <c r="AN304" s="275"/>
      <c r="AO304" s="275"/>
      <c r="AP304" s="275"/>
      <c r="AQ304" s="275"/>
      <c r="AR304" s="275"/>
      <c r="AS304" s="275"/>
      <c r="AT304" s="275"/>
      <c r="AU304" s="275"/>
      <c r="AV304" s="275"/>
      <c r="AW304" s="275"/>
      <c r="AX304" s="275"/>
      <c r="AY304" s="275"/>
    </row>
    <row r="305" spans="1:51" s="283" customFormat="1" ht="119.4" customHeight="1" outlineLevel="1" x14ac:dyDescent="0.25">
      <c r="A305" s="341" t="s">
        <v>829</v>
      </c>
      <c r="B305" s="342" t="s">
        <v>830</v>
      </c>
      <c r="C305" s="341">
        <f t="shared" si="74"/>
        <v>49.3</v>
      </c>
      <c r="D305" s="314">
        <f t="shared" si="73"/>
        <v>53771.93</v>
      </c>
      <c r="E305" s="343">
        <v>49.3</v>
      </c>
      <c r="F305" s="318">
        <f t="shared" si="75"/>
        <v>53771.93</v>
      </c>
      <c r="G305" s="314">
        <v>50814.47</v>
      </c>
      <c r="H305" s="314">
        <v>2957.46</v>
      </c>
      <c r="I305" s="314">
        <v>0</v>
      </c>
      <c r="J305" s="335">
        <v>0</v>
      </c>
      <c r="K305" s="330">
        <v>0</v>
      </c>
      <c r="L305" s="330">
        <v>0</v>
      </c>
      <c r="M305" s="330">
        <v>0</v>
      </c>
      <c r="N305" s="330">
        <v>0</v>
      </c>
      <c r="O305" s="335">
        <v>0</v>
      </c>
      <c r="P305" s="330">
        <v>0</v>
      </c>
      <c r="Q305" s="330">
        <v>0</v>
      </c>
      <c r="R305" s="330">
        <v>0</v>
      </c>
      <c r="S305" s="330">
        <v>0</v>
      </c>
      <c r="T305" s="335">
        <v>0</v>
      </c>
      <c r="U305" s="330">
        <v>0</v>
      </c>
      <c r="V305" s="330">
        <v>0</v>
      </c>
      <c r="W305" s="330">
        <v>0</v>
      </c>
      <c r="X305" s="495">
        <v>0</v>
      </c>
      <c r="Y305" s="332">
        <v>0</v>
      </c>
      <c r="Z305" s="330">
        <v>0</v>
      </c>
      <c r="AA305" s="330">
        <v>0</v>
      </c>
      <c r="AB305" s="330">
        <v>0</v>
      </c>
      <c r="AC305" s="335">
        <v>0</v>
      </c>
      <c r="AD305" s="330">
        <v>0</v>
      </c>
      <c r="AE305" s="330">
        <v>0</v>
      </c>
      <c r="AF305" s="330">
        <v>0</v>
      </c>
      <c r="AG305" s="495">
        <v>0</v>
      </c>
      <c r="AH305" s="335">
        <v>0</v>
      </c>
      <c r="AI305" s="330">
        <v>0</v>
      </c>
      <c r="AJ305" s="330">
        <v>0</v>
      </c>
      <c r="AK305" s="330">
        <v>0</v>
      </c>
      <c r="AL305" s="285"/>
      <c r="AM305" s="275"/>
      <c r="AN305" s="275"/>
      <c r="AO305" s="275"/>
      <c r="AP305" s="275"/>
      <c r="AQ305" s="275"/>
      <c r="AR305" s="275"/>
      <c r="AS305" s="275"/>
      <c r="AT305" s="275"/>
      <c r="AU305" s="275"/>
      <c r="AV305" s="275"/>
      <c r="AW305" s="275"/>
      <c r="AX305" s="275"/>
      <c r="AY305" s="275"/>
    </row>
    <row r="306" spans="1:51" s="283" customFormat="1" ht="122.4" customHeight="1" outlineLevel="1" x14ac:dyDescent="0.25">
      <c r="A306" s="341" t="s">
        <v>831</v>
      </c>
      <c r="B306" s="342" t="s">
        <v>832</v>
      </c>
      <c r="C306" s="341">
        <f t="shared" si="74"/>
        <v>17.559999999999999</v>
      </c>
      <c r="D306" s="314">
        <f t="shared" si="73"/>
        <v>19275.09</v>
      </c>
      <c r="E306" s="343">
        <v>17.559999999999999</v>
      </c>
      <c r="F306" s="318">
        <f t="shared" si="75"/>
        <v>19275.09</v>
      </c>
      <c r="G306" s="314">
        <v>18214.96</v>
      </c>
      <c r="H306" s="314">
        <v>1060.1300000000001</v>
      </c>
      <c r="I306" s="314">
        <v>0</v>
      </c>
      <c r="J306" s="335">
        <v>0</v>
      </c>
      <c r="K306" s="330">
        <v>0</v>
      </c>
      <c r="L306" s="330">
        <v>0</v>
      </c>
      <c r="M306" s="330">
        <v>0</v>
      </c>
      <c r="N306" s="330">
        <v>0</v>
      </c>
      <c r="O306" s="335">
        <v>0</v>
      </c>
      <c r="P306" s="330">
        <v>0</v>
      </c>
      <c r="Q306" s="330">
        <v>0</v>
      </c>
      <c r="R306" s="330">
        <v>0</v>
      </c>
      <c r="S306" s="330">
        <v>0</v>
      </c>
      <c r="T306" s="335">
        <v>0</v>
      </c>
      <c r="U306" s="330">
        <v>0</v>
      </c>
      <c r="V306" s="330">
        <v>0</v>
      </c>
      <c r="W306" s="330">
        <v>0</v>
      </c>
      <c r="X306" s="495">
        <v>0</v>
      </c>
      <c r="Y306" s="332">
        <v>0</v>
      </c>
      <c r="Z306" s="330">
        <v>0</v>
      </c>
      <c r="AA306" s="330">
        <v>0</v>
      </c>
      <c r="AB306" s="330">
        <v>0</v>
      </c>
      <c r="AC306" s="335">
        <v>0</v>
      </c>
      <c r="AD306" s="330">
        <v>0</v>
      </c>
      <c r="AE306" s="330">
        <v>0</v>
      </c>
      <c r="AF306" s="330">
        <v>0</v>
      </c>
      <c r="AG306" s="495">
        <v>0</v>
      </c>
      <c r="AH306" s="335">
        <v>0</v>
      </c>
      <c r="AI306" s="330">
        <v>0</v>
      </c>
      <c r="AJ306" s="330">
        <v>0</v>
      </c>
      <c r="AK306" s="330">
        <v>0</v>
      </c>
      <c r="AL306" s="285"/>
      <c r="AM306" s="275"/>
      <c r="AN306" s="275"/>
      <c r="AO306" s="275"/>
      <c r="AP306" s="275"/>
      <c r="AQ306" s="275"/>
      <c r="AR306" s="275"/>
      <c r="AS306" s="275"/>
      <c r="AT306" s="275"/>
      <c r="AU306" s="275"/>
      <c r="AV306" s="275"/>
      <c r="AW306" s="275"/>
      <c r="AX306" s="275"/>
      <c r="AY306" s="275"/>
    </row>
    <row r="307" spans="1:51" s="283" customFormat="1" ht="96.6" customHeight="1" outlineLevel="1" x14ac:dyDescent="0.25">
      <c r="A307" s="314" t="s">
        <v>833</v>
      </c>
      <c r="B307" s="320" t="s">
        <v>834</v>
      </c>
      <c r="C307" s="341">
        <f t="shared" si="74"/>
        <v>50.47</v>
      </c>
      <c r="D307" s="314">
        <f t="shared" si="73"/>
        <v>43893.25</v>
      </c>
      <c r="E307" s="343">
        <v>50.47</v>
      </c>
      <c r="F307" s="318">
        <f t="shared" si="75"/>
        <v>43893.25</v>
      </c>
      <c r="G307" s="314">
        <v>41479.120000000003</v>
      </c>
      <c r="H307" s="314">
        <v>2414.13</v>
      </c>
      <c r="I307" s="314">
        <v>0</v>
      </c>
      <c r="J307" s="335">
        <v>0</v>
      </c>
      <c r="K307" s="330">
        <v>0</v>
      </c>
      <c r="L307" s="330">
        <v>0</v>
      </c>
      <c r="M307" s="330">
        <v>0</v>
      </c>
      <c r="N307" s="330">
        <v>0</v>
      </c>
      <c r="O307" s="335">
        <v>0</v>
      </c>
      <c r="P307" s="330">
        <v>0</v>
      </c>
      <c r="Q307" s="330">
        <v>0</v>
      </c>
      <c r="R307" s="330">
        <v>0</v>
      </c>
      <c r="S307" s="330">
        <v>0</v>
      </c>
      <c r="T307" s="335">
        <v>0</v>
      </c>
      <c r="U307" s="330">
        <v>0</v>
      </c>
      <c r="V307" s="330">
        <v>0</v>
      </c>
      <c r="W307" s="330">
        <v>0</v>
      </c>
      <c r="X307" s="495">
        <v>0</v>
      </c>
      <c r="Y307" s="332">
        <v>0</v>
      </c>
      <c r="Z307" s="330">
        <v>0</v>
      </c>
      <c r="AA307" s="330">
        <v>0</v>
      </c>
      <c r="AB307" s="330">
        <v>0</v>
      </c>
      <c r="AC307" s="335">
        <v>0</v>
      </c>
      <c r="AD307" s="330">
        <v>0</v>
      </c>
      <c r="AE307" s="330">
        <v>0</v>
      </c>
      <c r="AF307" s="330">
        <v>0</v>
      </c>
      <c r="AG307" s="495">
        <v>0</v>
      </c>
      <c r="AH307" s="335">
        <v>0</v>
      </c>
      <c r="AI307" s="330">
        <v>0</v>
      </c>
      <c r="AJ307" s="330">
        <v>0</v>
      </c>
      <c r="AK307" s="330">
        <v>0</v>
      </c>
      <c r="AL307" s="285"/>
      <c r="AM307" s="275"/>
      <c r="AN307" s="275"/>
      <c r="AO307" s="275"/>
      <c r="AP307" s="275"/>
      <c r="AQ307" s="275"/>
      <c r="AR307" s="275"/>
      <c r="AS307" s="275"/>
      <c r="AT307" s="275"/>
      <c r="AU307" s="275"/>
      <c r="AV307" s="275"/>
      <c r="AW307" s="275"/>
      <c r="AX307" s="275"/>
      <c r="AY307" s="275"/>
    </row>
    <row r="308" spans="1:51" s="283" customFormat="1" ht="80.400000000000006" customHeight="1" outlineLevel="1" x14ac:dyDescent="0.25">
      <c r="A308" s="314" t="s">
        <v>835</v>
      </c>
      <c r="B308" s="320" t="s">
        <v>836</v>
      </c>
      <c r="C308" s="341">
        <f t="shared" si="74"/>
        <v>10.56</v>
      </c>
      <c r="D308" s="314">
        <f t="shared" si="73"/>
        <v>8304.41</v>
      </c>
      <c r="E308" s="343">
        <v>10.56</v>
      </c>
      <c r="F308" s="318">
        <f t="shared" si="75"/>
        <v>8304.41</v>
      </c>
      <c r="G308" s="314">
        <v>7847.67</v>
      </c>
      <c r="H308" s="314">
        <v>456.74</v>
      </c>
      <c r="I308" s="314">
        <v>0</v>
      </c>
      <c r="J308" s="335">
        <v>0</v>
      </c>
      <c r="K308" s="330">
        <v>0</v>
      </c>
      <c r="L308" s="330">
        <v>0</v>
      </c>
      <c r="M308" s="330">
        <v>0</v>
      </c>
      <c r="N308" s="330">
        <v>0</v>
      </c>
      <c r="O308" s="335">
        <v>0</v>
      </c>
      <c r="P308" s="330">
        <v>0</v>
      </c>
      <c r="Q308" s="330">
        <v>0</v>
      </c>
      <c r="R308" s="330">
        <v>0</v>
      </c>
      <c r="S308" s="330">
        <v>0</v>
      </c>
      <c r="T308" s="335">
        <v>0</v>
      </c>
      <c r="U308" s="330">
        <v>0</v>
      </c>
      <c r="V308" s="330">
        <v>0</v>
      </c>
      <c r="W308" s="330">
        <v>0</v>
      </c>
      <c r="X308" s="495">
        <v>0</v>
      </c>
      <c r="Y308" s="332">
        <v>0</v>
      </c>
      <c r="Z308" s="330">
        <v>0</v>
      </c>
      <c r="AA308" s="330">
        <v>0</v>
      </c>
      <c r="AB308" s="330">
        <v>0</v>
      </c>
      <c r="AC308" s="335">
        <v>0</v>
      </c>
      <c r="AD308" s="330">
        <v>0</v>
      </c>
      <c r="AE308" s="330">
        <v>0</v>
      </c>
      <c r="AF308" s="330">
        <v>0</v>
      </c>
      <c r="AG308" s="495">
        <v>0</v>
      </c>
      <c r="AH308" s="335">
        <v>0</v>
      </c>
      <c r="AI308" s="330">
        <v>0</v>
      </c>
      <c r="AJ308" s="330">
        <v>0</v>
      </c>
      <c r="AK308" s="330">
        <v>0</v>
      </c>
      <c r="AL308" s="285"/>
      <c r="AM308" s="275"/>
      <c r="AN308" s="275"/>
      <c r="AO308" s="275"/>
      <c r="AP308" s="275"/>
      <c r="AQ308" s="275"/>
      <c r="AR308" s="275"/>
      <c r="AS308" s="275"/>
      <c r="AT308" s="275"/>
      <c r="AU308" s="275"/>
      <c r="AV308" s="275"/>
      <c r="AW308" s="275"/>
      <c r="AX308" s="275"/>
      <c r="AY308" s="275"/>
    </row>
    <row r="309" spans="1:51" s="283" customFormat="1" ht="54.6" customHeight="1" outlineLevel="1" x14ac:dyDescent="0.25">
      <c r="A309" s="341" t="s">
        <v>837</v>
      </c>
      <c r="B309" s="342" t="s">
        <v>838</v>
      </c>
      <c r="C309" s="341">
        <f t="shared" si="74"/>
        <v>19.170000000000002</v>
      </c>
      <c r="D309" s="314">
        <f t="shared" si="73"/>
        <v>16907.82</v>
      </c>
      <c r="E309" s="343">
        <v>19.170000000000002</v>
      </c>
      <c r="F309" s="318">
        <f t="shared" si="75"/>
        <v>16907.82</v>
      </c>
      <c r="G309" s="314">
        <v>15977.89</v>
      </c>
      <c r="H309" s="314">
        <v>929.93</v>
      </c>
      <c r="I309" s="314">
        <v>0</v>
      </c>
      <c r="J309" s="335">
        <v>0</v>
      </c>
      <c r="K309" s="330">
        <v>0</v>
      </c>
      <c r="L309" s="330">
        <v>0</v>
      </c>
      <c r="M309" s="330">
        <v>0</v>
      </c>
      <c r="N309" s="330">
        <v>0</v>
      </c>
      <c r="O309" s="335">
        <v>0</v>
      </c>
      <c r="P309" s="330">
        <v>0</v>
      </c>
      <c r="Q309" s="330">
        <v>0</v>
      </c>
      <c r="R309" s="330">
        <v>0</v>
      </c>
      <c r="S309" s="330">
        <v>0</v>
      </c>
      <c r="T309" s="335">
        <v>0</v>
      </c>
      <c r="U309" s="330">
        <v>0</v>
      </c>
      <c r="V309" s="330">
        <v>0</v>
      </c>
      <c r="W309" s="330">
        <v>0</v>
      </c>
      <c r="X309" s="495">
        <v>0</v>
      </c>
      <c r="Y309" s="332">
        <v>0</v>
      </c>
      <c r="Z309" s="330">
        <v>0</v>
      </c>
      <c r="AA309" s="330">
        <v>0</v>
      </c>
      <c r="AB309" s="330">
        <v>0</v>
      </c>
      <c r="AC309" s="335">
        <v>0</v>
      </c>
      <c r="AD309" s="330">
        <v>0</v>
      </c>
      <c r="AE309" s="330">
        <v>0</v>
      </c>
      <c r="AF309" s="330">
        <v>0</v>
      </c>
      <c r="AG309" s="495">
        <v>0</v>
      </c>
      <c r="AH309" s="335">
        <v>0</v>
      </c>
      <c r="AI309" s="330">
        <v>0</v>
      </c>
      <c r="AJ309" s="330">
        <v>0</v>
      </c>
      <c r="AK309" s="330">
        <v>0</v>
      </c>
      <c r="AL309" s="285"/>
      <c r="AM309" s="275"/>
      <c r="AN309" s="275"/>
      <c r="AO309" s="275"/>
      <c r="AP309" s="275"/>
      <c r="AQ309" s="275"/>
      <c r="AR309" s="275"/>
      <c r="AS309" s="275"/>
      <c r="AT309" s="275"/>
      <c r="AU309" s="275"/>
      <c r="AV309" s="275"/>
      <c r="AW309" s="275"/>
      <c r="AX309" s="275"/>
      <c r="AY309" s="275"/>
    </row>
    <row r="310" spans="1:51" s="283" customFormat="1" ht="175.95" customHeight="1" outlineLevel="1" x14ac:dyDescent="0.25">
      <c r="A310" s="314" t="s">
        <v>839</v>
      </c>
      <c r="B310" s="320" t="s">
        <v>840</v>
      </c>
      <c r="C310" s="341">
        <f t="shared" si="74"/>
        <v>5.94</v>
      </c>
      <c r="D310" s="314">
        <f t="shared" si="73"/>
        <v>4640.24</v>
      </c>
      <c r="E310" s="343">
        <v>5.94</v>
      </c>
      <c r="F310" s="318">
        <f t="shared" si="75"/>
        <v>4640.24</v>
      </c>
      <c r="G310" s="314">
        <v>4385.03</v>
      </c>
      <c r="H310" s="314">
        <v>255.21</v>
      </c>
      <c r="I310" s="314">
        <v>0</v>
      </c>
      <c r="J310" s="335">
        <v>0</v>
      </c>
      <c r="K310" s="330">
        <v>0</v>
      </c>
      <c r="L310" s="330">
        <v>0</v>
      </c>
      <c r="M310" s="330">
        <v>0</v>
      </c>
      <c r="N310" s="330">
        <v>0</v>
      </c>
      <c r="O310" s="335">
        <v>0</v>
      </c>
      <c r="P310" s="330">
        <v>0</v>
      </c>
      <c r="Q310" s="330">
        <v>0</v>
      </c>
      <c r="R310" s="330">
        <v>0</v>
      </c>
      <c r="S310" s="330">
        <v>0</v>
      </c>
      <c r="T310" s="335">
        <v>0</v>
      </c>
      <c r="U310" s="330">
        <v>0</v>
      </c>
      <c r="V310" s="330">
        <v>0</v>
      </c>
      <c r="W310" s="330">
        <v>0</v>
      </c>
      <c r="X310" s="495">
        <v>0</v>
      </c>
      <c r="Y310" s="332">
        <v>0</v>
      </c>
      <c r="Z310" s="330">
        <v>0</v>
      </c>
      <c r="AA310" s="330">
        <v>0</v>
      </c>
      <c r="AB310" s="330">
        <v>0</v>
      </c>
      <c r="AC310" s="335">
        <v>0</v>
      </c>
      <c r="AD310" s="330">
        <v>0</v>
      </c>
      <c r="AE310" s="330">
        <v>0</v>
      </c>
      <c r="AF310" s="330">
        <v>0</v>
      </c>
      <c r="AG310" s="495">
        <v>0</v>
      </c>
      <c r="AH310" s="335">
        <v>0</v>
      </c>
      <c r="AI310" s="330">
        <v>0</v>
      </c>
      <c r="AJ310" s="330">
        <v>0</v>
      </c>
      <c r="AK310" s="330">
        <v>0</v>
      </c>
      <c r="AL310" s="285"/>
      <c r="AM310" s="275"/>
      <c r="AN310" s="275"/>
      <c r="AO310" s="275"/>
      <c r="AP310" s="275"/>
      <c r="AQ310" s="275"/>
      <c r="AR310" s="275"/>
      <c r="AS310" s="275"/>
      <c r="AT310" s="275"/>
      <c r="AU310" s="275"/>
      <c r="AV310" s="275"/>
      <c r="AW310" s="275"/>
      <c r="AX310" s="275"/>
      <c r="AY310" s="275"/>
    </row>
    <row r="311" spans="1:51" s="283" customFormat="1" ht="145.94999999999999" customHeight="1" outlineLevel="1" x14ac:dyDescent="0.25">
      <c r="A311" s="314" t="s">
        <v>841</v>
      </c>
      <c r="B311" s="320" t="s">
        <v>842</v>
      </c>
      <c r="C311" s="341">
        <f t="shared" si="74"/>
        <v>4.3</v>
      </c>
      <c r="D311" s="314">
        <f t="shared" si="73"/>
        <v>3387.05</v>
      </c>
      <c r="E311" s="343">
        <v>4.3</v>
      </c>
      <c r="F311" s="318">
        <f t="shared" si="75"/>
        <v>3387.05</v>
      </c>
      <c r="G311" s="314">
        <v>3200.76</v>
      </c>
      <c r="H311" s="314">
        <v>186.29</v>
      </c>
      <c r="I311" s="314">
        <v>0</v>
      </c>
      <c r="J311" s="335">
        <v>0</v>
      </c>
      <c r="K311" s="330">
        <v>0</v>
      </c>
      <c r="L311" s="330">
        <v>0</v>
      </c>
      <c r="M311" s="330">
        <v>0</v>
      </c>
      <c r="N311" s="330">
        <v>0</v>
      </c>
      <c r="O311" s="335">
        <v>0</v>
      </c>
      <c r="P311" s="330">
        <v>0</v>
      </c>
      <c r="Q311" s="330">
        <v>0</v>
      </c>
      <c r="R311" s="330">
        <v>0</v>
      </c>
      <c r="S311" s="330">
        <v>0</v>
      </c>
      <c r="T311" s="335">
        <v>0</v>
      </c>
      <c r="U311" s="330">
        <v>0</v>
      </c>
      <c r="V311" s="330">
        <v>0</v>
      </c>
      <c r="W311" s="330">
        <v>0</v>
      </c>
      <c r="X311" s="495">
        <v>0</v>
      </c>
      <c r="Y311" s="332">
        <v>0</v>
      </c>
      <c r="Z311" s="330">
        <v>0</v>
      </c>
      <c r="AA311" s="330">
        <v>0</v>
      </c>
      <c r="AB311" s="330">
        <v>0</v>
      </c>
      <c r="AC311" s="335">
        <v>0</v>
      </c>
      <c r="AD311" s="330">
        <v>0</v>
      </c>
      <c r="AE311" s="330">
        <v>0</v>
      </c>
      <c r="AF311" s="330">
        <v>0</v>
      </c>
      <c r="AG311" s="495">
        <v>0</v>
      </c>
      <c r="AH311" s="335">
        <v>0</v>
      </c>
      <c r="AI311" s="330">
        <v>0</v>
      </c>
      <c r="AJ311" s="330">
        <v>0</v>
      </c>
      <c r="AK311" s="330">
        <v>0</v>
      </c>
      <c r="AL311" s="285"/>
      <c r="AM311" s="275"/>
      <c r="AN311" s="275"/>
      <c r="AO311" s="275"/>
      <c r="AP311" s="275"/>
      <c r="AQ311" s="275"/>
      <c r="AR311" s="275"/>
      <c r="AS311" s="275"/>
      <c r="AT311" s="275"/>
      <c r="AU311" s="275"/>
      <c r="AV311" s="275"/>
      <c r="AW311" s="275"/>
      <c r="AX311" s="275"/>
      <c r="AY311" s="275"/>
    </row>
    <row r="312" spans="1:51" s="283" customFormat="1" ht="99" customHeight="1" outlineLevel="1" x14ac:dyDescent="0.25">
      <c r="A312" s="314" t="s">
        <v>843</v>
      </c>
      <c r="B312" s="320" t="s">
        <v>844</v>
      </c>
      <c r="C312" s="341">
        <f t="shared" si="74"/>
        <v>3.22</v>
      </c>
      <c r="D312" s="314">
        <f t="shared" si="73"/>
        <v>2970.84</v>
      </c>
      <c r="E312" s="343">
        <v>3.22</v>
      </c>
      <c r="F312" s="318">
        <f t="shared" si="75"/>
        <v>2970.84</v>
      </c>
      <c r="G312" s="314">
        <v>2807.44</v>
      </c>
      <c r="H312" s="314">
        <v>163.4</v>
      </c>
      <c r="I312" s="314">
        <v>0</v>
      </c>
      <c r="J312" s="335">
        <v>0</v>
      </c>
      <c r="K312" s="330">
        <v>0</v>
      </c>
      <c r="L312" s="330">
        <v>0</v>
      </c>
      <c r="M312" s="330">
        <v>0</v>
      </c>
      <c r="N312" s="330">
        <v>0</v>
      </c>
      <c r="O312" s="335">
        <v>0</v>
      </c>
      <c r="P312" s="330">
        <v>0</v>
      </c>
      <c r="Q312" s="330">
        <v>0</v>
      </c>
      <c r="R312" s="330">
        <v>0</v>
      </c>
      <c r="S312" s="330">
        <v>0</v>
      </c>
      <c r="T312" s="335">
        <v>0</v>
      </c>
      <c r="U312" s="330">
        <v>0</v>
      </c>
      <c r="V312" s="330">
        <v>0</v>
      </c>
      <c r="W312" s="330">
        <v>0</v>
      </c>
      <c r="X312" s="495">
        <v>0</v>
      </c>
      <c r="Y312" s="332">
        <v>0</v>
      </c>
      <c r="Z312" s="330">
        <v>0</v>
      </c>
      <c r="AA312" s="330">
        <v>0</v>
      </c>
      <c r="AB312" s="330">
        <v>0</v>
      </c>
      <c r="AC312" s="335">
        <v>0</v>
      </c>
      <c r="AD312" s="330">
        <v>0</v>
      </c>
      <c r="AE312" s="330">
        <v>0</v>
      </c>
      <c r="AF312" s="330">
        <v>0</v>
      </c>
      <c r="AG312" s="495">
        <v>0</v>
      </c>
      <c r="AH312" s="335">
        <v>0</v>
      </c>
      <c r="AI312" s="330">
        <v>0</v>
      </c>
      <c r="AJ312" s="330">
        <v>0</v>
      </c>
      <c r="AK312" s="330">
        <v>0</v>
      </c>
      <c r="AL312" s="285"/>
      <c r="AM312" s="275"/>
      <c r="AN312" s="275"/>
      <c r="AO312" s="275"/>
      <c r="AP312" s="275"/>
      <c r="AQ312" s="275"/>
      <c r="AR312" s="275"/>
      <c r="AS312" s="275"/>
      <c r="AT312" s="275"/>
      <c r="AU312" s="275"/>
      <c r="AV312" s="275"/>
      <c r="AW312" s="275"/>
      <c r="AX312" s="275"/>
      <c r="AY312" s="275"/>
    </row>
    <row r="313" spans="1:51" s="283" customFormat="1" ht="94.2" customHeight="1" outlineLevel="1" x14ac:dyDescent="0.25">
      <c r="A313" s="314" t="s">
        <v>845</v>
      </c>
      <c r="B313" s="320" t="s">
        <v>846</v>
      </c>
      <c r="C313" s="341">
        <f t="shared" si="74"/>
        <v>45.09</v>
      </c>
      <c r="D313" s="314">
        <f t="shared" si="73"/>
        <v>41560.030000000006</v>
      </c>
      <c r="E313" s="343">
        <v>45.09</v>
      </c>
      <c r="F313" s="318">
        <f t="shared" si="75"/>
        <v>41560.030000000006</v>
      </c>
      <c r="G313" s="314">
        <v>39274.230000000003</v>
      </c>
      <c r="H313" s="314">
        <v>2285.8000000000002</v>
      </c>
      <c r="I313" s="314">
        <v>0</v>
      </c>
      <c r="J313" s="335">
        <v>0</v>
      </c>
      <c r="K313" s="330">
        <v>0</v>
      </c>
      <c r="L313" s="330">
        <v>0</v>
      </c>
      <c r="M313" s="330">
        <v>0</v>
      </c>
      <c r="N313" s="330">
        <v>0</v>
      </c>
      <c r="O313" s="335">
        <v>0</v>
      </c>
      <c r="P313" s="330">
        <v>0</v>
      </c>
      <c r="Q313" s="330">
        <v>0</v>
      </c>
      <c r="R313" s="330">
        <v>0</v>
      </c>
      <c r="S313" s="330">
        <v>0</v>
      </c>
      <c r="T313" s="335">
        <v>0</v>
      </c>
      <c r="U313" s="330">
        <v>0</v>
      </c>
      <c r="V313" s="330">
        <v>0</v>
      </c>
      <c r="W313" s="330">
        <v>0</v>
      </c>
      <c r="X313" s="495">
        <v>0</v>
      </c>
      <c r="Y313" s="332">
        <v>0</v>
      </c>
      <c r="Z313" s="330">
        <v>0</v>
      </c>
      <c r="AA313" s="330">
        <v>0</v>
      </c>
      <c r="AB313" s="330">
        <v>0</v>
      </c>
      <c r="AC313" s="335">
        <v>0</v>
      </c>
      <c r="AD313" s="330">
        <v>0</v>
      </c>
      <c r="AE313" s="330">
        <v>0</v>
      </c>
      <c r="AF313" s="330">
        <v>0</v>
      </c>
      <c r="AG313" s="495">
        <v>0</v>
      </c>
      <c r="AH313" s="335">
        <v>0</v>
      </c>
      <c r="AI313" s="330">
        <v>0</v>
      </c>
      <c r="AJ313" s="330">
        <v>0</v>
      </c>
      <c r="AK313" s="330">
        <v>0</v>
      </c>
      <c r="AL313" s="285"/>
      <c r="AM313" s="275"/>
      <c r="AN313" s="275"/>
      <c r="AO313" s="275"/>
      <c r="AP313" s="275"/>
      <c r="AQ313" s="275"/>
      <c r="AR313" s="275"/>
      <c r="AS313" s="275"/>
      <c r="AT313" s="275"/>
      <c r="AU313" s="275"/>
      <c r="AV313" s="275"/>
      <c r="AW313" s="275"/>
      <c r="AX313" s="275"/>
      <c r="AY313" s="275"/>
    </row>
    <row r="314" spans="1:51" s="283" customFormat="1" ht="63.6" customHeight="1" outlineLevel="1" x14ac:dyDescent="0.25">
      <c r="A314" s="341" t="s">
        <v>847</v>
      </c>
      <c r="B314" s="342" t="s">
        <v>848</v>
      </c>
      <c r="C314" s="341">
        <f t="shared" si="74"/>
        <v>43.74</v>
      </c>
      <c r="D314" s="314">
        <f t="shared" si="73"/>
        <v>53546.94</v>
      </c>
      <c r="E314" s="343">
        <v>43.74</v>
      </c>
      <c r="F314" s="318">
        <f t="shared" si="75"/>
        <v>53546.94</v>
      </c>
      <c r="G314" s="314">
        <v>50601.86</v>
      </c>
      <c r="H314" s="314">
        <v>2945.08</v>
      </c>
      <c r="I314" s="314">
        <v>0</v>
      </c>
      <c r="J314" s="335">
        <v>0</v>
      </c>
      <c r="K314" s="330">
        <v>0</v>
      </c>
      <c r="L314" s="330">
        <v>0</v>
      </c>
      <c r="M314" s="330">
        <v>0</v>
      </c>
      <c r="N314" s="330">
        <v>0</v>
      </c>
      <c r="O314" s="335">
        <v>0</v>
      </c>
      <c r="P314" s="330">
        <v>0</v>
      </c>
      <c r="Q314" s="330">
        <v>0</v>
      </c>
      <c r="R314" s="330">
        <v>0</v>
      </c>
      <c r="S314" s="330">
        <v>0</v>
      </c>
      <c r="T314" s="335">
        <v>0</v>
      </c>
      <c r="U314" s="330">
        <v>0</v>
      </c>
      <c r="V314" s="330">
        <v>0</v>
      </c>
      <c r="W314" s="330">
        <v>0</v>
      </c>
      <c r="X314" s="495">
        <v>0</v>
      </c>
      <c r="Y314" s="332">
        <v>0</v>
      </c>
      <c r="Z314" s="330">
        <v>0</v>
      </c>
      <c r="AA314" s="330">
        <v>0</v>
      </c>
      <c r="AB314" s="330">
        <v>0</v>
      </c>
      <c r="AC314" s="335">
        <v>0</v>
      </c>
      <c r="AD314" s="330">
        <v>0</v>
      </c>
      <c r="AE314" s="330">
        <v>0</v>
      </c>
      <c r="AF314" s="330">
        <v>0</v>
      </c>
      <c r="AG314" s="495">
        <v>0</v>
      </c>
      <c r="AH314" s="335">
        <v>0</v>
      </c>
      <c r="AI314" s="330">
        <v>0</v>
      </c>
      <c r="AJ314" s="330">
        <v>0</v>
      </c>
      <c r="AK314" s="330">
        <v>0</v>
      </c>
      <c r="AL314" s="285"/>
      <c r="AM314" s="275"/>
      <c r="AN314" s="275"/>
      <c r="AO314" s="275"/>
      <c r="AP314" s="275"/>
      <c r="AQ314" s="275"/>
      <c r="AR314" s="275"/>
      <c r="AS314" s="275"/>
      <c r="AT314" s="275"/>
      <c r="AU314" s="275"/>
      <c r="AV314" s="275"/>
      <c r="AW314" s="275"/>
      <c r="AX314" s="275"/>
      <c r="AY314" s="275"/>
    </row>
    <row r="315" spans="1:51" s="283" customFormat="1" ht="72.599999999999994" customHeight="1" outlineLevel="1" x14ac:dyDescent="0.25">
      <c r="A315" s="341" t="s">
        <v>849</v>
      </c>
      <c r="B315" s="342" t="s">
        <v>850</v>
      </c>
      <c r="C315" s="341">
        <f t="shared" si="74"/>
        <v>3.91</v>
      </c>
      <c r="D315" s="314">
        <f t="shared" si="73"/>
        <v>4038.6400000000003</v>
      </c>
      <c r="E315" s="343">
        <v>3.91</v>
      </c>
      <c r="F315" s="318">
        <f t="shared" si="75"/>
        <v>4038.6400000000003</v>
      </c>
      <c r="G315" s="314">
        <v>3816.51</v>
      </c>
      <c r="H315" s="314">
        <v>222.13</v>
      </c>
      <c r="I315" s="314">
        <v>0</v>
      </c>
      <c r="J315" s="335">
        <v>0</v>
      </c>
      <c r="K315" s="330">
        <v>0</v>
      </c>
      <c r="L315" s="330">
        <v>0</v>
      </c>
      <c r="M315" s="330">
        <v>0</v>
      </c>
      <c r="N315" s="330">
        <v>0</v>
      </c>
      <c r="O315" s="335">
        <v>0</v>
      </c>
      <c r="P315" s="330">
        <v>0</v>
      </c>
      <c r="Q315" s="330">
        <v>0</v>
      </c>
      <c r="R315" s="330">
        <v>0</v>
      </c>
      <c r="S315" s="330">
        <v>0</v>
      </c>
      <c r="T315" s="335">
        <v>0</v>
      </c>
      <c r="U315" s="330">
        <v>0</v>
      </c>
      <c r="V315" s="330">
        <v>0</v>
      </c>
      <c r="W315" s="330">
        <v>0</v>
      </c>
      <c r="X315" s="495">
        <v>0</v>
      </c>
      <c r="Y315" s="332">
        <v>0</v>
      </c>
      <c r="Z315" s="330">
        <v>0</v>
      </c>
      <c r="AA315" s="330">
        <v>0</v>
      </c>
      <c r="AB315" s="330">
        <v>0</v>
      </c>
      <c r="AC315" s="335">
        <v>0</v>
      </c>
      <c r="AD315" s="330">
        <v>0</v>
      </c>
      <c r="AE315" s="330">
        <v>0</v>
      </c>
      <c r="AF315" s="330">
        <v>0</v>
      </c>
      <c r="AG315" s="495">
        <v>0</v>
      </c>
      <c r="AH315" s="335">
        <v>0</v>
      </c>
      <c r="AI315" s="330">
        <v>0</v>
      </c>
      <c r="AJ315" s="330">
        <v>0</v>
      </c>
      <c r="AK315" s="330">
        <v>0</v>
      </c>
      <c r="AL315" s="285"/>
      <c r="AM315" s="275"/>
      <c r="AN315" s="275"/>
      <c r="AO315" s="275"/>
      <c r="AP315" s="275"/>
      <c r="AQ315" s="275"/>
      <c r="AR315" s="275"/>
      <c r="AS315" s="275"/>
      <c r="AT315" s="275"/>
      <c r="AU315" s="275"/>
      <c r="AV315" s="275"/>
      <c r="AW315" s="275"/>
      <c r="AX315" s="275"/>
      <c r="AY315" s="275"/>
    </row>
    <row r="316" spans="1:51" s="283" customFormat="1" ht="58.35" customHeight="1" outlineLevel="1" x14ac:dyDescent="0.25">
      <c r="A316" s="341" t="s">
        <v>851</v>
      </c>
      <c r="B316" s="342" t="s">
        <v>852</v>
      </c>
      <c r="C316" s="341">
        <f t="shared" si="74"/>
        <v>2.16</v>
      </c>
      <c r="D316" s="314">
        <f t="shared" si="73"/>
        <v>2264.7999999999997</v>
      </c>
      <c r="E316" s="343">
        <v>2.16</v>
      </c>
      <c r="F316" s="318">
        <f t="shared" si="75"/>
        <v>2264.7999999999997</v>
      </c>
      <c r="G316" s="314">
        <v>2140.2399999999998</v>
      </c>
      <c r="H316" s="314">
        <v>124.56</v>
      </c>
      <c r="I316" s="314">
        <v>0</v>
      </c>
      <c r="J316" s="335">
        <v>0</v>
      </c>
      <c r="K316" s="330">
        <v>0</v>
      </c>
      <c r="L316" s="330">
        <v>0</v>
      </c>
      <c r="M316" s="330">
        <v>0</v>
      </c>
      <c r="N316" s="330">
        <v>0</v>
      </c>
      <c r="O316" s="335">
        <v>0</v>
      </c>
      <c r="P316" s="330">
        <v>0</v>
      </c>
      <c r="Q316" s="330">
        <v>0</v>
      </c>
      <c r="R316" s="330">
        <v>0</v>
      </c>
      <c r="S316" s="330">
        <v>0</v>
      </c>
      <c r="T316" s="335">
        <v>0</v>
      </c>
      <c r="U316" s="330">
        <v>0</v>
      </c>
      <c r="V316" s="330">
        <v>0</v>
      </c>
      <c r="W316" s="330">
        <v>0</v>
      </c>
      <c r="X316" s="495">
        <v>0</v>
      </c>
      <c r="Y316" s="332">
        <v>0</v>
      </c>
      <c r="Z316" s="330">
        <v>0</v>
      </c>
      <c r="AA316" s="330">
        <v>0</v>
      </c>
      <c r="AB316" s="330">
        <v>0</v>
      </c>
      <c r="AC316" s="335">
        <v>0</v>
      </c>
      <c r="AD316" s="330">
        <v>0</v>
      </c>
      <c r="AE316" s="330">
        <v>0</v>
      </c>
      <c r="AF316" s="330">
        <v>0</v>
      </c>
      <c r="AG316" s="495">
        <v>0</v>
      </c>
      <c r="AH316" s="335">
        <v>0</v>
      </c>
      <c r="AI316" s="330">
        <v>0</v>
      </c>
      <c r="AJ316" s="330">
        <v>0</v>
      </c>
      <c r="AK316" s="330">
        <v>0</v>
      </c>
      <c r="AL316" s="285"/>
      <c r="AM316" s="275"/>
      <c r="AN316" s="275"/>
      <c r="AO316" s="275"/>
      <c r="AP316" s="275"/>
      <c r="AQ316" s="275"/>
      <c r="AR316" s="275"/>
      <c r="AS316" s="275"/>
      <c r="AT316" s="275"/>
      <c r="AU316" s="275"/>
      <c r="AV316" s="275"/>
      <c r="AW316" s="275"/>
      <c r="AX316" s="275"/>
      <c r="AY316" s="275"/>
    </row>
    <row r="317" spans="1:51" s="283" customFormat="1" ht="59.4" customHeight="1" outlineLevel="1" x14ac:dyDescent="0.25">
      <c r="A317" s="341" t="s">
        <v>853</v>
      </c>
      <c r="B317" s="342" t="s">
        <v>854</v>
      </c>
      <c r="C317" s="341">
        <f t="shared" si="74"/>
        <v>16.649999999999999</v>
      </c>
      <c r="D317" s="314">
        <f t="shared" si="73"/>
        <v>9400.77</v>
      </c>
      <c r="E317" s="343">
        <v>16.649999999999999</v>
      </c>
      <c r="F317" s="318">
        <f t="shared" si="75"/>
        <v>9400.77</v>
      </c>
      <c r="G317" s="314">
        <v>8883.73</v>
      </c>
      <c r="H317" s="314">
        <v>517.04</v>
      </c>
      <c r="I317" s="314">
        <v>0</v>
      </c>
      <c r="J317" s="335">
        <v>0</v>
      </c>
      <c r="K317" s="330">
        <v>0</v>
      </c>
      <c r="L317" s="330">
        <v>0</v>
      </c>
      <c r="M317" s="330">
        <v>0</v>
      </c>
      <c r="N317" s="330">
        <v>0</v>
      </c>
      <c r="O317" s="335">
        <v>0</v>
      </c>
      <c r="P317" s="330">
        <v>0</v>
      </c>
      <c r="Q317" s="330">
        <v>0</v>
      </c>
      <c r="R317" s="330">
        <v>0</v>
      </c>
      <c r="S317" s="330">
        <v>0</v>
      </c>
      <c r="T317" s="335">
        <v>0</v>
      </c>
      <c r="U317" s="330">
        <v>0</v>
      </c>
      <c r="V317" s="330">
        <v>0</v>
      </c>
      <c r="W317" s="330">
        <v>0</v>
      </c>
      <c r="X317" s="495">
        <v>0</v>
      </c>
      <c r="Y317" s="332">
        <v>0</v>
      </c>
      <c r="Z317" s="330">
        <v>0</v>
      </c>
      <c r="AA317" s="330">
        <v>0</v>
      </c>
      <c r="AB317" s="330">
        <v>0</v>
      </c>
      <c r="AC317" s="335">
        <v>0</v>
      </c>
      <c r="AD317" s="330">
        <v>0</v>
      </c>
      <c r="AE317" s="330">
        <v>0</v>
      </c>
      <c r="AF317" s="330">
        <v>0</v>
      </c>
      <c r="AG317" s="495">
        <v>0</v>
      </c>
      <c r="AH317" s="335">
        <v>0</v>
      </c>
      <c r="AI317" s="330">
        <v>0</v>
      </c>
      <c r="AJ317" s="330">
        <v>0</v>
      </c>
      <c r="AK317" s="330">
        <v>0</v>
      </c>
      <c r="AL317" s="285"/>
      <c r="AM317" s="275"/>
      <c r="AN317" s="275"/>
      <c r="AO317" s="275"/>
      <c r="AP317" s="275"/>
      <c r="AQ317" s="275"/>
      <c r="AR317" s="275"/>
      <c r="AS317" s="275"/>
      <c r="AT317" s="275"/>
      <c r="AU317" s="275"/>
      <c r="AV317" s="275"/>
      <c r="AW317" s="275"/>
      <c r="AX317" s="275"/>
      <c r="AY317" s="275"/>
    </row>
    <row r="318" spans="1:51" s="283" customFormat="1" ht="46.65" customHeight="1" outlineLevel="1" x14ac:dyDescent="0.25">
      <c r="A318" s="341" t="s">
        <v>855</v>
      </c>
      <c r="B318" s="342" t="s">
        <v>856</v>
      </c>
      <c r="C318" s="341">
        <f t="shared" si="74"/>
        <v>29.879000000000001</v>
      </c>
      <c r="D318" s="314">
        <f t="shared" si="73"/>
        <v>28052.880000000001</v>
      </c>
      <c r="E318" s="311">
        <v>29.879000000000001</v>
      </c>
      <c r="F318" s="318">
        <f t="shared" si="75"/>
        <v>28052.880000000001</v>
      </c>
      <c r="G318" s="314">
        <v>26509.97</v>
      </c>
      <c r="H318" s="314">
        <v>1542.91</v>
      </c>
      <c r="I318" s="314">
        <v>0</v>
      </c>
      <c r="J318" s="335">
        <v>0</v>
      </c>
      <c r="K318" s="330">
        <v>0</v>
      </c>
      <c r="L318" s="330">
        <v>0</v>
      </c>
      <c r="M318" s="330">
        <v>0</v>
      </c>
      <c r="N318" s="330">
        <v>0</v>
      </c>
      <c r="O318" s="335">
        <v>0</v>
      </c>
      <c r="P318" s="330">
        <v>0</v>
      </c>
      <c r="Q318" s="330">
        <v>0</v>
      </c>
      <c r="R318" s="330">
        <v>0</v>
      </c>
      <c r="S318" s="330">
        <v>0</v>
      </c>
      <c r="T318" s="335">
        <v>0</v>
      </c>
      <c r="U318" s="330">
        <v>0</v>
      </c>
      <c r="V318" s="330">
        <v>0</v>
      </c>
      <c r="W318" s="330">
        <v>0</v>
      </c>
      <c r="X318" s="495">
        <v>0</v>
      </c>
      <c r="Y318" s="332">
        <v>0</v>
      </c>
      <c r="Z318" s="330">
        <v>0</v>
      </c>
      <c r="AA318" s="330">
        <v>0</v>
      </c>
      <c r="AB318" s="330">
        <v>0</v>
      </c>
      <c r="AC318" s="335">
        <v>0</v>
      </c>
      <c r="AD318" s="330">
        <v>0</v>
      </c>
      <c r="AE318" s="330">
        <v>0</v>
      </c>
      <c r="AF318" s="330">
        <v>0</v>
      </c>
      <c r="AG318" s="495">
        <v>0</v>
      </c>
      <c r="AH318" s="335">
        <v>0</v>
      </c>
      <c r="AI318" s="330">
        <v>0</v>
      </c>
      <c r="AJ318" s="330">
        <v>0</v>
      </c>
      <c r="AK318" s="330">
        <v>0</v>
      </c>
      <c r="AL318" s="285"/>
      <c r="AM318" s="275"/>
      <c r="AN318" s="275"/>
      <c r="AO318" s="275"/>
      <c r="AP318" s="275"/>
      <c r="AQ318" s="275"/>
      <c r="AR318" s="275"/>
      <c r="AS318" s="275"/>
      <c r="AT318" s="275"/>
      <c r="AU318" s="275"/>
      <c r="AV318" s="275"/>
      <c r="AW318" s="275"/>
      <c r="AX318" s="275"/>
      <c r="AY318" s="275"/>
    </row>
    <row r="319" spans="1:51" s="283" customFormat="1" ht="48.6" customHeight="1" outlineLevel="1" x14ac:dyDescent="0.25">
      <c r="A319" s="341" t="s">
        <v>857</v>
      </c>
      <c r="B319" s="342" t="s">
        <v>858</v>
      </c>
      <c r="C319" s="341">
        <f t="shared" si="74"/>
        <v>6.99</v>
      </c>
      <c r="D319" s="314">
        <f t="shared" si="73"/>
        <v>8052.04</v>
      </c>
      <c r="E319" s="311">
        <v>6.99</v>
      </c>
      <c r="F319" s="318">
        <f t="shared" si="75"/>
        <v>8052.04</v>
      </c>
      <c r="G319" s="314">
        <v>7609.18</v>
      </c>
      <c r="H319" s="314">
        <v>442.86</v>
      </c>
      <c r="I319" s="314">
        <v>0</v>
      </c>
      <c r="J319" s="335">
        <v>0</v>
      </c>
      <c r="K319" s="330">
        <v>0</v>
      </c>
      <c r="L319" s="330">
        <v>0</v>
      </c>
      <c r="M319" s="330">
        <v>0</v>
      </c>
      <c r="N319" s="330">
        <v>0</v>
      </c>
      <c r="O319" s="335">
        <v>0</v>
      </c>
      <c r="P319" s="330">
        <v>0</v>
      </c>
      <c r="Q319" s="330">
        <v>0</v>
      </c>
      <c r="R319" s="330">
        <v>0</v>
      </c>
      <c r="S319" s="330">
        <v>0</v>
      </c>
      <c r="T319" s="335">
        <v>0</v>
      </c>
      <c r="U319" s="330">
        <v>0</v>
      </c>
      <c r="V319" s="330">
        <v>0</v>
      </c>
      <c r="W319" s="330">
        <v>0</v>
      </c>
      <c r="X319" s="495">
        <v>0</v>
      </c>
      <c r="Y319" s="332">
        <v>0</v>
      </c>
      <c r="Z319" s="330">
        <v>0</v>
      </c>
      <c r="AA319" s="330">
        <v>0</v>
      </c>
      <c r="AB319" s="330">
        <v>0</v>
      </c>
      <c r="AC319" s="335">
        <v>0</v>
      </c>
      <c r="AD319" s="330">
        <v>0</v>
      </c>
      <c r="AE319" s="330">
        <v>0</v>
      </c>
      <c r="AF319" s="330">
        <v>0</v>
      </c>
      <c r="AG319" s="495">
        <v>0</v>
      </c>
      <c r="AH319" s="335">
        <v>0</v>
      </c>
      <c r="AI319" s="330">
        <v>0</v>
      </c>
      <c r="AJ319" s="330">
        <v>0</v>
      </c>
      <c r="AK319" s="330">
        <v>0</v>
      </c>
      <c r="AL319" s="285"/>
      <c r="AM319" s="275"/>
      <c r="AN319" s="275"/>
      <c r="AO319" s="275"/>
      <c r="AP319" s="275"/>
      <c r="AQ319" s="275"/>
      <c r="AR319" s="275"/>
      <c r="AS319" s="275"/>
      <c r="AT319" s="275"/>
      <c r="AU319" s="275"/>
      <c r="AV319" s="275"/>
      <c r="AW319" s="275"/>
      <c r="AX319" s="275"/>
      <c r="AY319" s="275"/>
    </row>
    <row r="320" spans="1:51" s="283" customFormat="1" ht="27.15" customHeight="1" outlineLevel="1" x14ac:dyDescent="0.25">
      <c r="A320" s="341" t="s">
        <v>859</v>
      </c>
      <c r="B320" s="342" t="s">
        <v>860</v>
      </c>
      <c r="C320" s="341">
        <f t="shared" si="74"/>
        <v>15.03</v>
      </c>
      <c r="D320" s="314">
        <f t="shared" si="73"/>
        <v>17086.649999999998</v>
      </c>
      <c r="E320" s="311">
        <v>15.03</v>
      </c>
      <c r="F320" s="318">
        <f t="shared" si="75"/>
        <v>17086.649999999998</v>
      </c>
      <c r="G320" s="314">
        <v>13770.72</v>
      </c>
      <c r="H320" s="314">
        <v>3315.93</v>
      </c>
      <c r="I320" s="314">
        <v>0</v>
      </c>
      <c r="J320" s="335">
        <v>0</v>
      </c>
      <c r="K320" s="330">
        <v>0</v>
      </c>
      <c r="L320" s="330">
        <v>0</v>
      </c>
      <c r="M320" s="330">
        <v>0</v>
      </c>
      <c r="N320" s="330">
        <v>0</v>
      </c>
      <c r="O320" s="335">
        <v>0</v>
      </c>
      <c r="P320" s="330">
        <v>0</v>
      </c>
      <c r="Q320" s="330">
        <v>0</v>
      </c>
      <c r="R320" s="330">
        <v>0</v>
      </c>
      <c r="S320" s="330">
        <v>0</v>
      </c>
      <c r="T320" s="335">
        <v>0</v>
      </c>
      <c r="U320" s="330">
        <v>0</v>
      </c>
      <c r="V320" s="330">
        <v>0</v>
      </c>
      <c r="W320" s="330">
        <v>0</v>
      </c>
      <c r="X320" s="495">
        <v>0</v>
      </c>
      <c r="Y320" s="332">
        <v>0</v>
      </c>
      <c r="Z320" s="330">
        <v>0</v>
      </c>
      <c r="AA320" s="330">
        <v>0</v>
      </c>
      <c r="AB320" s="330">
        <v>0</v>
      </c>
      <c r="AC320" s="335">
        <v>0</v>
      </c>
      <c r="AD320" s="330">
        <v>0</v>
      </c>
      <c r="AE320" s="330">
        <v>0</v>
      </c>
      <c r="AF320" s="330">
        <v>0</v>
      </c>
      <c r="AG320" s="495">
        <v>0</v>
      </c>
      <c r="AH320" s="335">
        <v>0</v>
      </c>
      <c r="AI320" s="330">
        <v>0</v>
      </c>
      <c r="AJ320" s="330">
        <v>0</v>
      </c>
      <c r="AK320" s="330">
        <v>0</v>
      </c>
      <c r="AL320" s="285"/>
      <c r="AM320" s="275"/>
      <c r="AN320" s="275"/>
      <c r="AO320" s="275"/>
      <c r="AP320" s="275"/>
      <c r="AQ320" s="275"/>
      <c r="AR320" s="275"/>
      <c r="AS320" s="275"/>
      <c r="AT320" s="275"/>
      <c r="AU320" s="275"/>
      <c r="AV320" s="275"/>
      <c r="AW320" s="275"/>
      <c r="AX320" s="275"/>
      <c r="AY320" s="275"/>
    </row>
    <row r="321" spans="1:51" s="283" customFormat="1" ht="40.200000000000003" customHeight="1" outlineLevel="1" x14ac:dyDescent="0.25">
      <c r="A321" s="341" t="s">
        <v>861</v>
      </c>
      <c r="B321" s="342" t="s">
        <v>862</v>
      </c>
      <c r="C321" s="341">
        <f t="shared" si="74"/>
        <v>6.26</v>
      </c>
      <c r="D321" s="314">
        <f t="shared" si="73"/>
        <v>6834.75</v>
      </c>
      <c r="E321" s="311">
        <v>6.26</v>
      </c>
      <c r="F321" s="318">
        <f t="shared" si="75"/>
        <v>6834.75</v>
      </c>
      <c r="G321" s="314">
        <v>6458.84</v>
      </c>
      <c r="H321" s="314">
        <v>375.91</v>
      </c>
      <c r="I321" s="314">
        <v>0</v>
      </c>
      <c r="J321" s="335">
        <v>0</v>
      </c>
      <c r="K321" s="330">
        <v>0</v>
      </c>
      <c r="L321" s="330">
        <v>0</v>
      </c>
      <c r="M321" s="330">
        <v>0</v>
      </c>
      <c r="N321" s="330">
        <v>0</v>
      </c>
      <c r="O321" s="335">
        <v>0</v>
      </c>
      <c r="P321" s="330">
        <v>0</v>
      </c>
      <c r="Q321" s="330">
        <v>0</v>
      </c>
      <c r="R321" s="330">
        <v>0</v>
      </c>
      <c r="S321" s="330">
        <v>0</v>
      </c>
      <c r="T321" s="335">
        <v>0</v>
      </c>
      <c r="U321" s="330">
        <v>0</v>
      </c>
      <c r="V321" s="330">
        <v>0</v>
      </c>
      <c r="W321" s="330">
        <v>0</v>
      </c>
      <c r="X321" s="495">
        <v>0</v>
      </c>
      <c r="Y321" s="332">
        <v>0</v>
      </c>
      <c r="Z321" s="330">
        <v>0</v>
      </c>
      <c r="AA321" s="330">
        <v>0</v>
      </c>
      <c r="AB321" s="330">
        <v>0</v>
      </c>
      <c r="AC321" s="335">
        <v>0</v>
      </c>
      <c r="AD321" s="330">
        <v>0</v>
      </c>
      <c r="AE321" s="330">
        <v>0</v>
      </c>
      <c r="AF321" s="330">
        <v>0</v>
      </c>
      <c r="AG321" s="495">
        <v>0</v>
      </c>
      <c r="AH321" s="335">
        <v>0</v>
      </c>
      <c r="AI321" s="330">
        <v>0</v>
      </c>
      <c r="AJ321" s="330">
        <v>0</v>
      </c>
      <c r="AK321" s="330">
        <v>0</v>
      </c>
      <c r="AL321" s="285"/>
      <c r="AM321" s="275"/>
      <c r="AN321" s="275"/>
      <c r="AO321" s="275"/>
      <c r="AP321" s="275"/>
      <c r="AQ321" s="275"/>
      <c r="AR321" s="275"/>
      <c r="AS321" s="275"/>
      <c r="AT321" s="275"/>
      <c r="AU321" s="275"/>
      <c r="AV321" s="275"/>
      <c r="AW321" s="275"/>
      <c r="AX321" s="275"/>
      <c r="AY321" s="275"/>
    </row>
    <row r="322" spans="1:51" s="283" customFormat="1" ht="74.400000000000006" customHeight="1" outlineLevel="1" x14ac:dyDescent="0.25">
      <c r="A322" s="341" t="s">
        <v>863</v>
      </c>
      <c r="B322" s="342" t="s">
        <v>864</v>
      </c>
      <c r="C322" s="341">
        <f t="shared" si="74"/>
        <v>14.6</v>
      </c>
      <c r="D322" s="314">
        <f t="shared" si="73"/>
        <v>14006.78</v>
      </c>
      <c r="E322" s="311">
        <v>14.6</v>
      </c>
      <c r="F322" s="318">
        <f t="shared" si="75"/>
        <v>14006.78</v>
      </c>
      <c r="G322" s="314">
        <v>13236.41</v>
      </c>
      <c r="H322" s="314">
        <v>770.37</v>
      </c>
      <c r="I322" s="314">
        <v>0</v>
      </c>
      <c r="J322" s="335">
        <v>0</v>
      </c>
      <c r="K322" s="330">
        <v>0</v>
      </c>
      <c r="L322" s="330">
        <v>0</v>
      </c>
      <c r="M322" s="330">
        <v>0</v>
      </c>
      <c r="N322" s="330">
        <v>0</v>
      </c>
      <c r="O322" s="335">
        <v>0</v>
      </c>
      <c r="P322" s="330">
        <v>0</v>
      </c>
      <c r="Q322" s="330">
        <v>0</v>
      </c>
      <c r="R322" s="330">
        <v>0</v>
      </c>
      <c r="S322" s="330">
        <v>0</v>
      </c>
      <c r="T322" s="335">
        <v>0</v>
      </c>
      <c r="U322" s="330">
        <v>0</v>
      </c>
      <c r="V322" s="330">
        <v>0</v>
      </c>
      <c r="W322" s="330">
        <v>0</v>
      </c>
      <c r="X322" s="495">
        <v>0</v>
      </c>
      <c r="Y322" s="332">
        <v>0</v>
      </c>
      <c r="Z322" s="330">
        <v>0</v>
      </c>
      <c r="AA322" s="330">
        <v>0</v>
      </c>
      <c r="AB322" s="330">
        <v>0</v>
      </c>
      <c r="AC322" s="335">
        <v>0</v>
      </c>
      <c r="AD322" s="330">
        <v>0</v>
      </c>
      <c r="AE322" s="330">
        <v>0</v>
      </c>
      <c r="AF322" s="330">
        <v>0</v>
      </c>
      <c r="AG322" s="495">
        <v>0</v>
      </c>
      <c r="AH322" s="335">
        <v>0</v>
      </c>
      <c r="AI322" s="330">
        <v>0</v>
      </c>
      <c r="AJ322" s="330">
        <v>0</v>
      </c>
      <c r="AK322" s="330">
        <v>0</v>
      </c>
      <c r="AL322" s="285"/>
      <c r="AM322" s="275"/>
      <c r="AN322" s="275"/>
      <c r="AO322" s="275"/>
      <c r="AP322" s="275"/>
      <c r="AQ322" s="275"/>
      <c r="AR322" s="275"/>
      <c r="AS322" s="275"/>
      <c r="AT322" s="275"/>
      <c r="AU322" s="275"/>
      <c r="AV322" s="275"/>
      <c r="AW322" s="275"/>
      <c r="AX322" s="275"/>
      <c r="AY322" s="275"/>
    </row>
    <row r="323" spans="1:51" s="283" customFormat="1" ht="65.400000000000006" customHeight="1" outlineLevel="1" x14ac:dyDescent="0.25">
      <c r="A323" s="341" t="s">
        <v>865</v>
      </c>
      <c r="B323" s="342" t="s">
        <v>866</v>
      </c>
      <c r="C323" s="341">
        <f t="shared" si="74"/>
        <v>7.95</v>
      </c>
      <c r="D323" s="314">
        <f t="shared" si="73"/>
        <v>4892.8499999999995</v>
      </c>
      <c r="E323" s="311">
        <v>7.95</v>
      </c>
      <c r="F323" s="318">
        <f t="shared" si="75"/>
        <v>4892.8499999999995</v>
      </c>
      <c r="G323" s="314">
        <v>4623.74</v>
      </c>
      <c r="H323" s="314">
        <v>269.11</v>
      </c>
      <c r="I323" s="314">
        <v>0</v>
      </c>
      <c r="J323" s="335">
        <v>0</v>
      </c>
      <c r="K323" s="330">
        <v>0</v>
      </c>
      <c r="L323" s="330">
        <v>0</v>
      </c>
      <c r="M323" s="330">
        <v>0</v>
      </c>
      <c r="N323" s="330">
        <v>0</v>
      </c>
      <c r="O323" s="335">
        <v>0</v>
      </c>
      <c r="P323" s="330">
        <v>0</v>
      </c>
      <c r="Q323" s="330">
        <v>0</v>
      </c>
      <c r="R323" s="330">
        <v>0</v>
      </c>
      <c r="S323" s="330">
        <v>0</v>
      </c>
      <c r="T323" s="335">
        <v>0</v>
      </c>
      <c r="U323" s="330">
        <v>0</v>
      </c>
      <c r="V323" s="330">
        <v>0</v>
      </c>
      <c r="W323" s="330">
        <v>0</v>
      </c>
      <c r="X323" s="495">
        <v>0</v>
      </c>
      <c r="Y323" s="332">
        <v>0</v>
      </c>
      <c r="Z323" s="330">
        <v>0</v>
      </c>
      <c r="AA323" s="330">
        <v>0</v>
      </c>
      <c r="AB323" s="330">
        <v>0</v>
      </c>
      <c r="AC323" s="335">
        <v>0</v>
      </c>
      <c r="AD323" s="330">
        <v>0</v>
      </c>
      <c r="AE323" s="330">
        <v>0</v>
      </c>
      <c r="AF323" s="330">
        <v>0</v>
      </c>
      <c r="AG323" s="495">
        <v>0</v>
      </c>
      <c r="AH323" s="335">
        <v>0</v>
      </c>
      <c r="AI323" s="330">
        <v>0</v>
      </c>
      <c r="AJ323" s="330">
        <v>0</v>
      </c>
      <c r="AK323" s="330">
        <v>0</v>
      </c>
      <c r="AL323" s="285"/>
      <c r="AM323" s="275"/>
      <c r="AN323" s="275"/>
      <c r="AO323" s="275"/>
      <c r="AP323" s="275"/>
      <c r="AQ323" s="275"/>
      <c r="AR323" s="275"/>
      <c r="AS323" s="275"/>
      <c r="AT323" s="275"/>
      <c r="AU323" s="275"/>
      <c r="AV323" s="275"/>
      <c r="AW323" s="275"/>
      <c r="AX323" s="275"/>
      <c r="AY323" s="275"/>
    </row>
    <row r="324" spans="1:51" s="283" customFormat="1" ht="28.35" customHeight="1" outlineLevel="1" x14ac:dyDescent="0.25">
      <c r="A324" s="341" t="s">
        <v>867</v>
      </c>
      <c r="B324" s="342" t="s">
        <v>868</v>
      </c>
      <c r="C324" s="341">
        <f t="shared" si="74"/>
        <v>3.95</v>
      </c>
      <c r="D324" s="314">
        <f t="shared" si="73"/>
        <v>4987.8900000000003</v>
      </c>
      <c r="E324" s="343">
        <v>3.95</v>
      </c>
      <c r="F324" s="318">
        <f t="shared" si="75"/>
        <v>4987.8900000000003</v>
      </c>
      <c r="G324" s="314">
        <v>4713.5600000000004</v>
      </c>
      <c r="H324" s="314">
        <v>274.33</v>
      </c>
      <c r="I324" s="314">
        <v>0</v>
      </c>
      <c r="J324" s="335">
        <v>0</v>
      </c>
      <c r="K324" s="330">
        <v>0</v>
      </c>
      <c r="L324" s="330">
        <v>0</v>
      </c>
      <c r="M324" s="330">
        <v>0</v>
      </c>
      <c r="N324" s="330">
        <v>0</v>
      </c>
      <c r="O324" s="335">
        <v>0</v>
      </c>
      <c r="P324" s="330">
        <v>0</v>
      </c>
      <c r="Q324" s="330">
        <v>0</v>
      </c>
      <c r="R324" s="330">
        <v>0</v>
      </c>
      <c r="S324" s="330">
        <v>0</v>
      </c>
      <c r="T324" s="335">
        <v>0</v>
      </c>
      <c r="U324" s="330">
        <v>0</v>
      </c>
      <c r="V324" s="330">
        <v>0</v>
      </c>
      <c r="W324" s="330">
        <v>0</v>
      </c>
      <c r="X324" s="495">
        <v>0</v>
      </c>
      <c r="Y324" s="332">
        <v>0</v>
      </c>
      <c r="Z324" s="330">
        <v>0</v>
      </c>
      <c r="AA324" s="330">
        <v>0</v>
      </c>
      <c r="AB324" s="330">
        <v>0</v>
      </c>
      <c r="AC324" s="335">
        <v>0</v>
      </c>
      <c r="AD324" s="330">
        <v>0</v>
      </c>
      <c r="AE324" s="330">
        <v>0</v>
      </c>
      <c r="AF324" s="330">
        <v>0</v>
      </c>
      <c r="AG324" s="495">
        <v>0</v>
      </c>
      <c r="AH324" s="335">
        <v>0</v>
      </c>
      <c r="AI324" s="330">
        <v>0</v>
      </c>
      <c r="AJ324" s="330">
        <v>0</v>
      </c>
      <c r="AK324" s="330">
        <v>0</v>
      </c>
      <c r="AL324" s="285"/>
      <c r="AM324" s="275"/>
      <c r="AN324" s="275"/>
      <c r="AO324" s="275"/>
      <c r="AP324" s="275"/>
      <c r="AQ324" s="275"/>
      <c r="AR324" s="275"/>
      <c r="AS324" s="275"/>
      <c r="AT324" s="275"/>
      <c r="AU324" s="275"/>
      <c r="AV324" s="275"/>
      <c r="AW324" s="275"/>
      <c r="AX324" s="275"/>
      <c r="AY324" s="275"/>
    </row>
    <row r="325" spans="1:51" s="283" customFormat="1" ht="55.65" customHeight="1" outlineLevel="1" x14ac:dyDescent="0.25">
      <c r="A325" s="344" t="s">
        <v>869</v>
      </c>
      <c r="B325" s="345" t="s">
        <v>870</v>
      </c>
      <c r="C325" s="341">
        <f t="shared" si="74"/>
        <v>4.47</v>
      </c>
      <c r="D325" s="314">
        <f t="shared" si="73"/>
        <v>4372.87</v>
      </c>
      <c r="E325" s="343">
        <v>4.47</v>
      </c>
      <c r="F325" s="318">
        <f t="shared" si="75"/>
        <v>4372.87</v>
      </c>
      <c r="G325" s="314">
        <v>4132.3599999999997</v>
      </c>
      <c r="H325" s="314">
        <v>240.51</v>
      </c>
      <c r="I325" s="314">
        <v>0</v>
      </c>
      <c r="J325" s="335">
        <v>0</v>
      </c>
      <c r="K325" s="330">
        <v>0</v>
      </c>
      <c r="L325" s="330">
        <v>0</v>
      </c>
      <c r="M325" s="330">
        <v>0</v>
      </c>
      <c r="N325" s="330">
        <v>0</v>
      </c>
      <c r="O325" s="335">
        <v>0</v>
      </c>
      <c r="P325" s="330">
        <v>0</v>
      </c>
      <c r="Q325" s="330">
        <v>0</v>
      </c>
      <c r="R325" s="330">
        <v>0</v>
      </c>
      <c r="S325" s="330">
        <v>0</v>
      </c>
      <c r="T325" s="335">
        <v>0</v>
      </c>
      <c r="U325" s="330">
        <v>0</v>
      </c>
      <c r="V325" s="330">
        <v>0</v>
      </c>
      <c r="W325" s="330">
        <v>0</v>
      </c>
      <c r="X325" s="495">
        <v>0</v>
      </c>
      <c r="Y325" s="332">
        <v>0</v>
      </c>
      <c r="Z325" s="330">
        <v>0</v>
      </c>
      <c r="AA325" s="330">
        <v>0</v>
      </c>
      <c r="AB325" s="330">
        <v>0</v>
      </c>
      <c r="AC325" s="335">
        <v>0</v>
      </c>
      <c r="AD325" s="330">
        <v>0</v>
      </c>
      <c r="AE325" s="330">
        <v>0</v>
      </c>
      <c r="AF325" s="330">
        <v>0</v>
      </c>
      <c r="AG325" s="495">
        <v>0</v>
      </c>
      <c r="AH325" s="335">
        <v>0</v>
      </c>
      <c r="AI325" s="330">
        <v>0</v>
      </c>
      <c r="AJ325" s="330">
        <v>0</v>
      </c>
      <c r="AK325" s="330">
        <v>0</v>
      </c>
      <c r="AL325" s="285"/>
      <c r="AM325" s="275"/>
      <c r="AN325" s="275"/>
      <c r="AO325" s="275"/>
      <c r="AP325" s="275"/>
      <c r="AQ325" s="275"/>
      <c r="AR325" s="275"/>
      <c r="AS325" s="275"/>
      <c r="AT325" s="275"/>
      <c r="AU325" s="275"/>
      <c r="AV325" s="275"/>
      <c r="AW325" s="275"/>
      <c r="AX325" s="275"/>
      <c r="AY325" s="275"/>
    </row>
    <row r="326" spans="1:51" s="283" customFormat="1" ht="57.6" customHeight="1" outlineLevel="1" x14ac:dyDescent="0.25">
      <c r="A326" s="341" t="s">
        <v>871</v>
      </c>
      <c r="B326" s="342" t="s">
        <v>872</v>
      </c>
      <c r="C326" s="341">
        <f t="shared" si="74"/>
        <v>2.13</v>
      </c>
      <c r="D326" s="314">
        <f t="shared" si="73"/>
        <v>2649.1099999999997</v>
      </c>
      <c r="E326" s="343">
        <v>2.13</v>
      </c>
      <c r="F326" s="318">
        <f t="shared" si="75"/>
        <v>2649.1099999999997</v>
      </c>
      <c r="G326" s="314">
        <v>2503.41</v>
      </c>
      <c r="H326" s="314">
        <v>145.69999999999999</v>
      </c>
      <c r="I326" s="314">
        <v>0</v>
      </c>
      <c r="J326" s="335">
        <v>0</v>
      </c>
      <c r="K326" s="330">
        <v>0</v>
      </c>
      <c r="L326" s="330">
        <v>0</v>
      </c>
      <c r="M326" s="330">
        <v>0</v>
      </c>
      <c r="N326" s="330">
        <v>0</v>
      </c>
      <c r="O326" s="335">
        <v>0</v>
      </c>
      <c r="P326" s="330">
        <v>0</v>
      </c>
      <c r="Q326" s="330">
        <v>0</v>
      </c>
      <c r="R326" s="330">
        <v>0</v>
      </c>
      <c r="S326" s="330">
        <v>0</v>
      </c>
      <c r="T326" s="335">
        <v>0</v>
      </c>
      <c r="U326" s="330">
        <v>0</v>
      </c>
      <c r="V326" s="330">
        <v>0</v>
      </c>
      <c r="W326" s="330">
        <v>0</v>
      </c>
      <c r="X326" s="495">
        <v>0</v>
      </c>
      <c r="Y326" s="332">
        <v>0</v>
      </c>
      <c r="Z326" s="330">
        <v>0</v>
      </c>
      <c r="AA326" s="330">
        <v>0</v>
      </c>
      <c r="AB326" s="330">
        <v>0</v>
      </c>
      <c r="AC326" s="335">
        <v>0</v>
      </c>
      <c r="AD326" s="330">
        <v>0</v>
      </c>
      <c r="AE326" s="330">
        <v>0</v>
      </c>
      <c r="AF326" s="330">
        <v>0</v>
      </c>
      <c r="AG326" s="495">
        <v>0</v>
      </c>
      <c r="AH326" s="335">
        <v>0</v>
      </c>
      <c r="AI326" s="330">
        <v>0</v>
      </c>
      <c r="AJ326" s="330">
        <v>0</v>
      </c>
      <c r="AK326" s="330">
        <v>0</v>
      </c>
      <c r="AL326" s="285"/>
      <c r="AM326" s="275"/>
      <c r="AN326" s="275"/>
      <c r="AO326" s="275"/>
      <c r="AP326" s="275"/>
      <c r="AQ326" s="275"/>
      <c r="AR326" s="275"/>
      <c r="AS326" s="275"/>
      <c r="AT326" s="275"/>
      <c r="AU326" s="275"/>
      <c r="AV326" s="275"/>
      <c r="AW326" s="275"/>
      <c r="AX326" s="275"/>
      <c r="AY326" s="275"/>
    </row>
    <row r="327" spans="1:51" s="283" customFormat="1" ht="49.65" customHeight="1" outlineLevel="1" x14ac:dyDescent="0.25">
      <c r="A327" s="341" t="s">
        <v>873</v>
      </c>
      <c r="B327" s="342" t="s">
        <v>874</v>
      </c>
      <c r="C327" s="341">
        <f t="shared" si="74"/>
        <v>2.12</v>
      </c>
      <c r="D327" s="314">
        <f t="shared" si="73"/>
        <v>1821.29</v>
      </c>
      <c r="E327" s="343">
        <v>2.12</v>
      </c>
      <c r="F327" s="318">
        <f t="shared" si="75"/>
        <v>1821.29</v>
      </c>
      <c r="G327" s="314">
        <v>1721.12</v>
      </c>
      <c r="H327" s="314">
        <v>100.17</v>
      </c>
      <c r="I327" s="314">
        <v>0</v>
      </c>
      <c r="J327" s="335">
        <v>0</v>
      </c>
      <c r="K327" s="330">
        <v>0</v>
      </c>
      <c r="L327" s="330">
        <v>0</v>
      </c>
      <c r="M327" s="330">
        <v>0</v>
      </c>
      <c r="N327" s="330">
        <v>0</v>
      </c>
      <c r="O327" s="335">
        <v>0</v>
      </c>
      <c r="P327" s="330">
        <v>0</v>
      </c>
      <c r="Q327" s="330">
        <v>0</v>
      </c>
      <c r="R327" s="330">
        <v>0</v>
      </c>
      <c r="S327" s="330">
        <v>0</v>
      </c>
      <c r="T327" s="335">
        <v>0</v>
      </c>
      <c r="U327" s="330">
        <v>0</v>
      </c>
      <c r="V327" s="330">
        <v>0</v>
      </c>
      <c r="W327" s="330">
        <v>0</v>
      </c>
      <c r="X327" s="495">
        <v>0</v>
      </c>
      <c r="Y327" s="332">
        <v>0</v>
      </c>
      <c r="Z327" s="330">
        <v>0</v>
      </c>
      <c r="AA327" s="330">
        <v>0</v>
      </c>
      <c r="AB327" s="330">
        <v>0</v>
      </c>
      <c r="AC327" s="335">
        <v>0</v>
      </c>
      <c r="AD327" s="330">
        <v>0</v>
      </c>
      <c r="AE327" s="330">
        <v>0</v>
      </c>
      <c r="AF327" s="330">
        <v>0</v>
      </c>
      <c r="AG327" s="495">
        <v>0</v>
      </c>
      <c r="AH327" s="335">
        <v>0</v>
      </c>
      <c r="AI327" s="330">
        <v>0</v>
      </c>
      <c r="AJ327" s="330">
        <v>0</v>
      </c>
      <c r="AK327" s="330">
        <v>0</v>
      </c>
      <c r="AL327" s="285"/>
      <c r="AM327" s="275"/>
      <c r="AN327" s="275"/>
      <c r="AO327" s="275"/>
      <c r="AP327" s="275"/>
      <c r="AQ327" s="275"/>
      <c r="AR327" s="275"/>
      <c r="AS327" s="275"/>
      <c r="AT327" s="275"/>
      <c r="AU327" s="275"/>
      <c r="AV327" s="275"/>
      <c r="AW327" s="275"/>
      <c r="AX327" s="275"/>
      <c r="AY327" s="275"/>
    </row>
    <row r="328" spans="1:51" s="283" customFormat="1" ht="53.4" customHeight="1" outlineLevel="1" x14ac:dyDescent="0.25">
      <c r="A328" s="341" t="s">
        <v>875</v>
      </c>
      <c r="B328" s="342" t="s">
        <v>876</v>
      </c>
      <c r="C328" s="341">
        <f t="shared" si="74"/>
        <v>4.0229999999999997</v>
      </c>
      <c r="D328" s="314">
        <f t="shared" si="73"/>
        <v>3602.28</v>
      </c>
      <c r="E328" s="343">
        <v>4.0229999999999997</v>
      </c>
      <c r="F328" s="318">
        <f t="shared" si="75"/>
        <v>3602.28</v>
      </c>
      <c r="G328" s="314">
        <v>3404.15</v>
      </c>
      <c r="H328" s="314">
        <v>198.13</v>
      </c>
      <c r="I328" s="314">
        <v>0</v>
      </c>
      <c r="J328" s="335">
        <v>0</v>
      </c>
      <c r="K328" s="330">
        <v>0</v>
      </c>
      <c r="L328" s="330">
        <v>0</v>
      </c>
      <c r="M328" s="330">
        <v>0</v>
      </c>
      <c r="N328" s="330">
        <v>0</v>
      </c>
      <c r="O328" s="335">
        <v>0</v>
      </c>
      <c r="P328" s="330">
        <v>0</v>
      </c>
      <c r="Q328" s="330">
        <v>0</v>
      </c>
      <c r="R328" s="330">
        <v>0</v>
      </c>
      <c r="S328" s="330">
        <v>0</v>
      </c>
      <c r="T328" s="335">
        <v>0</v>
      </c>
      <c r="U328" s="330">
        <v>0</v>
      </c>
      <c r="V328" s="330">
        <v>0</v>
      </c>
      <c r="W328" s="330">
        <v>0</v>
      </c>
      <c r="X328" s="495">
        <v>0</v>
      </c>
      <c r="Y328" s="332">
        <v>0</v>
      </c>
      <c r="Z328" s="330">
        <v>0</v>
      </c>
      <c r="AA328" s="330">
        <v>0</v>
      </c>
      <c r="AB328" s="330">
        <v>0</v>
      </c>
      <c r="AC328" s="335">
        <v>0</v>
      </c>
      <c r="AD328" s="330">
        <v>0</v>
      </c>
      <c r="AE328" s="330">
        <v>0</v>
      </c>
      <c r="AF328" s="330">
        <v>0</v>
      </c>
      <c r="AG328" s="495">
        <v>0</v>
      </c>
      <c r="AH328" s="335">
        <v>0</v>
      </c>
      <c r="AI328" s="330">
        <v>0</v>
      </c>
      <c r="AJ328" s="330">
        <v>0</v>
      </c>
      <c r="AK328" s="330">
        <v>0</v>
      </c>
      <c r="AL328" s="285"/>
      <c r="AM328" s="275"/>
      <c r="AN328" s="275"/>
      <c r="AO328" s="275"/>
      <c r="AP328" s="275"/>
      <c r="AQ328" s="275"/>
      <c r="AR328" s="275"/>
      <c r="AS328" s="275"/>
      <c r="AT328" s="275"/>
      <c r="AU328" s="275"/>
      <c r="AV328" s="275"/>
      <c r="AW328" s="275"/>
      <c r="AX328" s="275"/>
      <c r="AY328" s="275"/>
    </row>
    <row r="329" spans="1:51" s="283" customFormat="1" ht="99.6" customHeight="1" outlineLevel="1" x14ac:dyDescent="0.25">
      <c r="A329" s="314" t="s">
        <v>877</v>
      </c>
      <c r="B329" s="320" t="s">
        <v>878</v>
      </c>
      <c r="C329" s="341">
        <f t="shared" si="74"/>
        <v>4.3</v>
      </c>
      <c r="D329" s="314">
        <f t="shared" si="73"/>
        <v>3715.88</v>
      </c>
      <c r="E329" s="343">
        <v>4.3</v>
      </c>
      <c r="F329" s="318">
        <f t="shared" si="75"/>
        <v>3715.88</v>
      </c>
      <c r="G329" s="314">
        <v>3511.51</v>
      </c>
      <c r="H329" s="314">
        <v>204.37</v>
      </c>
      <c r="I329" s="314">
        <v>0</v>
      </c>
      <c r="J329" s="335">
        <v>0</v>
      </c>
      <c r="K329" s="330">
        <v>0</v>
      </c>
      <c r="L329" s="330">
        <v>0</v>
      </c>
      <c r="M329" s="330">
        <v>0</v>
      </c>
      <c r="N329" s="330">
        <v>0</v>
      </c>
      <c r="O329" s="335">
        <v>0</v>
      </c>
      <c r="P329" s="330">
        <v>0</v>
      </c>
      <c r="Q329" s="330">
        <v>0</v>
      </c>
      <c r="R329" s="330">
        <v>0</v>
      </c>
      <c r="S329" s="330">
        <v>0</v>
      </c>
      <c r="T329" s="335">
        <v>0</v>
      </c>
      <c r="U329" s="330">
        <v>0</v>
      </c>
      <c r="V329" s="330">
        <v>0</v>
      </c>
      <c r="W329" s="330">
        <v>0</v>
      </c>
      <c r="X329" s="495">
        <v>0</v>
      </c>
      <c r="Y329" s="332">
        <v>0</v>
      </c>
      <c r="Z329" s="330">
        <v>0</v>
      </c>
      <c r="AA329" s="330">
        <v>0</v>
      </c>
      <c r="AB329" s="330">
        <v>0</v>
      </c>
      <c r="AC329" s="335">
        <v>0</v>
      </c>
      <c r="AD329" s="330">
        <v>0</v>
      </c>
      <c r="AE329" s="330">
        <v>0</v>
      </c>
      <c r="AF329" s="330">
        <v>0</v>
      </c>
      <c r="AG329" s="495">
        <v>0</v>
      </c>
      <c r="AH329" s="335">
        <v>0</v>
      </c>
      <c r="AI329" s="330">
        <v>0</v>
      </c>
      <c r="AJ329" s="330">
        <v>0</v>
      </c>
      <c r="AK329" s="330">
        <v>0</v>
      </c>
      <c r="AL329" s="285"/>
      <c r="AM329" s="275"/>
      <c r="AN329" s="275"/>
      <c r="AO329" s="275"/>
      <c r="AP329" s="275"/>
      <c r="AQ329" s="275"/>
      <c r="AR329" s="275"/>
      <c r="AS329" s="275"/>
      <c r="AT329" s="275"/>
      <c r="AU329" s="275"/>
      <c r="AV329" s="275"/>
      <c r="AW329" s="275"/>
      <c r="AX329" s="275"/>
      <c r="AY329" s="275"/>
    </row>
    <row r="330" spans="1:51" s="283" customFormat="1" ht="74.400000000000006" customHeight="1" outlineLevel="1" x14ac:dyDescent="0.25">
      <c r="A330" s="314" t="s">
        <v>879</v>
      </c>
      <c r="B330" s="320" t="s">
        <v>880</v>
      </c>
      <c r="C330" s="341">
        <f>E330</f>
        <v>9.07</v>
      </c>
      <c r="D330" s="314">
        <f t="shared" si="73"/>
        <v>7823.6100000000006</v>
      </c>
      <c r="E330" s="343">
        <v>9.07</v>
      </c>
      <c r="F330" s="318">
        <f t="shared" si="75"/>
        <v>7823.6100000000006</v>
      </c>
      <c r="G330" s="314">
        <v>7393.31</v>
      </c>
      <c r="H330" s="314">
        <v>430.3</v>
      </c>
      <c r="I330" s="314">
        <v>0</v>
      </c>
      <c r="J330" s="335">
        <v>0</v>
      </c>
      <c r="K330" s="330">
        <v>0</v>
      </c>
      <c r="L330" s="330">
        <v>0</v>
      </c>
      <c r="M330" s="330">
        <v>0</v>
      </c>
      <c r="N330" s="330">
        <v>0</v>
      </c>
      <c r="O330" s="335">
        <v>0</v>
      </c>
      <c r="P330" s="330">
        <v>0</v>
      </c>
      <c r="Q330" s="330">
        <v>0</v>
      </c>
      <c r="R330" s="330">
        <v>0</v>
      </c>
      <c r="S330" s="330">
        <v>0</v>
      </c>
      <c r="T330" s="335">
        <v>0</v>
      </c>
      <c r="U330" s="330">
        <v>0</v>
      </c>
      <c r="V330" s="330">
        <v>0</v>
      </c>
      <c r="W330" s="330">
        <v>0</v>
      </c>
      <c r="X330" s="495">
        <v>0</v>
      </c>
      <c r="Y330" s="332">
        <v>0</v>
      </c>
      <c r="Z330" s="330">
        <v>0</v>
      </c>
      <c r="AA330" s="330">
        <v>0</v>
      </c>
      <c r="AB330" s="330">
        <v>0</v>
      </c>
      <c r="AC330" s="335">
        <v>0</v>
      </c>
      <c r="AD330" s="330">
        <v>0</v>
      </c>
      <c r="AE330" s="330">
        <v>0</v>
      </c>
      <c r="AF330" s="330">
        <v>0</v>
      </c>
      <c r="AG330" s="495">
        <v>0</v>
      </c>
      <c r="AH330" s="335">
        <v>0</v>
      </c>
      <c r="AI330" s="330">
        <v>0</v>
      </c>
      <c r="AJ330" s="330">
        <v>0</v>
      </c>
      <c r="AK330" s="330">
        <v>0</v>
      </c>
      <c r="AL330" s="285"/>
      <c r="AM330" s="275"/>
      <c r="AN330" s="275"/>
      <c r="AO330" s="275"/>
      <c r="AP330" s="275"/>
      <c r="AQ330" s="275"/>
      <c r="AR330" s="275"/>
      <c r="AS330" s="275"/>
      <c r="AT330" s="275"/>
      <c r="AU330" s="275"/>
      <c r="AV330" s="275"/>
      <c r="AW330" s="275"/>
      <c r="AX330" s="275"/>
      <c r="AY330" s="275"/>
    </row>
    <row r="331" spans="1:51" s="275" customFormat="1" ht="40.35" customHeight="1" outlineLevel="1" x14ac:dyDescent="0.25">
      <c r="A331" s="314" t="s">
        <v>881</v>
      </c>
      <c r="B331" s="320" t="s">
        <v>882</v>
      </c>
      <c r="C331" s="314">
        <f t="shared" si="74"/>
        <v>0</v>
      </c>
      <c r="D331" s="314">
        <f>F331+J331+O331+T331+Y331+AC331+AH331-0.8</f>
        <v>28947.450000000004</v>
      </c>
      <c r="E331" s="343">
        <v>0</v>
      </c>
      <c r="F331" s="307">
        <f>G331+H331</f>
        <v>8385.3599999999988</v>
      </c>
      <c r="G331" s="314">
        <v>7924.19</v>
      </c>
      <c r="H331" s="314">
        <v>461.17</v>
      </c>
      <c r="I331" s="314">
        <v>0</v>
      </c>
      <c r="J331" s="335">
        <f>L331+M331</f>
        <v>2261.85</v>
      </c>
      <c r="K331" s="330">
        <v>0</v>
      </c>
      <c r="L331" s="330">
        <v>2081.14</v>
      </c>
      <c r="M331" s="330">
        <v>180.71</v>
      </c>
      <c r="N331" s="330">
        <v>0</v>
      </c>
      <c r="O331" s="335">
        <v>13921.87</v>
      </c>
      <c r="P331" s="330">
        <v>0</v>
      </c>
      <c r="Q331" s="330">
        <v>4121.68</v>
      </c>
      <c r="R331" s="330">
        <v>9800.19</v>
      </c>
      <c r="S331" s="330">
        <v>0</v>
      </c>
      <c r="T331" s="335">
        <f>U331+V331+W331</f>
        <v>4378.7700000000004</v>
      </c>
      <c r="U331" s="330">
        <v>2506.4299999999998</v>
      </c>
      <c r="V331" s="330">
        <v>1565.61</v>
      </c>
      <c r="W331" s="330">
        <v>306.73</v>
      </c>
      <c r="X331" s="495">
        <v>0</v>
      </c>
      <c r="Y331" s="332">
        <f>Z331+AA331</f>
        <v>0</v>
      </c>
      <c r="Z331" s="330">
        <v>0</v>
      </c>
      <c r="AA331" s="330">
        <v>0</v>
      </c>
      <c r="AB331" s="330">
        <v>0</v>
      </c>
      <c r="AC331" s="335">
        <f>AE331+AF331</f>
        <v>0.4</v>
      </c>
      <c r="AD331" s="330">
        <v>0</v>
      </c>
      <c r="AE331" s="330">
        <v>0.4</v>
      </c>
      <c r="AF331" s="330">
        <v>0</v>
      </c>
      <c r="AG331" s="495">
        <v>0</v>
      </c>
      <c r="AH331" s="335">
        <v>0</v>
      </c>
      <c r="AI331" s="330">
        <v>0</v>
      </c>
      <c r="AJ331" s="330">
        <v>0</v>
      </c>
      <c r="AK331" s="330">
        <v>0</v>
      </c>
      <c r="AL331" s="285"/>
    </row>
    <row r="332" spans="1:51" s="275" customFormat="1" ht="234.6" customHeight="1" outlineLevel="1" x14ac:dyDescent="0.25">
      <c r="A332" s="314" t="s">
        <v>883</v>
      </c>
      <c r="B332" s="320" t="s">
        <v>884</v>
      </c>
      <c r="C332" s="314">
        <v>0</v>
      </c>
      <c r="D332" s="314">
        <f>F332+J332+O332+T332+Y332+AC332+AH332</f>
        <v>16621.900000000001</v>
      </c>
      <c r="E332" s="343">
        <v>0</v>
      </c>
      <c r="F332" s="307">
        <f>G332+H332</f>
        <v>2743</v>
      </c>
      <c r="G332" s="314">
        <v>0</v>
      </c>
      <c r="H332" s="314">
        <v>2743</v>
      </c>
      <c r="I332" s="314">
        <v>0</v>
      </c>
      <c r="J332" s="335">
        <f>K332+L332+M332</f>
        <v>278</v>
      </c>
      <c r="K332" s="330">
        <v>0</v>
      </c>
      <c r="L332" s="330">
        <v>0</v>
      </c>
      <c r="M332" s="330">
        <v>278</v>
      </c>
      <c r="N332" s="330">
        <v>0</v>
      </c>
      <c r="O332" s="335">
        <f>P332+Q332+R332</f>
        <v>2341.61</v>
      </c>
      <c r="P332" s="330">
        <v>0</v>
      </c>
      <c r="Q332" s="330">
        <v>0</v>
      </c>
      <c r="R332" s="330">
        <v>2341.61</v>
      </c>
      <c r="S332" s="330">
        <v>0</v>
      </c>
      <c r="T332" s="335">
        <f>U332+V332+W332</f>
        <v>5822</v>
      </c>
      <c r="U332" s="330">
        <v>0</v>
      </c>
      <c r="V332" s="330">
        <v>0</v>
      </c>
      <c r="W332" s="330">
        <v>5822</v>
      </c>
      <c r="X332" s="495">
        <v>0</v>
      </c>
      <c r="Y332" s="332">
        <f>AA332</f>
        <v>2042</v>
      </c>
      <c r="Z332" s="330">
        <v>0</v>
      </c>
      <c r="AA332" s="330">
        <v>2042</v>
      </c>
      <c r="AB332" s="330">
        <v>0</v>
      </c>
      <c r="AC332" s="335">
        <f>AF332</f>
        <v>2695.69</v>
      </c>
      <c r="AD332" s="330">
        <v>0</v>
      </c>
      <c r="AE332" s="330">
        <v>0</v>
      </c>
      <c r="AF332" s="330">
        <v>2695.69</v>
      </c>
      <c r="AG332" s="495">
        <v>0</v>
      </c>
      <c r="AH332" s="335">
        <f>AI332+AK332</f>
        <v>699.6</v>
      </c>
      <c r="AI332" s="330">
        <v>0</v>
      </c>
      <c r="AJ332" s="330">
        <v>0</v>
      </c>
      <c r="AK332" s="395">
        <f>1254.7-555.1</f>
        <v>699.6</v>
      </c>
      <c r="AL332" s="285"/>
    </row>
    <row r="333" spans="1:51" s="275" customFormat="1" ht="75.599999999999994" customHeight="1" outlineLevel="1" x14ac:dyDescent="0.25">
      <c r="A333" s="311" t="s">
        <v>885</v>
      </c>
      <c r="B333" s="320" t="s">
        <v>886</v>
      </c>
      <c r="C333" s="311">
        <f>I333</f>
        <v>9</v>
      </c>
      <c r="D333" s="314">
        <f t="shared" ref="D333:D395" si="76">F333+J333+O333+T333+Y333+AC333+AH333</f>
        <v>17130.64</v>
      </c>
      <c r="E333" s="303">
        <v>0</v>
      </c>
      <c r="F333" s="307">
        <v>0</v>
      </c>
      <c r="G333" s="303">
        <v>0</v>
      </c>
      <c r="H333" s="303">
        <v>0</v>
      </c>
      <c r="I333" s="311">
        <v>9</v>
      </c>
      <c r="J333" s="318">
        <f t="shared" ref="J333:J341" si="77">L333+M333</f>
        <v>17130.64</v>
      </c>
      <c r="K333" s="311">
        <v>0</v>
      </c>
      <c r="L333" s="330">
        <v>15760.19</v>
      </c>
      <c r="M333" s="330">
        <v>1370.45</v>
      </c>
      <c r="N333" s="330">
        <v>0</v>
      </c>
      <c r="O333" s="335">
        <v>0</v>
      </c>
      <c r="P333" s="330">
        <v>0</v>
      </c>
      <c r="Q333" s="330">
        <v>0</v>
      </c>
      <c r="R333" s="330">
        <v>0</v>
      </c>
      <c r="S333" s="279">
        <v>0</v>
      </c>
      <c r="T333" s="336">
        <v>0</v>
      </c>
      <c r="U333" s="279">
        <v>0</v>
      </c>
      <c r="V333" s="279">
        <v>0</v>
      </c>
      <c r="W333" s="279">
        <v>0</v>
      </c>
      <c r="X333" s="499">
        <v>0</v>
      </c>
      <c r="Y333" s="280">
        <v>0</v>
      </c>
      <c r="Z333" s="279">
        <v>0</v>
      </c>
      <c r="AA333" s="279">
        <v>0</v>
      </c>
      <c r="AB333" s="279">
        <v>0</v>
      </c>
      <c r="AC333" s="336">
        <v>0</v>
      </c>
      <c r="AD333" s="279">
        <v>0</v>
      </c>
      <c r="AE333" s="279">
        <v>0</v>
      </c>
      <c r="AF333" s="279">
        <v>0</v>
      </c>
      <c r="AG333" s="499">
        <v>0</v>
      </c>
      <c r="AH333" s="336">
        <v>0</v>
      </c>
      <c r="AI333" s="330">
        <v>0</v>
      </c>
      <c r="AJ333" s="279">
        <v>0</v>
      </c>
      <c r="AK333" s="279">
        <v>0</v>
      </c>
      <c r="AL333" s="285"/>
    </row>
    <row r="334" spans="1:51" s="275" customFormat="1" ht="68.400000000000006" customHeight="1" outlineLevel="1" x14ac:dyDescent="0.25">
      <c r="A334" s="311" t="s">
        <v>887</v>
      </c>
      <c r="B334" s="320" t="s">
        <v>888</v>
      </c>
      <c r="C334" s="311">
        <f t="shared" ref="C334:C341" si="78">I334</f>
        <v>16.350000000000001</v>
      </c>
      <c r="D334" s="314">
        <f t="shared" si="76"/>
        <v>27379.200000000001</v>
      </c>
      <c r="E334" s="303">
        <v>0</v>
      </c>
      <c r="F334" s="307">
        <v>0</v>
      </c>
      <c r="G334" s="303">
        <v>0</v>
      </c>
      <c r="H334" s="303">
        <v>0</v>
      </c>
      <c r="I334" s="311">
        <v>16.350000000000001</v>
      </c>
      <c r="J334" s="318">
        <f t="shared" si="77"/>
        <v>27379.200000000001</v>
      </c>
      <c r="K334" s="311">
        <v>0</v>
      </c>
      <c r="L334" s="330">
        <v>25188.86</v>
      </c>
      <c r="M334" s="330">
        <v>2190.34</v>
      </c>
      <c r="N334" s="330">
        <v>0</v>
      </c>
      <c r="O334" s="335">
        <v>0</v>
      </c>
      <c r="P334" s="330">
        <v>0</v>
      </c>
      <c r="Q334" s="330">
        <v>0</v>
      </c>
      <c r="R334" s="330">
        <v>0</v>
      </c>
      <c r="S334" s="279">
        <v>0</v>
      </c>
      <c r="T334" s="336">
        <v>0</v>
      </c>
      <c r="U334" s="279">
        <v>0</v>
      </c>
      <c r="V334" s="279">
        <v>0</v>
      </c>
      <c r="W334" s="279">
        <v>0</v>
      </c>
      <c r="X334" s="499">
        <v>0</v>
      </c>
      <c r="Y334" s="280">
        <v>0</v>
      </c>
      <c r="Z334" s="279">
        <v>0</v>
      </c>
      <c r="AA334" s="279">
        <v>0</v>
      </c>
      <c r="AB334" s="279">
        <v>0</v>
      </c>
      <c r="AC334" s="336">
        <v>0</v>
      </c>
      <c r="AD334" s="279">
        <v>0</v>
      </c>
      <c r="AE334" s="279">
        <v>0</v>
      </c>
      <c r="AF334" s="279">
        <v>0</v>
      </c>
      <c r="AG334" s="499">
        <v>0</v>
      </c>
      <c r="AH334" s="336">
        <v>0</v>
      </c>
      <c r="AI334" s="330">
        <v>0</v>
      </c>
      <c r="AJ334" s="279">
        <v>0</v>
      </c>
      <c r="AK334" s="279">
        <v>0</v>
      </c>
      <c r="AL334" s="285"/>
    </row>
    <row r="335" spans="1:51" s="275" customFormat="1" ht="89.4" customHeight="1" outlineLevel="1" x14ac:dyDescent="0.25">
      <c r="A335" s="311" t="s">
        <v>889</v>
      </c>
      <c r="B335" s="320" t="s">
        <v>1408</v>
      </c>
      <c r="C335" s="311">
        <f t="shared" si="78"/>
        <v>21.6</v>
      </c>
      <c r="D335" s="314">
        <f t="shared" si="76"/>
        <v>40741.049999999996</v>
      </c>
      <c r="E335" s="303">
        <v>0</v>
      </c>
      <c r="F335" s="307">
        <v>0</v>
      </c>
      <c r="G335" s="303">
        <v>0</v>
      </c>
      <c r="H335" s="303">
        <v>0</v>
      </c>
      <c r="I335" s="311">
        <v>21.6</v>
      </c>
      <c r="J335" s="318">
        <f t="shared" si="77"/>
        <v>40741.049999999996</v>
      </c>
      <c r="K335" s="311">
        <v>0</v>
      </c>
      <c r="L335" s="330">
        <v>37481.769999999997</v>
      </c>
      <c r="M335" s="330">
        <v>3259.28</v>
      </c>
      <c r="N335" s="330">
        <v>0</v>
      </c>
      <c r="O335" s="335">
        <v>0</v>
      </c>
      <c r="P335" s="330">
        <v>0</v>
      </c>
      <c r="Q335" s="330">
        <v>0</v>
      </c>
      <c r="R335" s="330">
        <v>0</v>
      </c>
      <c r="S335" s="279">
        <v>0</v>
      </c>
      <c r="T335" s="336">
        <v>0</v>
      </c>
      <c r="U335" s="279">
        <v>0</v>
      </c>
      <c r="V335" s="279">
        <v>0</v>
      </c>
      <c r="W335" s="279">
        <v>0</v>
      </c>
      <c r="X335" s="499">
        <v>0</v>
      </c>
      <c r="Y335" s="280">
        <v>0</v>
      </c>
      <c r="Z335" s="279">
        <v>0</v>
      </c>
      <c r="AA335" s="279">
        <v>0</v>
      </c>
      <c r="AB335" s="279">
        <v>0</v>
      </c>
      <c r="AC335" s="336">
        <v>0</v>
      </c>
      <c r="AD335" s="279">
        <v>0</v>
      </c>
      <c r="AE335" s="279">
        <v>0</v>
      </c>
      <c r="AF335" s="279">
        <v>0</v>
      </c>
      <c r="AG335" s="499">
        <v>0</v>
      </c>
      <c r="AH335" s="336">
        <v>0</v>
      </c>
      <c r="AI335" s="330">
        <v>0</v>
      </c>
      <c r="AJ335" s="279">
        <v>0</v>
      </c>
      <c r="AK335" s="279">
        <v>0</v>
      </c>
      <c r="AL335" s="285"/>
    </row>
    <row r="336" spans="1:51" s="275" customFormat="1" ht="93" customHeight="1" outlineLevel="1" x14ac:dyDescent="0.25">
      <c r="A336" s="311" t="s">
        <v>890</v>
      </c>
      <c r="B336" s="320" t="s">
        <v>891</v>
      </c>
      <c r="C336" s="311">
        <f t="shared" si="78"/>
        <v>5.0599999999999996</v>
      </c>
      <c r="D336" s="314">
        <f t="shared" si="76"/>
        <v>8942.41</v>
      </c>
      <c r="E336" s="303">
        <v>0</v>
      </c>
      <c r="F336" s="307">
        <v>0</v>
      </c>
      <c r="G336" s="303">
        <v>0</v>
      </c>
      <c r="H336" s="303">
        <v>0</v>
      </c>
      <c r="I336" s="311">
        <v>5.0599999999999996</v>
      </c>
      <c r="J336" s="318">
        <f t="shared" si="77"/>
        <v>8942.41</v>
      </c>
      <c r="K336" s="311">
        <v>0</v>
      </c>
      <c r="L336" s="330">
        <v>8227.02</v>
      </c>
      <c r="M336" s="330">
        <v>715.39</v>
      </c>
      <c r="N336" s="330">
        <v>0</v>
      </c>
      <c r="O336" s="335">
        <v>0</v>
      </c>
      <c r="P336" s="330">
        <v>0</v>
      </c>
      <c r="Q336" s="330">
        <v>0</v>
      </c>
      <c r="R336" s="330">
        <v>0</v>
      </c>
      <c r="S336" s="279">
        <v>0</v>
      </c>
      <c r="T336" s="336">
        <v>0</v>
      </c>
      <c r="U336" s="279">
        <v>0</v>
      </c>
      <c r="V336" s="279">
        <v>0</v>
      </c>
      <c r="W336" s="279">
        <v>0</v>
      </c>
      <c r="X336" s="499">
        <v>0</v>
      </c>
      <c r="Y336" s="280">
        <v>0</v>
      </c>
      <c r="Z336" s="279">
        <v>0</v>
      </c>
      <c r="AA336" s="279">
        <v>0</v>
      </c>
      <c r="AB336" s="279">
        <v>0</v>
      </c>
      <c r="AC336" s="336">
        <v>0</v>
      </c>
      <c r="AD336" s="279">
        <v>0</v>
      </c>
      <c r="AE336" s="279">
        <v>0</v>
      </c>
      <c r="AF336" s="279">
        <v>0</v>
      </c>
      <c r="AG336" s="499">
        <v>0</v>
      </c>
      <c r="AH336" s="336">
        <v>0</v>
      </c>
      <c r="AI336" s="330">
        <v>0</v>
      </c>
      <c r="AJ336" s="279">
        <v>0</v>
      </c>
      <c r="AK336" s="279">
        <v>0</v>
      </c>
      <c r="AL336" s="285"/>
    </row>
    <row r="337" spans="1:77" s="275" customFormat="1" ht="55.35" customHeight="1" outlineLevel="1" x14ac:dyDescent="0.25">
      <c r="A337" s="311" t="s">
        <v>892</v>
      </c>
      <c r="B337" s="320" t="s">
        <v>893</v>
      </c>
      <c r="C337" s="311">
        <f t="shared" si="78"/>
        <v>22</v>
      </c>
      <c r="D337" s="314">
        <f t="shared" si="76"/>
        <v>42404.14</v>
      </c>
      <c r="E337" s="303">
        <v>0</v>
      </c>
      <c r="F337" s="307">
        <v>0</v>
      </c>
      <c r="G337" s="303">
        <v>0</v>
      </c>
      <c r="H337" s="303">
        <v>0</v>
      </c>
      <c r="I337" s="311">
        <v>22</v>
      </c>
      <c r="J337" s="318">
        <f t="shared" si="77"/>
        <v>42404.14</v>
      </c>
      <c r="K337" s="311">
        <v>0</v>
      </c>
      <c r="L337" s="330">
        <v>39011.81</v>
      </c>
      <c r="M337" s="330">
        <v>3392.33</v>
      </c>
      <c r="N337" s="330">
        <v>0</v>
      </c>
      <c r="O337" s="335">
        <v>0</v>
      </c>
      <c r="P337" s="330">
        <v>0</v>
      </c>
      <c r="Q337" s="330">
        <v>0</v>
      </c>
      <c r="R337" s="330">
        <v>0</v>
      </c>
      <c r="S337" s="279">
        <v>0</v>
      </c>
      <c r="T337" s="336">
        <v>0</v>
      </c>
      <c r="U337" s="279">
        <v>0</v>
      </c>
      <c r="V337" s="279">
        <v>0</v>
      </c>
      <c r="W337" s="279">
        <v>0</v>
      </c>
      <c r="X337" s="499">
        <v>0</v>
      </c>
      <c r="Y337" s="280">
        <v>0</v>
      </c>
      <c r="Z337" s="279">
        <v>0</v>
      </c>
      <c r="AA337" s="279">
        <v>0</v>
      </c>
      <c r="AB337" s="279">
        <v>0</v>
      </c>
      <c r="AC337" s="336">
        <v>0</v>
      </c>
      <c r="AD337" s="279">
        <v>0</v>
      </c>
      <c r="AE337" s="279">
        <v>0</v>
      </c>
      <c r="AF337" s="279">
        <v>0</v>
      </c>
      <c r="AG337" s="499">
        <v>0</v>
      </c>
      <c r="AH337" s="336">
        <v>0</v>
      </c>
      <c r="AI337" s="330">
        <v>0</v>
      </c>
      <c r="AJ337" s="279">
        <v>0</v>
      </c>
      <c r="AK337" s="279">
        <v>0</v>
      </c>
      <c r="AL337" s="285"/>
    </row>
    <row r="338" spans="1:77" s="275" customFormat="1" ht="56.4" customHeight="1" outlineLevel="1" x14ac:dyDescent="0.25">
      <c r="A338" s="311" t="s">
        <v>894</v>
      </c>
      <c r="B338" s="320" t="s">
        <v>895</v>
      </c>
      <c r="C338" s="311">
        <f t="shared" si="78"/>
        <v>8.07</v>
      </c>
      <c r="D338" s="314">
        <f t="shared" si="76"/>
        <v>16470.82</v>
      </c>
      <c r="E338" s="303">
        <v>0</v>
      </c>
      <c r="F338" s="307">
        <v>0</v>
      </c>
      <c r="G338" s="303">
        <v>0</v>
      </c>
      <c r="H338" s="303">
        <v>0</v>
      </c>
      <c r="I338" s="311">
        <v>8.07</v>
      </c>
      <c r="J338" s="318">
        <f t="shared" si="77"/>
        <v>16470.82</v>
      </c>
      <c r="K338" s="311">
        <v>0</v>
      </c>
      <c r="L338" s="330">
        <v>15153.15</v>
      </c>
      <c r="M338" s="330">
        <v>1317.67</v>
      </c>
      <c r="N338" s="330">
        <v>0</v>
      </c>
      <c r="O338" s="335">
        <v>0</v>
      </c>
      <c r="P338" s="330">
        <v>0</v>
      </c>
      <c r="Q338" s="330">
        <v>0</v>
      </c>
      <c r="R338" s="330">
        <v>0</v>
      </c>
      <c r="S338" s="279">
        <v>0</v>
      </c>
      <c r="T338" s="336">
        <v>0</v>
      </c>
      <c r="U338" s="279">
        <v>0</v>
      </c>
      <c r="V338" s="279">
        <v>0</v>
      </c>
      <c r="W338" s="279">
        <v>0</v>
      </c>
      <c r="X338" s="499">
        <v>0</v>
      </c>
      <c r="Y338" s="280">
        <v>0</v>
      </c>
      <c r="Z338" s="279">
        <v>0</v>
      </c>
      <c r="AA338" s="279">
        <v>0</v>
      </c>
      <c r="AB338" s="279">
        <v>0</v>
      </c>
      <c r="AC338" s="336">
        <v>0</v>
      </c>
      <c r="AD338" s="279">
        <v>0</v>
      </c>
      <c r="AE338" s="279">
        <v>0</v>
      </c>
      <c r="AF338" s="279">
        <v>0</v>
      </c>
      <c r="AG338" s="499">
        <v>0</v>
      </c>
      <c r="AH338" s="336">
        <v>0</v>
      </c>
      <c r="AI338" s="330">
        <v>0</v>
      </c>
      <c r="AJ338" s="279">
        <v>0</v>
      </c>
      <c r="AK338" s="279">
        <v>0</v>
      </c>
      <c r="AL338" s="285"/>
    </row>
    <row r="339" spans="1:77" s="275" customFormat="1" ht="52.65" customHeight="1" outlineLevel="1" x14ac:dyDescent="0.25">
      <c r="A339" s="311" t="s">
        <v>896</v>
      </c>
      <c r="B339" s="320" t="s">
        <v>897</v>
      </c>
      <c r="C339" s="311">
        <f t="shared" si="78"/>
        <v>16.21</v>
      </c>
      <c r="D339" s="314">
        <f t="shared" si="76"/>
        <v>31368.34</v>
      </c>
      <c r="E339" s="303">
        <v>0</v>
      </c>
      <c r="F339" s="307">
        <v>0</v>
      </c>
      <c r="G339" s="303">
        <v>0</v>
      </c>
      <c r="H339" s="303">
        <v>0</v>
      </c>
      <c r="I339" s="311">
        <v>16.21</v>
      </c>
      <c r="J339" s="318">
        <f t="shared" si="77"/>
        <v>31368.34</v>
      </c>
      <c r="K339" s="311">
        <v>0</v>
      </c>
      <c r="L339" s="330">
        <v>28858.87</v>
      </c>
      <c r="M339" s="330">
        <v>2509.4699999999998</v>
      </c>
      <c r="N339" s="330">
        <v>0</v>
      </c>
      <c r="O339" s="335">
        <v>0</v>
      </c>
      <c r="P339" s="330">
        <v>0</v>
      </c>
      <c r="Q339" s="330">
        <v>0</v>
      </c>
      <c r="R339" s="330">
        <v>0</v>
      </c>
      <c r="S339" s="279">
        <v>0</v>
      </c>
      <c r="T339" s="336">
        <v>0</v>
      </c>
      <c r="U339" s="279">
        <v>0</v>
      </c>
      <c r="V339" s="279">
        <v>0</v>
      </c>
      <c r="W339" s="279">
        <v>0</v>
      </c>
      <c r="X339" s="499">
        <v>0</v>
      </c>
      <c r="Y339" s="280">
        <v>0</v>
      </c>
      <c r="Z339" s="279">
        <v>0</v>
      </c>
      <c r="AA339" s="279">
        <v>0</v>
      </c>
      <c r="AB339" s="279">
        <v>0</v>
      </c>
      <c r="AC339" s="336">
        <v>0</v>
      </c>
      <c r="AD339" s="279">
        <v>0</v>
      </c>
      <c r="AE339" s="279">
        <v>0</v>
      </c>
      <c r="AF339" s="279">
        <v>0</v>
      </c>
      <c r="AG339" s="499">
        <v>0</v>
      </c>
      <c r="AH339" s="336">
        <v>0</v>
      </c>
      <c r="AI339" s="330">
        <v>0</v>
      </c>
      <c r="AJ339" s="279">
        <v>0</v>
      </c>
      <c r="AK339" s="279">
        <v>0</v>
      </c>
      <c r="AL339" s="285"/>
    </row>
    <row r="340" spans="1:77" s="275" customFormat="1" ht="159" customHeight="1" outlineLevel="1" x14ac:dyDescent="0.25">
      <c r="A340" s="311" t="s">
        <v>898</v>
      </c>
      <c r="B340" s="320" t="s">
        <v>1409</v>
      </c>
      <c r="C340" s="311">
        <f>I340</f>
        <v>52.71</v>
      </c>
      <c r="D340" s="314">
        <f t="shared" si="76"/>
        <v>75190.12000000001</v>
      </c>
      <c r="E340" s="303">
        <v>0</v>
      </c>
      <c r="F340" s="307">
        <v>0</v>
      </c>
      <c r="G340" s="303">
        <v>0</v>
      </c>
      <c r="H340" s="303">
        <v>0</v>
      </c>
      <c r="I340" s="311">
        <v>52.71</v>
      </c>
      <c r="J340" s="318">
        <f t="shared" si="77"/>
        <v>75190.12000000001</v>
      </c>
      <c r="K340" s="311">
        <v>0</v>
      </c>
      <c r="L340" s="330">
        <v>69174.91</v>
      </c>
      <c r="M340" s="330">
        <v>6015.21</v>
      </c>
      <c r="N340" s="330">
        <v>0</v>
      </c>
      <c r="O340" s="335">
        <v>0</v>
      </c>
      <c r="P340" s="330">
        <v>0</v>
      </c>
      <c r="Q340" s="330">
        <v>0</v>
      </c>
      <c r="R340" s="330">
        <v>0</v>
      </c>
      <c r="S340" s="279">
        <v>0</v>
      </c>
      <c r="T340" s="336">
        <v>0</v>
      </c>
      <c r="U340" s="279">
        <v>0</v>
      </c>
      <c r="V340" s="279">
        <v>0</v>
      </c>
      <c r="W340" s="279">
        <v>0</v>
      </c>
      <c r="X340" s="499">
        <v>0</v>
      </c>
      <c r="Y340" s="280">
        <v>0</v>
      </c>
      <c r="Z340" s="279">
        <v>0</v>
      </c>
      <c r="AA340" s="279">
        <v>0</v>
      </c>
      <c r="AB340" s="279">
        <v>0</v>
      </c>
      <c r="AC340" s="336">
        <v>0</v>
      </c>
      <c r="AD340" s="279">
        <v>0</v>
      </c>
      <c r="AE340" s="279">
        <v>0</v>
      </c>
      <c r="AF340" s="279">
        <v>0</v>
      </c>
      <c r="AG340" s="499">
        <v>0</v>
      </c>
      <c r="AH340" s="336">
        <v>0</v>
      </c>
      <c r="AI340" s="330">
        <v>0</v>
      </c>
      <c r="AJ340" s="279">
        <v>0</v>
      </c>
      <c r="AK340" s="279">
        <v>0</v>
      </c>
      <c r="AL340" s="285"/>
    </row>
    <row r="341" spans="1:77" s="275" customFormat="1" ht="93" customHeight="1" outlineLevel="1" x14ac:dyDescent="0.25">
      <c r="A341" s="311" t="s">
        <v>899</v>
      </c>
      <c r="B341" s="320" t="s">
        <v>1410</v>
      </c>
      <c r="C341" s="311">
        <f t="shared" si="78"/>
        <v>31.72</v>
      </c>
      <c r="D341" s="314">
        <f t="shared" si="76"/>
        <v>55562.98</v>
      </c>
      <c r="E341" s="303">
        <v>0</v>
      </c>
      <c r="F341" s="307">
        <v>0</v>
      </c>
      <c r="G341" s="303">
        <v>0</v>
      </c>
      <c r="H341" s="303">
        <v>0</v>
      </c>
      <c r="I341" s="311">
        <v>31.72</v>
      </c>
      <c r="J341" s="318">
        <f t="shared" si="77"/>
        <v>55562.98</v>
      </c>
      <c r="K341" s="311">
        <v>0</v>
      </c>
      <c r="L341" s="330">
        <v>51117.94</v>
      </c>
      <c r="M341" s="330">
        <v>4445.04</v>
      </c>
      <c r="N341" s="330">
        <v>0</v>
      </c>
      <c r="O341" s="335">
        <v>0</v>
      </c>
      <c r="P341" s="330">
        <v>0</v>
      </c>
      <c r="Q341" s="330">
        <v>0</v>
      </c>
      <c r="R341" s="330">
        <v>0</v>
      </c>
      <c r="S341" s="279">
        <v>0</v>
      </c>
      <c r="T341" s="336">
        <v>0</v>
      </c>
      <c r="U341" s="279">
        <v>0</v>
      </c>
      <c r="V341" s="279">
        <v>0</v>
      </c>
      <c r="W341" s="279">
        <v>0</v>
      </c>
      <c r="X341" s="499">
        <v>0</v>
      </c>
      <c r="Y341" s="280">
        <v>0</v>
      </c>
      <c r="Z341" s="279">
        <v>0</v>
      </c>
      <c r="AA341" s="279">
        <v>0</v>
      </c>
      <c r="AB341" s="279">
        <v>0</v>
      </c>
      <c r="AC341" s="336">
        <v>0</v>
      </c>
      <c r="AD341" s="279">
        <v>0</v>
      </c>
      <c r="AE341" s="279">
        <v>0</v>
      </c>
      <c r="AF341" s="279">
        <v>0</v>
      </c>
      <c r="AG341" s="499">
        <v>0</v>
      </c>
      <c r="AH341" s="336">
        <v>0</v>
      </c>
      <c r="AI341" s="330">
        <v>0</v>
      </c>
      <c r="AJ341" s="279">
        <v>0</v>
      </c>
      <c r="AK341" s="279">
        <v>0</v>
      </c>
      <c r="AL341" s="285"/>
    </row>
    <row r="342" spans="1:77" s="275" customFormat="1" ht="94.95" customHeight="1" outlineLevel="1" x14ac:dyDescent="0.25">
      <c r="A342" s="311" t="s">
        <v>900</v>
      </c>
      <c r="B342" s="331" t="s">
        <v>901</v>
      </c>
      <c r="C342" s="330">
        <f>E342+I342+N342+S342+X342+AB342+AG342</f>
        <v>0</v>
      </c>
      <c r="D342" s="314">
        <f t="shared" si="76"/>
        <v>0</v>
      </c>
      <c r="E342" s="303">
        <v>0</v>
      </c>
      <c r="F342" s="307">
        <v>0</v>
      </c>
      <c r="G342" s="303">
        <v>0</v>
      </c>
      <c r="H342" s="303">
        <v>0</v>
      </c>
      <c r="I342" s="314">
        <v>0</v>
      </c>
      <c r="J342" s="335">
        <f>M342+L342</f>
        <v>0</v>
      </c>
      <c r="K342" s="330">
        <v>0</v>
      </c>
      <c r="L342" s="330">
        <v>0</v>
      </c>
      <c r="M342" s="330">
        <v>0</v>
      </c>
      <c r="N342" s="330">
        <v>0</v>
      </c>
      <c r="O342" s="335">
        <f>Q342+R342</f>
        <v>0</v>
      </c>
      <c r="P342" s="330">
        <v>0</v>
      </c>
      <c r="Q342" s="330">
        <v>0</v>
      </c>
      <c r="R342" s="330">
        <v>0</v>
      </c>
      <c r="S342" s="330">
        <v>0</v>
      </c>
      <c r="T342" s="335">
        <f>V342+W342</f>
        <v>0</v>
      </c>
      <c r="U342" s="330">
        <v>0</v>
      </c>
      <c r="V342" s="330">
        <v>0</v>
      </c>
      <c r="W342" s="330">
        <v>0</v>
      </c>
      <c r="X342" s="495">
        <v>0</v>
      </c>
      <c r="Y342" s="280">
        <v>0</v>
      </c>
      <c r="Z342" s="330">
        <v>0</v>
      </c>
      <c r="AA342" s="330">
        <v>0</v>
      </c>
      <c r="AB342" s="330">
        <v>0</v>
      </c>
      <c r="AC342" s="336">
        <f>AF342</f>
        <v>0</v>
      </c>
      <c r="AD342" s="279">
        <v>0</v>
      </c>
      <c r="AE342" s="330">
        <v>0</v>
      </c>
      <c r="AF342" s="330">
        <v>0</v>
      </c>
      <c r="AG342" s="495">
        <v>0</v>
      </c>
      <c r="AH342" s="336">
        <f>AK342</f>
        <v>0</v>
      </c>
      <c r="AI342" s="330">
        <v>0</v>
      </c>
      <c r="AJ342" s="330">
        <v>0</v>
      </c>
      <c r="AK342" s="330">
        <v>0</v>
      </c>
      <c r="AL342" s="285"/>
    </row>
    <row r="343" spans="1:77" s="275" customFormat="1" ht="32.4" customHeight="1" outlineLevel="1" x14ac:dyDescent="0.25">
      <c r="A343" s="311" t="s">
        <v>902</v>
      </c>
      <c r="B343" s="346" t="s">
        <v>903</v>
      </c>
      <c r="C343" s="330">
        <f t="shared" ref="C343:C354" si="79">I343+N343+S343+X343+AB343+AG343</f>
        <v>0.1</v>
      </c>
      <c r="D343" s="314">
        <f t="shared" si="76"/>
        <v>76</v>
      </c>
      <c r="E343" s="303">
        <v>0</v>
      </c>
      <c r="F343" s="307">
        <v>0</v>
      </c>
      <c r="G343" s="303">
        <v>0</v>
      </c>
      <c r="H343" s="303">
        <v>0</v>
      </c>
      <c r="I343" s="314">
        <v>0.1</v>
      </c>
      <c r="J343" s="335">
        <v>76</v>
      </c>
      <c r="K343" s="330">
        <v>0</v>
      </c>
      <c r="L343" s="330">
        <v>0</v>
      </c>
      <c r="M343" s="330">
        <v>76</v>
      </c>
      <c r="N343" s="330">
        <v>0</v>
      </c>
      <c r="O343" s="335">
        <v>0</v>
      </c>
      <c r="P343" s="330">
        <v>0</v>
      </c>
      <c r="Q343" s="330">
        <v>0</v>
      </c>
      <c r="R343" s="330">
        <v>0</v>
      </c>
      <c r="S343" s="330">
        <v>0</v>
      </c>
      <c r="T343" s="335">
        <v>0</v>
      </c>
      <c r="U343" s="330">
        <v>0</v>
      </c>
      <c r="V343" s="330">
        <v>0</v>
      </c>
      <c r="W343" s="330">
        <v>0</v>
      </c>
      <c r="X343" s="495">
        <v>0</v>
      </c>
      <c r="Y343" s="280">
        <v>0</v>
      </c>
      <c r="Z343" s="330">
        <v>0</v>
      </c>
      <c r="AA343" s="330">
        <v>0</v>
      </c>
      <c r="AB343" s="330">
        <v>0</v>
      </c>
      <c r="AC343" s="336">
        <v>0</v>
      </c>
      <c r="AD343" s="279">
        <v>0</v>
      </c>
      <c r="AE343" s="330">
        <v>0</v>
      </c>
      <c r="AF343" s="330">
        <v>0</v>
      </c>
      <c r="AG343" s="495">
        <v>0</v>
      </c>
      <c r="AH343" s="336">
        <v>0</v>
      </c>
      <c r="AI343" s="330">
        <v>0</v>
      </c>
      <c r="AJ343" s="330">
        <v>0</v>
      </c>
      <c r="AK343" s="330">
        <v>0</v>
      </c>
      <c r="AL343" s="285"/>
    </row>
    <row r="344" spans="1:77" s="275" customFormat="1" ht="100.95" customHeight="1" outlineLevel="1" x14ac:dyDescent="0.25">
      <c r="A344" s="311" t="s">
        <v>904</v>
      </c>
      <c r="B344" s="331" t="s">
        <v>905</v>
      </c>
      <c r="C344" s="330">
        <f t="shared" si="79"/>
        <v>5.2</v>
      </c>
      <c r="D344" s="314">
        <f t="shared" si="76"/>
        <v>7101</v>
      </c>
      <c r="E344" s="303">
        <v>0</v>
      </c>
      <c r="F344" s="307">
        <v>0</v>
      </c>
      <c r="G344" s="303">
        <v>0</v>
      </c>
      <c r="H344" s="303">
        <v>0</v>
      </c>
      <c r="I344" s="314">
        <v>5.2</v>
      </c>
      <c r="J344" s="335">
        <f>M344</f>
        <v>7101</v>
      </c>
      <c r="K344" s="330">
        <v>0</v>
      </c>
      <c r="L344" s="330">
        <v>0</v>
      </c>
      <c r="M344" s="330">
        <v>7101</v>
      </c>
      <c r="N344" s="330">
        <v>0</v>
      </c>
      <c r="O344" s="335">
        <v>0</v>
      </c>
      <c r="P344" s="330">
        <v>0</v>
      </c>
      <c r="Q344" s="330">
        <v>0</v>
      </c>
      <c r="R344" s="330">
        <v>0</v>
      </c>
      <c r="S344" s="330">
        <v>0</v>
      </c>
      <c r="T344" s="335">
        <v>0</v>
      </c>
      <c r="U344" s="330">
        <v>0</v>
      </c>
      <c r="V344" s="330">
        <v>0</v>
      </c>
      <c r="W344" s="330">
        <v>0</v>
      </c>
      <c r="X344" s="495">
        <v>0</v>
      </c>
      <c r="Y344" s="280">
        <v>0</v>
      </c>
      <c r="Z344" s="330">
        <v>0</v>
      </c>
      <c r="AA344" s="330">
        <v>0</v>
      </c>
      <c r="AB344" s="330">
        <v>0</v>
      </c>
      <c r="AC344" s="336">
        <v>0</v>
      </c>
      <c r="AD344" s="279">
        <v>0</v>
      </c>
      <c r="AE344" s="330">
        <v>0</v>
      </c>
      <c r="AF344" s="330">
        <v>0</v>
      </c>
      <c r="AG344" s="495">
        <v>0</v>
      </c>
      <c r="AH344" s="336">
        <v>0</v>
      </c>
      <c r="AI344" s="330">
        <v>0</v>
      </c>
      <c r="AJ344" s="330">
        <v>0</v>
      </c>
      <c r="AK344" s="330">
        <v>0</v>
      </c>
      <c r="AL344" s="285"/>
    </row>
    <row r="345" spans="1:77" s="275" customFormat="1" ht="0.6" customHeight="1" outlineLevel="1" x14ac:dyDescent="0.25">
      <c r="A345" s="311"/>
      <c r="B345" s="331"/>
      <c r="C345" s="330">
        <f t="shared" si="79"/>
        <v>0</v>
      </c>
      <c r="D345" s="314">
        <f t="shared" si="76"/>
        <v>0</v>
      </c>
      <c r="E345" s="303"/>
      <c r="F345" s="307"/>
      <c r="G345" s="303"/>
      <c r="H345" s="303"/>
      <c r="I345" s="314"/>
      <c r="J345" s="335"/>
      <c r="K345" s="330"/>
      <c r="L345" s="330"/>
      <c r="M345" s="330"/>
      <c r="N345" s="330"/>
      <c r="O345" s="335"/>
      <c r="P345" s="330"/>
      <c r="Q345" s="330"/>
      <c r="R345" s="330"/>
      <c r="S345" s="330"/>
      <c r="T345" s="335"/>
      <c r="U345" s="330"/>
      <c r="V345" s="330"/>
      <c r="W345" s="330"/>
      <c r="X345" s="495"/>
      <c r="Y345" s="280"/>
      <c r="Z345" s="330"/>
      <c r="AA345" s="330"/>
      <c r="AB345" s="330"/>
      <c r="AC345" s="336"/>
      <c r="AD345" s="279"/>
      <c r="AE345" s="330"/>
      <c r="AF345" s="330"/>
      <c r="AG345" s="495"/>
      <c r="AH345" s="336"/>
      <c r="AI345" s="330">
        <v>0</v>
      </c>
      <c r="AJ345" s="330"/>
      <c r="AK345" s="330"/>
      <c r="AL345" s="285"/>
    </row>
    <row r="346" spans="1:77" s="284" customFormat="1" ht="54" customHeight="1" outlineLevel="1" x14ac:dyDescent="0.25">
      <c r="A346" s="311" t="s">
        <v>906</v>
      </c>
      <c r="B346" s="331" t="s">
        <v>907</v>
      </c>
      <c r="C346" s="330">
        <f t="shared" si="79"/>
        <v>46.18</v>
      </c>
      <c r="D346" s="314">
        <f t="shared" si="76"/>
        <v>71925.36</v>
      </c>
      <c r="E346" s="303">
        <v>0</v>
      </c>
      <c r="F346" s="307">
        <v>0</v>
      </c>
      <c r="G346" s="303">
        <v>0</v>
      </c>
      <c r="H346" s="303">
        <v>0</v>
      </c>
      <c r="I346" s="314">
        <v>0</v>
      </c>
      <c r="J346" s="335">
        <v>0</v>
      </c>
      <c r="K346" s="330">
        <v>0</v>
      </c>
      <c r="L346" s="330">
        <v>0</v>
      </c>
      <c r="M346" s="330">
        <v>0</v>
      </c>
      <c r="N346" s="330">
        <v>46.18</v>
      </c>
      <c r="O346" s="335">
        <v>71925.36</v>
      </c>
      <c r="P346" s="330">
        <v>0</v>
      </c>
      <c r="Q346" s="330">
        <f t="shared" ref="Q346:Q354" si="80">O346*0.947</f>
        <v>68113.315919999994</v>
      </c>
      <c r="R346" s="330">
        <f t="shared" ref="R346:R354" si="81">O346*0.053</f>
        <v>3812.0440800000001</v>
      </c>
      <c r="S346" s="330">
        <v>0</v>
      </c>
      <c r="T346" s="335">
        <v>0</v>
      </c>
      <c r="U346" s="330">
        <v>0</v>
      </c>
      <c r="V346" s="330">
        <v>0</v>
      </c>
      <c r="W346" s="330">
        <v>0</v>
      </c>
      <c r="X346" s="495">
        <v>0</v>
      </c>
      <c r="Y346" s="280">
        <v>0</v>
      </c>
      <c r="Z346" s="330">
        <v>0</v>
      </c>
      <c r="AA346" s="330">
        <v>0</v>
      </c>
      <c r="AB346" s="330">
        <v>0</v>
      </c>
      <c r="AC346" s="336">
        <v>0</v>
      </c>
      <c r="AD346" s="279">
        <v>0</v>
      </c>
      <c r="AE346" s="330">
        <v>0</v>
      </c>
      <c r="AF346" s="330">
        <v>0</v>
      </c>
      <c r="AG346" s="495">
        <v>0</v>
      </c>
      <c r="AH346" s="336">
        <v>0</v>
      </c>
      <c r="AI346" s="330">
        <v>0</v>
      </c>
      <c r="AJ346" s="330">
        <v>0</v>
      </c>
      <c r="AK346" s="330">
        <v>0</v>
      </c>
      <c r="AL346" s="316"/>
      <c r="AM346" s="267"/>
      <c r="AN346" s="267"/>
      <c r="AO346" s="267"/>
      <c r="AP346" s="267"/>
      <c r="AQ346" s="267"/>
      <c r="AR346" s="267"/>
      <c r="AS346" s="267"/>
      <c r="AT346" s="267"/>
      <c r="AU346" s="267"/>
      <c r="AV346" s="267"/>
      <c r="AW346" s="267"/>
      <c r="AX346" s="267"/>
      <c r="AY346" s="267"/>
      <c r="AZ346" s="267"/>
      <c r="BA346" s="267"/>
      <c r="BB346" s="267"/>
      <c r="BC346" s="267"/>
      <c r="BD346" s="267"/>
      <c r="BE346" s="267"/>
      <c r="BF346" s="267"/>
      <c r="BG346" s="267"/>
      <c r="BH346" s="267"/>
      <c r="BI346" s="267"/>
      <c r="BJ346" s="267"/>
      <c r="BK346" s="267"/>
      <c r="BL346" s="267"/>
      <c r="BM346" s="267"/>
      <c r="BN346" s="267"/>
      <c r="BO346" s="267"/>
      <c r="BP346" s="267"/>
      <c r="BQ346" s="267"/>
      <c r="BR346" s="267"/>
      <c r="BS346" s="267"/>
      <c r="BT346" s="267"/>
      <c r="BU346" s="267"/>
      <c r="BV346" s="267"/>
      <c r="BW346" s="267"/>
      <c r="BX346" s="267"/>
      <c r="BY346" s="267"/>
    </row>
    <row r="347" spans="1:77" s="275" customFormat="1" ht="67.95" customHeight="1" outlineLevel="1" x14ac:dyDescent="0.25">
      <c r="A347" s="347" t="s">
        <v>908</v>
      </c>
      <c r="B347" s="348" t="s">
        <v>909</v>
      </c>
      <c r="C347" s="349">
        <f t="shared" si="79"/>
        <v>58.08</v>
      </c>
      <c r="D347" s="350">
        <f t="shared" si="76"/>
        <v>92596.49</v>
      </c>
      <c r="E347" s="351">
        <v>0</v>
      </c>
      <c r="F347" s="352">
        <v>0</v>
      </c>
      <c r="G347" s="351">
        <v>0</v>
      </c>
      <c r="H347" s="351">
        <v>0</v>
      </c>
      <c r="I347" s="350">
        <v>0</v>
      </c>
      <c r="J347" s="353">
        <v>0</v>
      </c>
      <c r="K347" s="349">
        <v>0</v>
      </c>
      <c r="L347" s="349">
        <v>0</v>
      </c>
      <c r="M347" s="349">
        <v>0</v>
      </c>
      <c r="N347" s="349">
        <v>58.08</v>
      </c>
      <c r="O347" s="353">
        <v>92596.49</v>
      </c>
      <c r="P347" s="349">
        <v>0</v>
      </c>
      <c r="Q347" s="349">
        <f t="shared" si="80"/>
        <v>87688.876029999999</v>
      </c>
      <c r="R347" s="349">
        <f t="shared" si="81"/>
        <v>4907.6139700000003</v>
      </c>
      <c r="S347" s="349">
        <v>0</v>
      </c>
      <c r="T347" s="353">
        <v>0</v>
      </c>
      <c r="U347" s="349">
        <v>0</v>
      </c>
      <c r="V347" s="349">
        <v>0</v>
      </c>
      <c r="W347" s="349">
        <v>0</v>
      </c>
      <c r="X347" s="520">
        <v>0</v>
      </c>
      <c r="Y347" s="354">
        <v>0</v>
      </c>
      <c r="Z347" s="349">
        <v>0</v>
      </c>
      <c r="AA347" s="349">
        <v>0</v>
      </c>
      <c r="AB347" s="349">
        <v>0</v>
      </c>
      <c r="AC347" s="355">
        <v>0</v>
      </c>
      <c r="AD347" s="356">
        <v>0</v>
      </c>
      <c r="AE347" s="349">
        <v>0</v>
      </c>
      <c r="AF347" s="349">
        <v>0</v>
      </c>
      <c r="AG347" s="520">
        <v>0</v>
      </c>
      <c r="AH347" s="355">
        <v>0</v>
      </c>
      <c r="AI347" s="330">
        <v>0</v>
      </c>
      <c r="AJ347" s="349">
        <v>0</v>
      </c>
      <c r="AK347" s="349">
        <v>0</v>
      </c>
      <c r="AL347" s="285"/>
    </row>
    <row r="348" spans="1:77" s="275" customFormat="1" ht="82.95" customHeight="1" outlineLevel="1" x14ac:dyDescent="0.25">
      <c r="A348" s="311" t="s">
        <v>910</v>
      </c>
      <c r="B348" s="331" t="s">
        <v>911</v>
      </c>
      <c r="C348" s="330">
        <f t="shared" si="79"/>
        <v>66.3</v>
      </c>
      <c r="D348" s="314">
        <f t="shared" si="76"/>
        <v>130111.5</v>
      </c>
      <c r="E348" s="303">
        <v>0</v>
      </c>
      <c r="F348" s="307">
        <v>0</v>
      </c>
      <c r="G348" s="303">
        <v>0</v>
      </c>
      <c r="H348" s="303">
        <v>0</v>
      </c>
      <c r="I348" s="314">
        <v>0</v>
      </c>
      <c r="J348" s="335">
        <v>0</v>
      </c>
      <c r="K348" s="330">
        <v>0</v>
      </c>
      <c r="L348" s="330">
        <v>0</v>
      </c>
      <c r="M348" s="330">
        <v>0</v>
      </c>
      <c r="N348" s="330">
        <v>66.3</v>
      </c>
      <c r="O348" s="335">
        <v>130111.5</v>
      </c>
      <c r="P348" s="330">
        <v>0</v>
      </c>
      <c r="Q348" s="330">
        <f t="shared" si="80"/>
        <v>123215.59049999999</v>
      </c>
      <c r="R348" s="330">
        <f t="shared" si="81"/>
        <v>6895.9094999999998</v>
      </c>
      <c r="S348" s="330">
        <v>0</v>
      </c>
      <c r="T348" s="335">
        <v>0</v>
      </c>
      <c r="U348" s="330">
        <v>0</v>
      </c>
      <c r="V348" s="330">
        <v>0</v>
      </c>
      <c r="W348" s="330">
        <v>0</v>
      </c>
      <c r="X348" s="495">
        <v>0</v>
      </c>
      <c r="Y348" s="280">
        <v>0</v>
      </c>
      <c r="Z348" s="330">
        <v>0</v>
      </c>
      <c r="AA348" s="330">
        <v>0</v>
      </c>
      <c r="AB348" s="330">
        <v>0</v>
      </c>
      <c r="AC348" s="336">
        <v>0</v>
      </c>
      <c r="AD348" s="279">
        <v>0</v>
      </c>
      <c r="AE348" s="330">
        <v>0</v>
      </c>
      <c r="AF348" s="330">
        <v>0</v>
      </c>
      <c r="AG348" s="495">
        <v>0</v>
      </c>
      <c r="AH348" s="336">
        <v>0</v>
      </c>
      <c r="AI348" s="330">
        <v>0</v>
      </c>
      <c r="AJ348" s="330">
        <v>0</v>
      </c>
      <c r="AK348" s="330">
        <v>0</v>
      </c>
      <c r="AL348" s="285"/>
    </row>
    <row r="349" spans="1:77" s="275" customFormat="1" ht="153" customHeight="1" outlineLevel="1" x14ac:dyDescent="0.25">
      <c r="A349" s="311" t="s">
        <v>912</v>
      </c>
      <c r="B349" s="331" t="s">
        <v>913</v>
      </c>
      <c r="C349" s="330">
        <f t="shared" si="79"/>
        <v>57.76</v>
      </c>
      <c r="D349" s="314">
        <f t="shared" si="76"/>
        <v>108821.88</v>
      </c>
      <c r="E349" s="303">
        <v>0</v>
      </c>
      <c r="F349" s="307">
        <v>0</v>
      </c>
      <c r="G349" s="303">
        <v>0</v>
      </c>
      <c r="H349" s="303">
        <v>0</v>
      </c>
      <c r="I349" s="314">
        <v>0</v>
      </c>
      <c r="J349" s="335">
        <v>0</v>
      </c>
      <c r="K349" s="330">
        <v>0</v>
      </c>
      <c r="L349" s="330">
        <v>0</v>
      </c>
      <c r="M349" s="330">
        <v>0</v>
      </c>
      <c r="N349" s="330">
        <v>57.76</v>
      </c>
      <c r="O349" s="335">
        <v>108821.88</v>
      </c>
      <c r="P349" s="330">
        <v>0</v>
      </c>
      <c r="Q349" s="330">
        <f t="shared" si="80"/>
        <v>103054.32036</v>
      </c>
      <c r="R349" s="330">
        <f t="shared" si="81"/>
        <v>5767.5596400000004</v>
      </c>
      <c r="S349" s="330">
        <v>0</v>
      </c>
      <c r="T349" s="335">
        <v>0</v>
      </c>
      <c r="U349" s="330">
        <v>0</v>
      </c>
      <c r="V349" s="330">
        <v>0</v>
      </c>
      <c r="W349" s="330">
        <v>0</v>
      </c>
      <c r="X349" s="495">
        <v>0</v>
      </c>
      <c r="Y349" s="280">
        <v>0</v>
      </c>
      <c r="Z349" s="330">
        <v>0</v>
      </c>
      <c r="AA349" s="330">
        <v>0</v>
      </c>
      <c r="AB349" s="330">
        <v>0</v>
      </c>
      <c r="AC349" s="336">
        <v>0</v>
      </c>
      <c r="AD349" s="279">
        <v>0</v>
      </c>
      <c r="AE349" s="330">
        <v>0</v>
      </c>
      <c r="AF349" s="330">
        <v>0</v>
      </c>
      <c r="AG349" s="495">
        <v>0</v>
      </c>
      <c r="AH349" s="336">
        <v>0</v>
      </c>
      <c r="AI349" s="330">
        <v>0</v>
      </c>
      <c r="AJ349" s="330">
        <v>0</v>
      </c>
      <c r="AK349" s="330">
        <v>0</v>
      </c>
      <c r="AL349" s="285"/>
    </row>
    <row r="350" spans="1:77" s="275" customFormat="1" ht="93.6" customHeight="1" outlineLevel="1" x14ac:dyDescent="0.25">
      <c r="A350" s="311" t="s">
        <v>914</v>
      </c>
      <c r="B350" s="331" t="s">
        <v>905</v>
      </c>
      <c r="C350" s="330">
        <f>I350+N350+S350+X350+AB350+AG350</f>
        <v>4.7300000000000004</v>
      </c>
      <c r="D350" s="314">
        <f t="shared" si="76"/>
        <v>7508.78</v>
      </c>
      <c r="E350" s="303">
        <v>0</v>
      </c>
      <c r="F350" s="307">
        <v>0</v>
      </c>
      <c r="G350" s="303">
        <v>0</v>
      </c>
      <c r="H350" s="303">
        <v>0</v>
      </c>
      <c r="I350" s="314">
        <v>0</v>
      </c>
      <c r="J350" s="335">
        <v>0</v>
      </c>
      <c r="K350" s="330">
        <v>0</v>
      </c>
      <c r="L350" s="330">
        <v>0</v>
      </c>
      <c r="M350" s="330">
        <v>0</v>
      </c>
      <c r="N350" s="330">
        <v>4.7300000000000004</v>
      </c>
      <c r="O350" s="335">
        <v>7508.78</v>
      </c>
      <c r="P350" s="330">
        <v>0</v>
      </c>
      <c r="Q350" s="330">
        <f t="shared" si="80"/>
        <v>7110.8146599999991</v>
      </c>
      <c r="R350" s="330">
        <f t="shared" si="81"/>
        <v>397.96533999999997</v>
      </c>
      <c r="S350" s="330">
        <v>0</v>
      </c>
      <c r="T350" s="335">
        <v>0</v>
      </c>
      <c r="U350" s="330">
        <v>0</v>
      </c>
      <c r="V350" s="330">
        <v>0</v>
      </c>
      <c r="W350" s="330">
        <v>0</v>
      </c>
      <c r="X350" s="495">
        <v>0</v>
      </c>
      <c r="Y350" s="280">
        <v>0</v>
      </c>
      <c r="Z350" s="330">
        <v>0</v>
      </c>
      <c r="AA350" s="330">
        <v>0</v>
      </c>
      <c r="AB350" s="330">
        <v>0</v>
      </c>
      <c r="AC350" s="336">
        <v>0</v>
      </c>
      <c r="AD350" s="279">
        <v>0</v>
      </c>
      <c r="AE350" s="330">
        <v>0</v>
      </c>
      <c r="AF350" s="330">
        <v>0</v>
      </c>
      <c r="AG350" s="495">
        <v>0</v>
      </c>
      <c r="AH350" s="336">
        <v>0</v>
      </c>
      <c r="AI350" s="330">
        <v>0</v>
      </c>
      <c r="AJ350" s="330">
        <v>0</v>
      </c>
      <c r="AK350" s="330">
        <v>0</v>
      </c>
      <c r="AL350" s="285"/>
    </row>
    <row r="351" spans="1:77" s="275" customFormat="1" ht="71.400000000000006" customHeight="1" outlineLevel="1" x14ac:dyDescent="0.25">
      <c r="A351" s="311" t="s">
        <v>915</v>
      </c>
      <c r="B351" s="331" t="s">
        <v>916</v>
      </c>
      <c r="C351" s="330">
        <f>I351+N351+S351+X351+AB351+AG351</f>
        <v>31.08</v>
      </c>
      <c r="D351" s="314">
        <f t="shared" si="76"/>
        <v>62033.58</v>
      </c>
      <c r="E351" s="303">
        <v>0</v>
      </c>
      <c r="F351" s="307">
        <v>0</v>
      </c>
      <c r="G351" s="303">
        <v>0</v>
      </c>
      <c r="H351" s="303">
        <v>0</v>
      </c>
      <c r="I351" s="314">
        <v>0</v>
      </c>
      <c r="J351" s="335">
        <v>0</v>
      </c>
      <c r="K351" s="330">
        <v>0</v>
      </c>
      <c r="L351" s="330">
        <v>0</v>
      </c>
      <c r="M351" s="330">
        <v>0</v>
      </c>
      <c r="N351" s="330">
        <v>31.08</v>
      </c>
      <c r="O351" s="335">
        <v>62033.58</v>
      </c>
      <c r="P351" s="330">
        <v>0</v>
      </c>
      <c r="Q351" s="330">
        <f t="shared" si="80"/>
        <v>58745.800259999996</v>
      </c>
      <c r="R351" s="330">
        <f t="shared" si="81"/>
        <v>3287.7797399999999</v>
      </c>
      <c r="S351" s="330">
        <v>0</v>
      </c>
      <c r="T351" s="335">
        <v>0</v>
      </c>
      <c r="U351" s="330">
        <v>0</v>
      </c>
      <c r="V351" s="330">
        <v>0</v>
      </c>
      <c r="W351" s="330">
        <v>0</v>
      </c>
      <c r="X351" s="495">
        <v>0</v>
      </c>
      <c r="Y351" s="280">
        <v>0</v>
      </c>
      <c r="Z351" s="330">
        <v>0</v>
      </c>
      <c r="AA351" s="330">
        <v>0</v>
      </c>
      <c r="AB351" s="330">
        <v>0</v>
      </c>
      <c r="AC351" s="336">
        <v>0</v>
      </c>
      <c r="AD351" s="279">
        <v>0</v>
      </c>
      <c r="AE351" s="330">
        <v>0</v>
      </c>
      <c r="AF351" s="330">
        <v>0</v>
      </c>
      <c r="AG351" s="495">
        <v>0</v>
      </c>
      <c r="AH351" s="336">
        <v>0</v>
      </c>
      <c r="AI351" s="330">
        <v>0</v>
      </c>
      <c r="AJ351" s="330">
        <v>0</v>
      </c>
      <c r="AK351" s="330">
        <v>0</v>
      </c>
      <c r="AL351" s="285"/>
    </row>
    <row r="352" spans="1:77" s="275" customFormat="1" ht="92.4" customHeight="1" outlineLevel="1" x14ac:dyDescent="0.25">
      <c r="A352" s="311" t="s">
        <v>917</v>
      </c>
      <c r="B352" s="331" t="s">
        <v>918</v>
      </c>
      <c r="C352" s="330">
        <f t="shared" si="79"/>
        <v>52.71</v>
      </c>
      <c r="D352" s="314">
        <f t="shared" si="76"/>
        <v>116764.26</v>
      </c>
      <c r="E352" s="303">
        <v>0</v>
      </c>
      <c r="F352" s="307">
        <v>0</v>
      </c>
      <c r="G352" s="303">
        <v>0</v>
      </c>
      <c r="H352" s="303">
        <v>0</v>
      </c>
      <c r="I352" s="314">
        <v>0</v>
      </c>
      <c r="J352" s="335">
        <v>0</v>
      </c>
      <c r="K352" s="330">
        <v>0</v>
      </c>
      <c r="L352" s="330">
        <v>0</v>
      </c>
      <c r="M352" s="330">
        <v>0</v>
      </c>
      <c r="N352" s="330">
        <v>52.71</v>
      </c>
      <c r="O352" s="335">
        <v>116764.26</v>
      </c>
      <c r="P352" s="330">
        <v>0</v>
      </c>
      <c r="Q352" s="330">
        <f t="shared" si="80"/>
        <v>110575.75421999999</v>
      </c>
      <c r="R352" s="330">
        <f t="shared" si="81"/>
        <v>6188.5057799999995</v>
      </c>
      <c r="S352" s="330">
        <v>0</v>
      </c>
      <c r="T352" s="335">
        <v>0</v>
      </c>
      <c r="U352" s="330">
        <v>0</v>
      </c>
      <c r="V352" s="330">
        <v>0</v>
      </c>
      <c r="W352" s="330">
        <v>0</v>
      </c>
      <c r="X352" s="495">
        <v>0</v>
      </c>
      <c r="Y352" s="280">
        <v>0</v>
      </c>
      <c r="Z352" s="330">
        <v>0</v>
      </c>
      <c r="AA352" s="330">
        <v>0</v>
      </c>
      <c r="AB352" s="330">
        <v>0</v>
      </c>
      <c r="AC352" s="336">
        <v>0</v>
      </c>
      <c r="AD352" s="279">
        <v>0</v>
      </c>
      <c r="AE352" s="330">
        <v>0</v>
      </c>
      <c r="AF352" s="330">
        <v>0</v>
      </c>
      <c r="AG352" s="495">
        <v>0</v>
      </c>
      <c r="AH352" s="336">
        <v>0</v>
      </c>
      <c r="AI352" s="330">
        <v>0</v>
      </c>
      <c r="AJ352" s="330">
        <v>0</v>
      </c>
      <c r="AK352" s="330">
        <v>0</v>
      </c>
      <c r="AL352" s="285"/>
    </row>
    <row r="353" spans="1:38" s="275" customFormat="1" ht="108.6" customHeight="1" outlineLevel="1" x14ac:dyDescent="0.25">
      <c r="A353" s="311" t="s">
        <v>919</v>
      </c>
      <c r="B353" s="331" t="s">
        <v>920</v>
      </c>
      <c r="C353" s="330">
        <f t="shared" si="79"/>
        <v>19.04</v>
      </c>
      <c r="D353" s="314">
        <f t="shared" si="76"/>
        <v>30615.29</v>
      </c>
      <c r="E353" s="303">
        <v>0</v>
      </c>
      <c r="F353" s="307">
        <v>0</v>
      </c>
      <c r="G353" s="303">
        <v>0</v>
      </c>
      <c r="H353" s="303">
        <v>0</v>
      </c>
      <c r="I353" s="314">
        <v>0</v>
      </c>
      <c r="J353" s="335">
        <v>0</v>
      </c>
      <c r="K353" s="330">
        <v>0</v>
      </c>
      <c r="L353" s="330">
        <v>0</v>
      </c>
      <c r="M353" s="330">
        <v>0</v>
      </c>
      <c r="N353" s="330">
        <v>19.04</v>
      </c>
      <c r="O353" s="335">
        <v>30615.29</v>
      </c>
      <c r="P353" s="330">
        <v>0</v>
      </c>
      <c r="Q353" s="330">
        <f t="shared" si="80"/>
        <v>28992.679629999999</v>
      </c>
      <c r="R353" s="330">
        <f t="shared" si="81"/>
        <v>1622.6103700000001</v>
      </c>
      <c r="S353" s="330">
        <v>0</v>
      </c>
      <c r="T353" s="335">
        <v>0</v>
      </c>
      <c r="U353" s="330">
        <v>0</v>
      </c>
      <c r="V353" s="330">
        <v>0</v>
      </c>
      <c r="W353" s="330">
        <v>0</v>
      </c>
      <c r="X353" s="495">
        <v>0</v>
      </c>
      <c r="Y353" s="280">
        <v>0</v>
      </c>
      <c r="Z353" s="330">
        <v>0</v>
      </c>
      <c r="AA353" s="330">
        <v>0</v>
      </c>
      <c r="AB353" s="330">
        <v>0</v>
      </c>
      <c r="AC353" s="336">
        <v>0</v>
      </c>
      <c r="AD353" s="279">
        <v>0</v>
      </c>
      <c r="AE353" s="330">
        <v>0</v>
      </c>
      <c r="AF353" s="330">
        <v>0</v>
      </c>
      <c r="AG353" s="495">
        <v>0</v>
      </c>
      <c r="AH353" s="336">
        <v>0</v>
      </c>
      <c r="AI353" s="330">
        <v>0</v>
      </c>
      <c r="AJ353" s="330">
        <v>0</v>
      </c>
      <c r="AK353" s="330">
        <v>0</v>
      </c>
      <c r="AL353" s="285"/>
    </row>
    <row r="354" spans="1:38" s="275" customFormat="1" ht="76.2" customHeight="1" outlineLevel="1" x14ac:dyDescent="0.25">
      <c r="A354" s="311" t="s">
        <v>921</v>
      </c>
      <c r="B354" s="331" t="s">
        <v>922</v>
      </c>
      <c r="C354" s="330">
        <f t="shared" si="79"/>
        <v>17.489999999999998</v>
      </c>
      <c r="D354" s="314">
        <f t="shared" si="76"/>
        <v>28792.05</v>
      </c>
      <c r="E354" s="303">
        <v>0</v>
      </c>
      <c r="F354" s="307">
        <v>0</v>
      </c>
      <c r="G354" s="303">
        <v>0</v>
      </c>
      <c r="H354" s="303">
        <v>0</v>
      </c>
      <c r="I354" s="314">
        <v>0</v>
      </c>
      <c r="J354" s="335">
        <v>0</v>
      </c>
      <c r="K354" s="330">
        <v>0</v>
      </c>
      <c r="L354" s="330">
        <v>0</v>
      </c>
      <c r="M354" s="330">
        <v>0</v>
      </c>
      <c r="N354" s="330">
        <v>17.489999999999998</v>
      </c>
      <c r="O354" s="335">
        <v>28792.05</v>
      </c>
      <c r="P354" s="330">
        <v>0</v>
      </c>
      <c r="Q354" s="330">
        <f t="shared" si="80"/>
        <v>27266.071349999998</v>
      </c>
      <c r="R354" s="330">
        <f t="shared" si="81"/>
        <v>1525.97865</v>
      </c>
      <c r="S354" s="330">
        <v>0</v>
      </c>
      <c r="T354" s="335">
        <v>0</v>
      </c>
      <c r="U354" s="330">
        <v>0</v>
      </c>
      <c r="V354" s="330">
        <v>0</v>
      </c>
      <c r="W354" s="330">
        <v>0</v>
      </c>
      <c r="X354" s="495">
        <v>0</v>
      </c>
      <c r="Y354" s="280">
        <v>0</v>
      </c>
      <c r="Z354" s="330">
        <v>0</v>
      </c>
      <c r="AA354" s="330">
        <v>0</v>
      </c>
      <c r="AB354" s="330">
        <v>0</v>
      </c>
      <c r="AC354" s="336">
        <v>0</v>
      </c>
      <c r="AD354" s="279">
        <v>0</v>
      </c>
      <c r="AE354" s="330">
        <v>0</v>
      </c>
      <c r="AF354" s="330">
        <v>0</v>
      </c>
      <c r="AG354" s="495">
        <v>0</v>
      </c>
      <c r="AH354" s="336">
        <v>0</v>
      </c>
      <c r="AI354" s="330">
        <v>0</v>
      </c>
      <c r="AJ354" s="330">
        <v>0</v>
      </c>
      <c r="AK354" s="330">
        <v>0</v>
      </c>
      <c r="AL354" s="285"/>
    </row>
    <row r="355" spans="1:38" s="275" customFormat="1" ht="52.35" customHeight="1" outlineLevel="1" x14ac:dyDescent="0.25">
      <c r="A355" s="311" t="s">
        <v>923</v>
      </c>
      <c r="B355" s="331" t="s">
        <v>924</v>
      </c>
      <c r="C355" s="330">
        <f>E355+I355+N355+S355+X355+AB355+AG355</f>
        <v>7.45</v>
      </c>
      <c r="D355" s="314">
        <f t="shared" si="76"/>
        <v>14392.939999999999</v>
      </c>
      <c r="E355" s="303">
        <v>0</v>
      </c>
      <c r="F355" s="307">
        <v>0</v>
      </c>
      <c r="G355" s="303">
        <v>0</v>
      </c>
      <c r="H355" s="303">
        <v>0</v>
      </c>
      <c r="I355" s="314">
        <v>0</v>
      </c>
      <c r="J355" s="335">
        <v>0</v>
      </c>
      <c r="K355" s="330">
        <v>0</v>
      </c>
      <c r="L355" s="330">
        <v>0</v>
      </c>
      <c r="M355" s="330">
        <v>0</v>
      </c>
      <c r="N355" s="330">
        <v>0</v>
      </c>
      <c r="O355" s="335">
        <v>5089.96</v>
      </c>
      <c r="P355" s="330">
        <v>0</v>
      </c>
      <c r="Q355" s="330">
        <f>O355*0.947</f>
        <v>4820.1921199999997</v>
      </c>
      <c r="R355" s="330">
        <f>O355*0.053</f>
        <v>269.76787999999999</v>
      </c>
      <c r="S355" s="330">
        <v>7.45</v>
      </c>
      <c r="T355" s="335">
        <v>9302.98</v>
      </c>
      <c r="U355" s="311">
        <v>0</v>
      </c>
      <c r="V355" s="330">
        <f>T355*0.93</f>
        <v>8651.7713999999996</v>
      </c>
      <c r="W355" s="330">
        <f>T355*0.07</f>
        <v>651.20860000000005</v>
      </c>
      <c r="X355" s="495">
        <v>0</v>
      </c>
      <c r="Y355" s="280">
        <v>0</v>
      </c>
      <c r="Z355" s="330">
        <v>0</v>
      </c>
      <c r="AA355" s="330">
        <v>0</v>
      </c>
      <c r="AB355" s="330">
        <v>0</v>
      </c>
      <c r="AC355" s="336">
        <v>0</v>
      </c>
      <c r="AD355" s="279">
        <v>0</v>
      </c>
      <c r="AE355" s="330">
        <v>0</v>
      </c>
      <c r="AF355" s="330">
        <v>0</v>
      </c>
      <c r="AG355" s="495">
        <v>0</v>
      </c>
      <c r="AH355" s="336">
        <v>0</v>
      </c>
      <c r="AI355" s="330">
        <v>0</v>
      </c>
      <c r="AJ355" s="330">
        <v>0</v>
      </c>
      <c r="AK355" s="330">
        <v>0</v>
      </c>
      <c r="AL355" s="285"/>
    </row>
    <row r="356" spans="1:38" s="275" customFormat="1" ht="41.4" customHeight="1" outlineLevel="1" x14ac:dyDescent="0.25">
      <c r="A356" s="311" t="s">
        <v>925</v>
      </c>
      <c r="B356" s="331" t="s">
        <v>926</v>
      </c>
      <c r="C356" s="330">
        <f t="shared" ref="C356:D418" si="82">E356+I356+N356+S356+X356+AB356+AG356</f>
        <v>45.43</v>
      </c>
      <c r="D356" s="314">
        <f t="shared" si="76"/>
        <v>78708.42</v>
      </c>
      <c r="E356" s="303">
        <v>0</v>
      </c>
      <c r="F356" s="307">
        <v>0</v>
      </c>
      <c r="G356" s="303">
        <v>0</v>
      </c>
      <c r="H356" s="303">
        <v>0</v>
      </c>
      <c r="I356" s="314">
        <v>0</v>
      </c>
      <c r="J356" s="335">
        <v>0</v>
      </c>
      <c r="K356" s="330">
        <v>0</v>
      </c>
      <c r="L356" s="330">
        <v>0</v>
      </c>
      <c r="M356" s="330">
        <v>0</v>
      </c>
      <c r="N356" s="330">
        <v>0</v>
      </c>
      <c r="O356" s="335">
        <v>31852.02</v>
      </c>
      <c r="P356" s="330">
        <v>0</v>
      </c>
      <c r="Q356" s="330">
        <f t="shared" ref="Q356:Q358" si="83">O356*0.947</f>
        <v>30163.862939999999</v>
      </c>
      <c r="R356" s="330">
        <f t="shared" ref="R356:R358" si="84">O356*0.053</f>
        <v>1688.15706</v>
      </c>
      <c r="S356" s="330">
        <v>45.43</v>
      </c>
      <c r="T356" s="335">
        <v>46856.4</v>
      </c>
      <c r="U356" s="330">
        <v>0</v>
      </c>
      <c r="V356" s="330">
        <f t="shared" ref="V356:V358" si="85">T356*0.93</f>
        <v>43576.452000000005</v>
      </c>
      <c r="W356" s="330">
        <f t="shared" ref="W356:W358" si="86">T356*0.07</f>
        <v>3279.9480000000003</v>
      </c>
      <c r="X356" s="495">
        <v>0</v>
      </c>
      <c r="Y356" s="280">
        <v>0</v>
      </c>
      <c r="Z356" s="330">
        <v>0</v>
      </c>
      <c r="AA356" s="330">
        <v>0</v>
      </c>
      <c r="AB356" s="330">
        <v>0</v>
      </c>
      <c r="AC356" s="336">
        <v>0</v>
      </c>
      <c r="AD356" s="279">
        <v>0</v>
      </c>
      <c r="AE356" s="330">
        <v>0</v>
      </c>
      <c r="AF356" s="330">
        <v>0</v>
      </c>
      <c r="AG356" s="495">
        <v>0</v>
      </c>
      <c r="AH356" s="336">
        <v>0</v>
      </c>
      <c r="AI356" s="330">
        <v>0</v>
      </c>
      <c r="AJ356" s="330">
        <v>0</v>
      </c>
      <c r="AK356" s="330">
        <v>0</v>
      </c>
      <c r="AL356" s="285"/>
    </row>
    <row r="357" spans="1:38" s="275" customFormat="1" ht="41.4" customHeight="1" outlineLevel="1" x14ac:dyDescent="0.25">
      <c r="A357" s="311" t="s">
        <v>927</v>
      </c>
      <c r="B357" s="331" t="s">
        <v>928</v>
      </c>
      <c r="C357" s="330">
        <f t="shared" si="82"/>
        <v>16.760000000000002</v>
      </c>
      <c r="D357" s="314">
        <f t="shared" si="76"/>
        <v>33326.97</v>
      </c>
      <c r="E357" s="303">
        <v>0</v>
      </c>
      <c r="F357" s="307">
        <v>0</v>
      </c>
      <c r="G357" s="303">
        <v>0</v>
      </c>
      <c r="H357" s="303">
        <v>0</v>
      </c>
      <c r="I357" s="314">
        <v>0</v>
      </c>
      <c r="J357" s="335">
        <v>0</v>
      </c>
      <c r="K357" s="330">
        <v>0</v>
      </c>
      <c r="L357" s="330">
        <v>0</v>
      </c>
      <c r="M357" s="330">
        <v>0</v>
      </c>
      <c r="N357" s="330">
        <v>0</v>
      </c>
      <c r="O357" s="335">
        <v>11644.84</v>
      </c>
      <c r="P357" s="330">
        <v>0</v>
      </c>
      <c r="Q357" s="330">
        <f t="shared" si="83"/>
        <v>11027.663479999999</v>
      </c>
      <c r="R357" s="330">
        <f t="shared" si="84"/>
        <v>617.17651999999998</v>
      </c>
      <c r="S357" s="330">
        <v>16.760000000000002</v>
      </c>
      <c r="T357" s="335">
        <v>21682.13</v>
      </c>
      <c r="U357" s="330">
        <v>0</v>
      </c>
      <c r="V357" s="330">
        <f t="shared" si="85"/>
        <v>20164.380900000004</v>
      </c>
      <c r="W357" s="330">
        <f t="shared" si="86"/>
        <v>1517.7491000000002</v>
      </c>
      <c r="X357" s="495">
        <v>0</v>
      </c>
      <c r="Y357" s="280">
        <v>0</v>
      </c>
      <c r="Z357" s="330">
        <v>0</v>
      </c>
      <c r="AA357" s="330">
        <v>0</v>
      </c>
      <c r="AB357" s="330">
        <v>0</v>
      </c>
      <c r="AC357" s="336">
        <v>0</v>
      </c>
      <c r="AD357" s="279">
        <v>0</v>
      </c>
      <c r="AE357" s="330">
        <v>0</v>
      </c>
      <c r="AF357" s="330">
        <v>0</v>
      </c>
      <c r="AG357" s="495">
        <v>0</v>
      </c>
      <c r="AH357" s="336">
        <v>0</v>
      </c>
      <c r="AI357" s="330">
        <v>0</v>
      </c>
      <c r="AJ357" s="330">
        <v>0</v>
      </c>
      <c r="AK357" s="330">
        <v>0</v>
      </c>
      <c r="AL357" s="285"/>
    </row>
    <row r="358" spans="1:38" s="275" customFormat="1" ht="70.2" customHeight="1" outlineLevel="1" x14ac:dyDescent="0.25">
      <c r="A358" s="311" t="s">
        <v>929</v>
      </c>
      <c r="B358" s="331" t="s">
        <v>930</v>
      </c>
      <c r="C358" s="330">
        <f t="shared" si="82"/>
        <v>126.12</v>
      </c>
      <c r="D358" s="314">
        <f t="shared" si="76"/>
        <v>223786.71000000002</v>
      </c>
      <c r="E358" s="303">
        <v>0</v>
      </c>
      <c r="F358" s="307">
        <v>0</v>
      </c>
      <c r="G358" s="303">
        <v>0</v>
      </c>
      <c r="H358" s="303">
        <v>0</v>
      </c>
      <c r="I358" s="314">
        <v>0</v>
      </c>
      <c r="J358" s="335">
        <v>0</v>
      </c>
      <c r="K358" s="330">
        <v>0</v>
      </c>
      <c r="L358" s="330">
        <v>0</v>
      </c>
      <c r="M358" s="330">
        <v>0</v>
      </c>
      <c r="N358" s="330">
        <v>0</v>
      </c>
      <c r="O358" s="335">
        <v>85889.2</v>
      </c>
      <c r="P358" s="330">
        <v>0</v>
      </c>
      <c r="Q358" s="330">
        <f t="shared" si="83"/>
        <v>81337.07239999999</v>
      </c>
      <c r="R358" s="330">
        <f t="shared" si="84"/>
        <v>4552.1275999999998</v>
      </c>
      <c r="S358" s="330">
        <v>126.12</v>
      </c>
      <c r="T358" s="335">
        <v>137897.51</v>
      </c>
      <c r="U358" s="330">
        <v>0</v>
      </c>
      <c r="V358" s="330">
        <f t="shared" si="85"/>
        <v>128244.68430000002</v>
      </c>
      <c r="W358" s="330">
        <f t="shared" si="86"/>
        <v>9652.8257000000012</v>
      </c>
      <c r="X358" s="495">
        <v>0</v>
      </c>
      <c r="Y358" s="280">
        <v>0</v>
      </c>
      <c r="Z358" s="330">
        <v>0</v>
      </c>
      <c r="AA358" s="330">
        <v>0</v>
      </c>
      <c r="AB358" s="330">
        <v>0</v>
      </c>
      <c r="AC358" s="336">
        <v>0</v>
      </c>
      <c r="AD358" s="279">
        <v>0</v>
      </c>
      <c r="AE358" s="330">
        <v>0</v>
      </c>
      <c r="AF358" s="330">
        <v>0</v>
      </c>
      <c r="AG358" s="495">
        <v>0</v>
      </c>
      <c r="AH358" s="336">
        <v>0</v>
      </c>
      <c r="AI358" s="330">
        <v>0</v>
      </c>
      <c r="AJ358" s="330">
        <v>0</v>
      </c>
      <c r="AK358" s="330">
        <v>0</v>
      </c>
      <c r="AL358" s="285"/>
    </row>
    <row r="359" spans="1:38" s="275" customFormat="1" ht="25.5" customHeight="1" outlineLevel="1" x14ac:dyDescent="0.25">
      <c r="A359" s="311" t="s">
        <v>931</v>
      </c>
      <c r="B359" s="331" t="s">
        <v>932</v>
      </c>
      <c r="C359" s="330">
        <f t="shared" si="82"/>
        <v>11.76</v>
      </c>
      <c r="D359" s="314">
        <f t="shared" si="76"/>
        <v>10083.42</v>
      </c>
      <c r="E359" s="303">
        <v>0</v>
      </c>
      <c r="F359" s="307">
        <v>0</v>
      </c>
      <c r="G359" s="303">
        <v>0</v>
      </c>
      <c r="H359" s="303">
        <v>0</v>
      </c>
      <c r="I359" s="314">
        <v>0</v>
      </c>
      <c r="J359" s="335">
        <v>0</v>
      </c>
      <c r="K359" s="330">
        <v>0</v>
      </c>
      <c r="L359" s="330">
        <v>0</v>
      </c>
      <c r="M359" s="330">
        <v>0</v>
      </c>
      <c r="N359" s="330">
        <v>11.76</v>
      </c>
      <c r="O359" s="335">
        <v>10083.42</v>
      </c>
      <c r="P359" s="330">
        <v>10083.42</v>
      </c>
      <c r="Q359" s="330">
        <v>0</v>
      </c>
      <c r="R359" s="330">
        <v>0</v>
      </c>
      <c r="S359" s="330">
        <v>0</v>
      </c>
      <c r="T359" s="335">
        <v>0</v>
      </c>
      <c r="U359" s="330">
        <v>0</v>
      </c>
      <c r="V359" s="330">
        <f>T359*0.93</f>
        <v>0</v>
      </c>
      <c r="W359" s="330">
        <f>T359*0.07</f>
        <v>0</v>
      </c>
      <c r="X359" s="495">
        <v>0</v>
      </c>
      <c r="Y359" s="280">
        <v>0</v>
      </c>
      <c r="Z359" s="330">
        <v>0</v>
      </c>
      <c r="AA359" s="330">
        <v>0</v>
      </c>
      <c r="AB359" s="330">
        <v>0</v>
      </c>
      <c r="AC359" s="336">
        <v>0</v>
      </c>
      <c r="AD359" s="279">
        <v>0</v>
      </c>
      <c r="AE359" s="330">
        <v>0</v>
      </c>
      <c r="AF359" s="330">
        <v>0</v>
      </c>
      <c r="AG359" s="495">
        <v>0</v>
      </c>
      <c r="AH359" s="336">
        <v>0</v>
      </c>
      <c r="AI359" s="330">
        <v>0</v>
      </c>
      <c r="AJ359" s="330">
        <v>0</v>
      </c>
      <c r="AK359" s="330">
        <v>0</v>
      </c>
      <c r="AL359" s="285"/>
    </row>
    <row r="360" spans="1:38" s="275" customFormat="1" ht="27.9" customHeight="1" outlineLevel="1" x14ac:dyDescent="0.25">
      <c r="A360" s="311" t="s">
        <v>933</v>
      </c>
      <c r="B360" s="331" t="s">
        <v>934</v>
      </c>
      <c r="C360" s="330">
        <f t="shared" si="82"/>
        <v>17.32</v>
      </c>
      <c r="D360" s="314">
        <f t="shared" si="76"/>
        <v>13622.37</v>
      </c>
      <c r="E360" s="303">
        <v>0</v>
      </c>
      <c r="F360" s="307">
        <v>0</v>
      </c>
      <c r="G360" s="303">
        <v>0</v>
      </c>
      <c r="H360" s="303">
        <v>0</v>
      </c>
      <c r="I360" s="314">
        <v>0</v>
      </c>
      <c r="J360" s="335">
        <v>0</v>
      </c>
      <c r="K360" s="330">
        <v>0</v>
      </c>
      <c r="L360" s="330">
        <v>0</v>
      </c>
      <c r="M360" s="330">
        <v>0</v>
      </c>
      <c r="N360" s="330">
        <v>17.32</v>
      </c>
      <c r="O360" s="335">
        <v>13622.37</v>
      </c>
      <c r="P360" s="330">
        <v>13622.37</v>
      </c>
      <c r="Q360" s="330">
        <v>0</v>
      </c>
      <c r="R360" s="330">
        <v>0</v>
      </c>
      <c r="S360" s="330">
        <v>0</v>
      </c>
      <c r="T360" s="335">
        <v>0</v>
      </c>
      <c r="U360" s="330">
        <v>0</v>
      </c>
      <c r="V360" s="330">
        <v>0</v>
      </c>
      <c r="W360" s="330">
        <f t="shared" ref="W360:W370" si="87">T360*0.053</f>
        <v>0</v>
      </c>
      <c r="X360" s="495">
        <v>0</v>
      </c>
      <c r="Y360" s="280">
        <v>0</v>
      </c>
      <c r="Z360" s="330">
        <v>0</v>
      </c>
      <c r="AA360" s="330">
        <v>0</v>
      </c>
      <c r="AB360" s="330">
        <v>0</v>
      </c>
      <c r="AC360" s="336">
        <v>0</v>
      </c>
      <c r="AD360" s="279">
        <v>0</v>
      </c>
      <c r="AE360" s="330">
        <v>0</v>
      </c>
      <c r="AF360" s="330">
        <v>0</v>
      </c>
      <c r="AG360" s="495">
        <v>0</v>
      </c>
      <c r="AH360" s="336">
        <v>0</v>
      </c>
      <c r="AI360" s="330">
        <v>0</v>
      </c>
      <c r="AJ360" s="330">
        <v>0</v>
      </c>
      <c r="AK360" s="330">
        <v>0</v>
      </c>
      <c r="AL360" s="285"/>
    </row>
    <row r="361" spans="1:38" s="275" customFormat="1" ht="36" customHeight="1" outlineLevel="1" x14ac:dyDescent="0.25">
      <c r="A361" s="311" t="s">
        <v>935</v>
      </c>
      <c r="B361" s="331" t="s">
        <v>936</v>
      </c>
      <c r="C361" s="330">
        <f t="shared" si="82"/>
        <v>87.373999999999995</v>
      </c>
      <c r="D361" s="314">
        <f t="shared" si="76"/>
        <v>46738.879999999997</v>
      </c>
      <c r="E361" s="303">
        <v>0</v>
      </c>
      <c r="F361" s="307">
        <v>0</v>
      </c>
      <c r="G361" s="303">
        <v>0</v>
      </c>
      <c r="H361" s="303">
        <v>0</v>
      </c>
      <c r="I361" s="314">
        <v>0</v>
      </c>
      <c r="J361" s="335">
        <v>0</v>
      </c>
      <c r="K361" s="330">
        <v>0</v>
      </c>
      <c r="L361" s="330">
        <v>0</v>
      </c>
      <c r="M361" s="330">
        <v>0</v>
      </c>
      <c r="N361" s="330">
        <v>87.373999999999995</v>
      </c>
      <c r="O361" s="335">
        <v>46738.879999999997</v>
      </c>
      <c r="P361" s="330">
        <v>46738.879999999997</v>
      </c>
      <c r="Q361" s="330">
        <v>0</v>
      </c>
      <c r="R361" s="330">
        <v>0</v>
      </c>
      <c r="S361" s="330">
        <v>0</v>
      </c>
      <c r="T361" s="335">
        <v>0</v>
      </c>
      <c r="U361" s="330">
        <v>0</v>
      </c>
      <c r="V361" s="330">
        <v>0</v>
      </c>
      <c r="W361" s="330">
        <f t="shared" si="87"/>
        <v>0</v>
      </c>
      <c r="X361" s="495">
        <v>0</v>
      </c>
      <c r="Y361" s="280">
        <v>0</v>
      </c>
      <c r="Z361" s="330">
        <v>0</v>
      </c>
      <c r="AA361" s="330">
        <v>0</v>
      </c>
      <c r="AB361" s="330">
        <v>0</v>
      </c>
      <c r="AC361" s="336">
        <v>0</v>
      </c>
      <c r="AD361" s="279">
        <v>0</v>
      </c>
      <c r="AE361" s="330">
        <v>0</v>
      </c>
      <c r="AF361" s="330">
        <v>0</v>
      </c>
      <c r="AG361" s="495">
        <v>0</v>
      </c>
      <c r="AH361" s="336">
        <v>0</v>
      </c>
      <c r="AI361" s="330">
        <v>0</v>
      </c>
      <c r="AJ361" s="330">
        <v>0</v>
      </c>
      <c r="AK361" s="330">
        <v>0</v>
      </c>
      <c r="AL361" s="285"/>
    </row>
    <row r="362" spans="1:38" s="275" customFormat="1" ht="27" customHeight="1" outlineLevel="1" x14ac:dyDescent="0.25">
      <c r="A362" s="311" t="s">
        <v>937</v>
      </c>
      <c r="B362" s="331" t="s">
        <v>938</v>
      </c>
      <c r="C362" s="330">
        <f t="shared" si="82"/>
        <v>5.55</v>
      </c>
      <c r="D362" s="314">
        <f t="shared" si="76"/>
        <v>3981.68</v>
      </c>
      <c r="E362" s="303">
        <v>0</v>
      </c>
      <c r="F362" s="307">
        <v>0</v>
      </c>
      <c r="G362" s="303">
        <v>0</v>
      </c>
      <c r="H362" s="303">
        <v>0</v>
      </c>
      <c r="I362" s="314">
        <v>0</v>
      </c>
      <c r="J362" s="335">
        <v>0</v>
      </c>
      <c r="K362" s="330">
        <v>0</v>
      </c>
      <c r="L362" s="330">
        <v>0</v>
      </c>
      <c r="M362" s="330">
        <v>0</v>
      </c>
      <c r="N362" s="330">
        <v>5.55</v>
      </c>
      <c r="O362" s="335">
        <v>3981.68</v>
      </c>
      <c r="P362" s="330">
        <v>3981.68</v>
      </c>
      <c r="Q362" s="330">
        <v>0</v>
      </c>
      <c r="R362" s="330">
        <v>0</v>
      </c>
      <c r="S362" s="330">
        <v>0</v>
      </c>
      <c r="T362" s="335">
        <v>0</v>
      </c>
      <c r="U362" s="330">
        <v>0</v>
      </c>
      <c r="V362" s="330">
        <v>0</v>
      </c>
      <c r="W362" s="330">
        <f t="shared" si="87"/>
        <v>0</v>
      </c>
      <c r="X362" s="495">
        <v>0</v>
      </c>
      <c r="Y362" s="280">
        <v>0</v>
      </c>
      <c r="Z362" s="330">
        <v>0</v>
      </c>
      <c r="AA362" s="330">
        <v>0</v>
      </c>
      <c r="AB362" s="330">
        <v>0</v>
      </c>
      <c r="AC362" s="336">
        <v>0</v>
      </c>
      <c r="AD362" s="279">
        <v>0</v>
      </c>
      <c r="AE362" s="330">
        <v>0</v>
      </c>
      <c r="AF362" s="330">
        <v>0</v>
      </c>
      <c r="AG362" s="495">
        <v>0</v>
      </c>
      <c r="AH362" s="336">
        <v>0</v>
      </c>
      <c r="AI362" s="330">
        <v>0</v>
      </c>
      <c r="AJ362" s="330">
        <v>0</v>
      </c>
      <c r="AK362" s="330">
        <v>0</v>
      </c>
      <c r="AL362" s="285"/>
    </row>
    <row r="363" spans="1:38" s="275" customFormat="1" ht="27.9" customHeight="1" outlineLevel="1" x14ac:dyDescent="0.25">
      <c r="A363" s="311" t="s">
        <v>939</v>
      </c>
      <c r="B363" s="331" t="s">
        <v>940</v>
      </c>
      <c r="C363" s="330">
        <f t="shared" si="82"/>
        <v>6.6349999999999998</v>
      </c>
      <c r="D363" s="314">
        <f t="shared" si="76"/>
        <v>6537.64</v>
      </c>
      <c r="E363" s="303">
        <v>0</v>
      </c>
      <c r="F363" s="307">
        <v>0</v>
      </c>
      <c r="G363" s="303">
        <v>0</v>
      </c>
      <c r="H363" s="303">
        <v>0</v>
      </c>
      <c r="I363" s="314">
        <v>0</v>
      </c>
      <c r="J363" s="335">
        <v>0</v>
      </c>
      <c r="K363" s="330">
        <v>0</v>
      </c>
      <c r="L363" s="330">
        <v>0</v>
      </c>
      <c r="M363" s="330">
        <v>0</v>
      </c>
      <c r="N363" s="330">
        <v>6.6349999999999998</v>
      </c>
      <c r="O363" s="335">
        <v>6537.64</v>
      </c>
      <c r="P363" s="330">
        <v>6537.64</v>
      </c>
      <c r="Q363" s="330">
        <v>0</v>
      </c>
      <c r="R363" s="330">
        <v>0</v>
      </c>
      <c r="S363" s="330">
        <v>0</v>
      </c>
      <c r="T363" s="335">
        <v>0</v>
      </c>
      <c r="U363" s="330">
        <v>0</v>
      </c>
      <c r="V363" s="330">
        <v>0</v>
      </c>
      <c r="W363" s="330">
        <f t="shared" si="87"/>
        <v>0</v>
      </c>
      <c r="X363" s="495">
        <v>0</v>
      </c>
      <c r="Y363" s="280">
        <v>0</v>
      </c>
      <c r="Z363" s="330">
        <v>0</v>
      </c>
      <c r="AA363" s="330">
        <v>0</v>
      </c>
      <c r="AB363" s="330">
        <v>0</v>
      </c>
      <c r="AC363" s="336">
        <v>0</v>
      </c>
      <c r="AD363" s="279">
        <v>0</v>
      </c>
      <c r="AE363" s="330">
        <v>0</v>
      </c>
      <c r="AF363" s="330">
        <v>0</v>
      </c>
      <c r="AG363" s="495">
        <v>0</v>
      </c>
      <c r="AH363" s="336">
        <v>0</v>
      </c>
      <c r="AI363" s="330">
        <v>0</v>
      </c>
      <c r="AJ363" s="330">
        <v>0</v>
      </c>
      <c r="AK363" s="330">
        <v>0</v>
      </c>
      <c r="AL363" s="285"/>
    </row>
    <row r="364" spans="1:38" s="275" customFormat="1" ht="25.5" customHeight="1" outlineLevel="1" x14ac:dyDescent="0.25">
      <c r="A364" s="311" t="s">
        <v>941</v>
      </c>
      <c r="B364" s="331" t="s">
        <v>942</v>
      </c>
      <c r="C364" s="330">
        <f t="shared" si="82"/>
        <v>21.37</v>
      </c>
      <c r="D364" s="314">
        <f t="shared" si="76"/>
        <v>26910.16</v>
      </c>
      <c r="E364" s="303">
        <v>0</v>
      </c>
      <c r="F364" s="307">
        <v>0</v>
      </c>
      <c r="G364" s="303">
        <v>0</v>
      </c>
      <c r="H364" s="303">
        <v>0</v>
      </c>
      <c r="I364" s="314">
        <v>0</v>
      </c>
      <c r="J364" s="335">
        <v>0</v>
      </c>
      <c r="K364" s="330">
        <v>0</v>
      </c>
      <c r="L364" s="330">
        <v>0</v>
      </c>
      <c r="M364" s="330">
        <v>0</v>
      </c>
      <c r="N364" s="330">
        <v>21.37</v>
      </c>
      <c r="O364" s="335">
        <v>26910.16</v>
      </c>
      <c r="P364" s="330">
        <v>26910.16</v>
      </c>
      <c r="Q364" s="330">
        <v>0</v>
      </c>
      <c r="R364" s="330">
        <v>0</v>
      </c>
      <c r="S364" s="330">
        <v>0</v>
      </c>
      <c r="T364" s="335">
        <v>0</v>
      </c>
      <c r="U364" s="330">
        <v>0</v>
      </c>
      <c r="V364" s="330">
        <v>0</v>
      </c>
      <c r="W364" s="330">
        <f t="shared" si="87"/>
        <v>0</v>
      </c>
      <c r="X364" s="495">
        <v>0</v>
      </c>
      <c r="Y364" s="280">
        <v>0</v>
      </c>
      <c r="Z364" s="330">
        <v>0</v>
      </c>
      <c r="AA364" s="330">
        <v>0</v>
      </c>
      <c r="AB364" s="330">
        <v>0</v>
      </c>
      <c r="AC364" s="336">
        <v>0</v>
      </c>
      <c r="AD364" s="279">
        <v>0</v>
      </c>
      <c r="AE364" s="330">
        <v>0</v>
      </c>
      <c r="AF364" s="330">
        <v>0</v>
      </c>
      <c r="AG364" s="495">
        <v>0</v>
      </c>
      <c r="AH364" s="336">
        <v>0</v>
      </c>
      <c r="AI364" s="330">
        <v>0</v>
      </c>
      <c r="AJ364" s="330">
        <v>0</v>
      </c>
      <c r="AK364" s="330">
        <v>0</v>
      </c>
      <c r="AL364" s="285"/>
    </row>
    <row r="365" spans="1:38" s="275" customFormat="1" ht="29.1" customHeight="1" outlineLevel="1" x14ac:dyDescent="0.25">
      <c r="A365" s="311" t="s">
        <v>943</v>
      </c>
      <c r="B365" s="331" t="s">
        <v>944</v>
      </c>
      <c r="C365" s="330">
        <f t="shared" si="82"/>
        <v>48.225999999999999</v>
      </c>
      <c r="D365" s="314">
        <f t="shared" si="76"/>
        <v>32542.87</v>
      </c>
      <c r="E365" s="303">
        <v>0</v>
      </c>
      <c r="F365" s="307">
        <v>0</v>
      </c>
      <c r="G365" s="303">
        <v>0</v>
      </c>
      <c r="H365" s="303">
        <v>0</v>
      </c>
      <c r="I365" s="314">
        <v>0</v>
      </c>
      <c r="J365" s="335">
        <v>0</v>
      </c>
      <c r="K365" s="330">
        <v>0</v>
      </c>
      <c r="L365" s="330">
        <v>0</v>
      </c>
      <c r="M365" s="330">
        <v>0</v>
      </c>
      <c r="N365" s="330">
        <v>48.225999999999999</v>
      </c>
      <c r="O365" s="335">
        <v>32542.87</v>
      </c>
      <c r="P365" s="330">
        <v>32542.87</v>
      </c>
      <c r="Q365" s="330">
        <v>0</v>
      </c>
      <c r="R365" s="330">
        <v>0</v>
      </c>
      <c r="S365" s="330">
        <v>0</v>
      </c>
      <c r="T365" s="335">
        <v>0</v>
      </c>
      <c r="U365" s="330">
        <v>0</v>
      </c>
      <c r="V365" s="330">
        <v>0</v>
      </c>
      <c r="W365" s="330">
        <f t="shared" si="87"/>
        <v>0</v>
      </c>
      <c r="X365" s="495">
        <v>0</v>
      </c>
      <c r="Y365" s="280">
        <v>0</v>
      </c>
      <c r="Z365" s="330">
        <v>0</v>
      </c>
      <c r="AA365" s="330">
        <v>0</v>
      </c>
      <c r="AB365" s="330">
        <v>0</v>
      </c>
      <c r="AC365" s="336">
        <v>0</v>
      </c>
      <c r="AD365" s="279">
        <v>0</v>
      </c>
      <c r="AE365" s="330">
        <v>0</v>
      </c>
      <c r="AF365" s="330">
        <v>0</v>
      </c>
      <c r="AG365" s="495">
        <v>0</v>
      </c>
      <c r="AH365" s="336">
        <v>0</v>
      </c>
      <c r="AI365" s="330">
        <v>0</v>
      </c>
      <c r="AJ365" s="330">
        <v>0</v>
      </c>
      <c r="AK365" s="330">
        <v>0</v>
      </c>
      <c r="AL365" s="285"/>
    </row>
    <row r="366" spans="1:38" s="275" customFormat="1" ht="29.1" customHeight="1" outlineLevel="1" x14ac:dyDescent="0.25">
      <c r="A366" s="311" t="s">
        <v>945</v>
      </c>
      <c r="B366" s="331" t="s">
        <v>946</v>
      </c>
      <c r="C366" s="330">
        <f t="shared" si="82"/>
        <v>31.913</v>
      </c>
      <c r="D366" s="314">
        <f t="shared" si="76"/>
        <v>23171.52</v>
      </c>
      <c r="E366" s="303">
        <v>0</v>
      </c>
      <c r="F366" s="307">
        <v>0</v>
      </c>
      <c r="G366" s="303">
        <v>0</v>
      </c>
      <c r="H366" s="303">
        <v>0</v>
      </c>
      <c r="I366" s="314">
        <v>0</v>
      </c>
      <c r="J366" s="335">
        <v>0</v>
      </c>
      <c r="K366" s="330">
        <v>0</v>
      </c>
      <c r="L366" s="330">
        <v>0</v>
      </c>
      <c r="M366" s="330">
        <v>0</v>
      </c>
      <c r="N366" s="330">
        <v>31.913</v>
      </c>
      <c r="O366" s="335">
        <v>23171.52</v>
      </c>
      <c r="P366" s="330">
        <v>23171.52</v>
      </c>
      <c r="Q366" s="330">
        <v>0</v>
      </c>
      <c r="R366" s="330">
        <v>0</v>
      </c>
      <c r="S366" s="330">
        <v>0</v>
      </c>
      <c r="T366" s="335">
        <v>0</v>
      </c>
      <c r="U366" s="330">
        <v>0</v>
      </c>
      <c r="V366" s="330">
        <v>0</v>
      </c>
      <c r="W366" s="330">
        <f t="shared" si="87"/>
        <v>0</v>
      </c>
      <c r="X366" s="495">
        <v>0</v>
      </c>
      <c r="Y366" s="280">
        <v>0</v>
      </c>
      <c r="Z366" s="330">
        <v>0</v>
      </c>
      <c r="AA366" s="330">
        <v>0</v>
      </c>
      <c r="AB366" s="330">
        <v>0</v>
      </c>
      <c r="AC366" s="336">
        <v>0</v>
      </c>
      <c r="AD366" s="279">
        <v>0</v>
      </c>
      <c r="AE366" s="330">
        <v>0</v>
      </c>
      <c r="AF366" s="330">
        <v>0</v>
      </c>
      <c r="AG366" s="495">
        <v>0</v>
      </c>
      <c r="AH366" s="336">
        <v>0</v>
      </c>
      <c r="AI366" s="330">
        <v>0</v>
      </c>
      <c r="AJ366" s="330">
        <v>0</v>
      </c>
      <c r="AK366" s="330">
        <v>0</v>
      </c>
      <c r="AL366" s="285"/>
    </row>
    <row r="367" spans="1:38" s="275" customFormat="1" ht="30.6" customHeight="1" outlineLevel="1" x14ac:dyDescent="0.25">
      <c r="A367" s="311" t="s">
        <v>947</v>
      </c>
      <c r="B367" s="331" t="s">
        <v>948</v>
      </c>
      <c r="C367" s="330">
        <f t="shared" si="82"/>
        <v>21.718</v>
      </c>
      <c r="D367" s="314">
        <f t="shared" si="76"/>
        <v>17062.13</v>
      </c>
      <c r="E367" s="303">
        <v>0</v>
      </c>
      <c r="F367" s="307">
        <v>0</v>
      </c>
      <c r="G367" s="303">
        <v>0</v>
      </c>
      <c r="H367" s="303">
        <v>0</v>
      </c>
      <c r="I367" s="314">
        <v>0</v>
      </c>
      <c r="J367" s="335">
        <v>0</v>
      </c>
      <c r="K367" s="330">
        <v>0</v>
      </c>
      <c r="L367" s="330">
        <v>0</v>
      </c>
      <c r="M367" s="330">
        <v>0</v>
      </c>
      <c r="N367" s="330">
        <v>21.718</v>
      </c>
      <c r="O367" s="335">
        <v>17062.13</v>
      </c>
      <c r="P367" s="330">
        <v>17062.13</v>
      </c>
      <c r="Q367" s="330">
        <v>0</v>
      </c>
      <c r="R367" s="330">
        <v>0</v>
      </c>
      <c r="S367" s="330">
        <v>0</v>
      </c>
      <c r="T367" s="335">
        <v>0</v>
      </c>
      <c r="U367" s="330">
        <v>0</v>
      </c>
      <c r="V367" s="330">
        <v>0</v>
      </c>
      <c r="W367" s="330">
        <f t="shared" si="87"/>
        <v>0</v>
      </c>
      <c r="X367" s="495">
        <v>0</v>
      </c>
      <c r="Y367" s="280">
        <v>0</v>
      </c>
      <c r="Z367" s="330">
        <v>0</v>
      </c>
      <c r="AA367" s="330">
        <v>0</v>
      </c>
      <c r="AB367" s="330">
        <v>0</v>
      </c>
      <c r="AC367" s="336">
        <v>0</v>
      </c>
      <c r="AD367" s="279">
        <v>0</v>
      </c>
      <c r="AE367" s="330">
        <v>0</v>
      </c>
      <c r="AF367" s="330">
        <v>0</v>
      </c>
      <c r="AG367" s="495">
        <v>0</v>
      </c>
      <c r="AH367" s="336">
        <v>0</v>
      </c>
      <c r="AI367" s="330">
        <v>0</v>
      </c>
      <c r="AJ367" s="330">
        <v>0</v>
      </c>
      <c r="AK367" s="330">
        <v>0</v>
      </c>
      <c r="AL367" s="285"/>
    </row>
    <row r="368" spans="1:38" s="275" customFormat="1" ht="30" customHeight="1" outlineLevel="1" x14ac:dyDescent="0.25">
      <c r="A368" s="311" t="s">
        <v>949</v>
      </c>
      <c r="B368" s="331" t="s">
        <v>950</v>
      </c>
      <c r="C368" s="330">
        <f t="shared" si="82"/>
        <v>38.067</v>
      </c>
      <c r="D368" s="314">
        <f t="shared" si="76"/>
        <v>20283.61</v>
      </c>
      <c r="E368" s="303">
        <v>0</v>
      </c>
      <c r="F368" s="307">
        <v>0</v>
      </c>
      <c r="G368" s="303">
        <v>0</v>
      </c>
      <c r="H368" s="303">
        <v>0</v>
      </c>
      <c r="I368" s="314">
        <v>0</v>
      </c>
      <c r="J368" s="335">
        <v>0</v>
      </c>
      <c r="K368" s="330">
        <v>0</v>
      </c>
      <c r="L368" s="330">
        <v>0</v>
      </c>
      <c r="M368" s="330">
        <v>0</v>
      </c>
      <c r="N368" s="330">
        <v>38.067</v>
      </c>
      <c r="O368" s="335">
        <v>20283.61</v>
      </c>
      <c r="P368" s="330">
        <v>20283.61</v>
      </c>
      <c r="Q368" s="330">
        <v>0</v>
      </c>
      <c r="R368" s="330">
        <v>0</v>
      </c>
      <c r="S368" s="330">
        <v>0</v>
      </c>
      <c r="T368" s="335">
        <v>0</v>
      </c>
      <c r="U368" s="330">
        <v>0</v>
      </c>
      <c r="V368" s="330">
        <v>0</v>
      </c>
      <c r="W368" s="330">
        <f t="shared" si="87"/>
        <v>0</v>
      </c>
      <c r="X368" s="495">
        <v>0</v>
      </c>
      <c r="Y368" s="280">
        <v>0</v>
      </c>
      <c r="Z368" s="330">
        <v>0</v>
      </c>
      <c r="AA368" s="330">
        <v>0</v>
      </c>
      <c r="AB368" s="330">
        <v>0</v>
      </c>
      <c r="AC368" s="336">
        <v>0</v>
      </c>
      <c r="AD368" s="279">
        <v>0</v>
      </c>
      <c r="AE368" s="330">
        <v>0</v>
      </c>
      <c r="AF368" s="330">
        <v>0</v>
      </c>
      <c r="AG368" s="495">
        <v>0</v>
      </c>
      <c r="AH368" s="336">
        <v>0</v>
      </c>
      <c r="AI368" s="330">
        <v>0</v>
      </c>
      <c r="AJ368" s="330">
        <v>0</v>
      </c>
      <c r="AK368" s="330">
        <v>0</v>
      </c>
      <c r="AL368" s="285"/>
    </row>
    <row r="369" spans="1:38" s="275" customFormat="1" ht="27.9" customHeight="1" outlineLevel="1" x14ac:dyDescent="0.25">
      <c r="A369" s="311" t="s">
        <v>951</v>
      </c>
      <c r="B369" s="331" t="s">
        <v>952</v>
      </c>
      <c r="C369" s="330">
        <f t="shared" si="82"/>
        <v>33</v>
      </c>
      <c r="D369" s="314">
        <f t="shared" si="76"/>
        <v>32906.46</v>
      </c>
      <c r="E369" s="303">
        <v>0</v>
      </c>
      <c r="F369" s="307">
        <v>0</v>
      </c>
      <c r="G369" s="303">
        <v>0</v>
      </c>
      <c r="H369" s="303">
        <v>0</v>
      </c>
      <c r="I369" s="314">
        <v>0</v>
      </c>
      <c r="J369" s="335">
        <v>0</v>
      </c>
      <c r="K369" s="330">
        <v>0</v>
      </c>
      <c r="L369" s="330">
        <v>0</v>
      </c>
      <c r="M369" s="330">
        <v>0</v>
      </c>
      <c r="N369" s="330">
        <v>33</v>
      </c>
      <c r="O369" s="335">
        <v>32906.46</v>
      </c>
      <c r="P369" s="330">
        <v>32906.46</v>
      </c>
      <c r="Q369" s="330">
        <v>0</v>
      </c>
      <c r="R369" s="330">
        <v>0</v>
      </c>
      <c r="S369" s="330">
        <v>0</v>
      </c>
      <c r="T369" s="335">
        <v>0</v>
      </c>
      <c r="U369" s="330">
        <v>0</v>
      </c>
      <c r="V369" s="330">
        <v>0</v>
      </c>
      <c r="W369" s="330">
        <f t="shared" si="87"/>
        <v>0</v>
      </c>
      <c r="X369" s="495">
        <v>0</v>
      </c>
      <c r="Y369" s="280">
        <v>0</v>
      </c>
      <c r="Z369" s="330">
        <v>0</v>
      </c>
      <c r="AA369" s="330">
        <v>0</v>
      </c>
      <c r="AB369" s="330">
        <v>0</v>
      </c>
      <c r="AC369" s="336">
        <v>0</v>
      </c>
      <c r="AD369" s="279">
        <v>0</v>
      </c>
      <c r="AE369" s="330">
        <v>0</v>
      </c>
      <c r="AF369" s="330">
        <v>0</v>
      </c>
      <c r="AG369" s="495">
        <v>0</v>
      </c>
      <c r="AH369" s="336">
        <v>0</v>
      </c>
      <c r="AI369" s="330">
        <v>0</v>
      </c>
      <c r="AJ369" s="330">
        <v>0</v>
      </c>
      <c r="AK369" s="330">
        <v>0</v>
      </c>
      <c r="AL369" s="285"/>
    </row>
    <row r="370" spans="1:38" s="275" customFormat="1" ht="27" customHeight="1" outlineLevel="1" x14ac:dyDescent="0.25">
      <c r="A370" s="311" t="s">
        <v>953</v>
      </c>
      <c r="B370" s="331" t="s">
        <v>954</v>
      </c>
      <c r="C370" s="330">
        <f t="shared" si="82"/>
        <v>15.81</v>
      </c>
      <c r="D370" s="314">
        <f t="shared" si="76"/>
        <v>16159.26</v>
      </c>
      <c r="E370" s="303">
        <v>0</v>
      </c>
      <c r="F370" s="307">
        <v>0</v>
      </c>
      <c r="G370" s="303">
        <v>0</v>
      </c>
      <c r="H370" s="303">
        <v>0</v>
      </c>
      <c r="I370" s="314">
        <v>0</v>
      </c>
      <c r="J370" s="335">
        <v>0</v>
      </c>
      <c r="K370" s="330">
        <v>0</v>
      </c>
      <c r="L370" s="330">
        <v>0</v>
      </c>
      <c r="M370" s="330">
        <v>0</v>
      </c>
      <c r="N370" s="330">
        <v>15.81</v>
      </c>
      <c r="O370" s="335">
        <v>16159.26</v>
      </c>
      <c r="P370" s="330">
        <v>16159.26</v>
      </c>
      <c r="Q370" s="330">
        <v>0</v>
      </c>
      <c r="R370" s="330">
        <v>0</v>
      </c>
      <c r="S370" s="330">
        <v>0</v>
      </c>
      <c r="T370" s="332">
        <v>0</v>
      </c>
      <c r="U370" s="330">
        <v>0</v>
      </c>
      <c r="V370" s="330">
        <v>0</v>
      </c>
      <c r="W370" s="330">
        <f t="shared" si="87"/>
        <v>0</v>
      </c>
      <c r="X370" s="495">
        <v>0</v>
      </c>
      <c r="Y370" s="280">
        <v>0</v>
      </c>
      <c r="Z370" s="330">
        <v>0</v>
      </c>
      <c r="AA370" s="330">
        <v>0</v>
      </c>
      <c r="AB370" s="330">
        <v>0</v>
      </c>
      <c r="AC370" s="336">
        <v>0</v>
      </c>
      <c r="AD370" s="279">
        <v>0</v>
      </c>
      <c r="AE370" s="330">
        <v>0</v>
      </c>
      <c r="AF370" s="330">
        <v>0</v>
      </c>
      <c r="AG370" s="495">
        <v>0</v>
      </c>
      <c r="AH370" s="336">
        <v>0</v>
      </c>
      <c r="AI370" s="330">
        <v>0</v>
      </c>
      <c r="AJ370" s="330">
        <v>0</v>
      </c>
      <c r="AK370" s="330">
        <v>0</v>
      </c>
      <c r="AL370" s="285"/>
    </row>
    <row r="371" spans="1:38" s="275" customFormat="1" ht="127.95" customHeight="1" outlineLevel="1" x14ac:dyDescent="0.25">
      <c r="A371" s="311" t="s">
        <v>955</v>
      </c>
      <c r="B371" s="331" t="s">
        <v>956</v>
      </c>
      <c r="C371" s="330">
        <f t="shared" si="82"/>
        <v>16.79</v>
      </c>
      <c r="D371" s="314">
        <f t="shared" si="76"/>
        <v>26013.65</v>
      </c>
      <c r="E371" s="303">
        <v>0</v>
      </c>
      <c r="F371" s="312">
        <v>0</v>
      </c>
      <c r="G371" s="303">
        <v>0</v>
      </c>
      <c r="H371" s="303">
        <v>0</v>
      </c>
      <c r="I371" s="314">
        <v>0</v>
      </c>
      <c r="J371" s="332">
        <v>0</v>
      </c>
      <c r="K371" s="330">
        <v>0</v>
      </c>
      <c r="L371" s="330">
        <v>0</v>
      </c>
      <c r="M371" s="330">
        <v>0</v>
      </c>
      <c r="N371" s="330">
        <v>0</v>
      </c>
      <c r="O371" s="332">
        <v>0</v>
      </c>
      <c r="P371" s="330">
        <v>0</v>
      </c>
      <c r="Q371" s="330">
        <v>0</v>
      </c>
      <c r="R371" s="330">
        <v>0</v>
      </c>
      <c r="S371" s="330">
        <v>16.79</v>
      </c>
      <c r="T371" s="332">
        <v>26013.65</v>
      </c>
      <c r="U371" s="330">
        <f t="shared" ref="U371:U386" si="88">T371*0.93</f>
        <v>24192.694500000001</v>
      </c>
      <c r="V371" s="330">
        <v>0</v>
      </c>
      <c r="W371" s="330">
        <f t="shared" ref="W371:W386" si="89">T371*0.07</f>
        <v>1820.9555000000003</v>
      </c>
      <c r="X371" s="495">
        <v>0</v>
      </c>
      <c r="Y371" s="280">
        <v>0</v>
      </c>
      <c r="Z371" s="330">
        <v>0</v>
      </c>
      <c r="AA371" s="330">
        <v>0</v>
      </c>
      <c r="AB371" s="330">
        <v>0</v>
      </c>
      <c r="AC371" s="280">
        <v>0</v>
      </c>
      <c r="AD371" s="279">
        <v>0</v>
      </c>
      <c r="AE371" s="330">
        <v>0</v>
      </c>
      <c r="AF371" s="330">
        <v>0</v>
      </c>
      <c r="AG371" s="495">
        <v>0</v>
      </c>
      <c r="AH371" s="280">
        <v>0</v>
      </c>
      <c r="AI371" s="330">
        <v>0</v>
      </c>
      <c r="AJ371" s="330">
        <v>0</v>
      </c>
      <c r="AK371" s="330">
        <v>0</v>
      </c>
      <c r="AL371" s="285"/>
    </row>
    <row r="372" spans="1:38" s="275" customFormat="1" ht="48.6" customHeight="1" outlineLevel="1" x14ac:dyDescent="0.25">
      <c r="A372" s="311" t="s">
        <v>957</v>
      </c>
      <c r="B372" s="331" t="s">
        <v>958</v>
      </c>
      <c r="C372" s="330">
        <f t="shared" si="82"/>
        <v>66</v>
      </c>
      <c r="D372" s="314">
        <f t="shared" si="76"/>
        <v>110536.63</v>
      </c>
      <c r="E372" s="303">
        <v>0</v>
      </c>
      <c r="F372" s="307">
        <v>0</v>
      </c>
      <c r="G372" s="303">
        <v>0</v>
      </c>
      <c r="H372" s="303">
        <v>0</v>
      </c>
      <c r="I372" s="314">
        <v>0</v>
      </c>
      <c r="J372" s="335">
        <v>0</v>
      </c>
      <c r="K372" s="330">
        <v>0</v>
      </c>
      <c r="L372" s="330">
        <v>0</v>
      </c>
      <c r="M372" s="330">
        <v>0</v>
      </c>
      <c r="N372" s="330">
        <v>0</v>
      </c>
      <c r="O372" s="335">
        <v>0</v>
      </c>
      <c r="P372" s="330">
        <v>0</v>
      </c>
      <c r="Q372" s="330">
        <v>0</v>
      </c>
      <c r="R372" s="330">
        <v>0</v>
      </c>
      <c r="S372" s="330">
        <v>66</v>
      </c>
      <c r="T372" s="332">
        <v>110536.63</v>
      </c>
      <c r="U372" s="330">
        <f t="shared" si="88"/>
        <v>102799.06590000002</v>
      </c>
      <c r="V372" s="330">
        <v>0</v>
      </c>
      <c r="W372" s="330">
        <f t="shared" si="89"/>
        <v>7737.5641000000014</v>
      </c>
      <c r="X372" s="495">
        <v>0</v>
      </c>
      <c r="Y372" s="280">
        <v>0</v>
      </c>
      <c r="Z372" s="330">
        <v>0</v>
      </c>
      <c r="AA372" s="330">
        <v>0</v>
      </c>
      <c r="AB372" s="330">
        <v>0</v>
      </c>
      <c r="AC372" s="336">
        <v>0</v>
      </c>
      <c r="AD372" s="279">
        <v>0</v>
      </c>
      <c r="AE372" s="330">
        <v>0</v>
      </c>
      <c r="AF372" s="330">
        <v>0</v>
      </c>
      <c r="AG372" s="495">
        <v>0</v>
      </c>
      <c r="AH372" s="336">
        <v>0</v>
      </c>
      <c r="AI372" s="330">
        <v>0</v>
      </c>
      <c r="AJ372" s="330">
        <v>0</v>
      </c>
      <c r="AK372" s="330">
        <v>0</v>
      </c>
      <c r="AL372" s="285"/>
    </row>
    <row r="373" spans="1:38" s="275" customFormat="1" ht="46.65" customHeight="1" outlineLevel="1" x14ac:dyDescent="0.25">
      <c r="A373" s="311" t="s">
        <v>959</v>
      </c>
      <c r="B373" s="331" t="s">
        <v>960</v>
      </c>
      <c r="C373" s="330">
        <f t="shared" si="82"/>
        <v>13.43</v>
      </c>
      <c r="D373" s="314">
        <f t="shared" si="76"/>
        <v>27887.09</v>
      </c>
      <c r="E373" s="303">
        <v>0</v>
      </c>
      <c r="F373" s="307">
        <v>0</v>
      </c>
      <c r="G373" s="303">
        <v>0</v>
      </c>
      <c r="H373" s="303">
        <v>0</v>
      </c>
      <c r="I373" s="314">
        <v>0</v>
      </c>
      <c r="J373" s="335">
        <v>0</v>
      </c>
      <c r="K373" s="330">
        <v>0</v>
      </c>
      <c r="L373" s="330">
        <v>0</v>
      </c>
      <c r="M373" s="330">
        <v>0</v>
      </c>
      <c r="N373" s="330">
        <v>0</v>
      </c>
      <c r="O373" s="335">
        <v>0</v>
      </c>
      <c r="P373" s="330">
        <v>0</v>
      </c>
      <c r="Q373" s="330">
        <v>0</v>
      </c>
      <c r="R373" s="330">
        <v>0</v>
      </c>
      <c r="S373" s="330">
        <v>13.43</v>
      </c>
      <c r="T373" s="332">
        <v>27887.09</v>
      </c>
      <c r="U373" s="330">
        <f t="shared" si="88"/>
        <v>25934.993700000003</v>
      </c>
      <c r="V373" s="330">
        <v>0</v>
      </c>
      <c r="W373" s="330">
        <f t="shared" si="89"/>
        <v>1952.0963000000002</v>
      </c>
      <c r="X373" s="495">
        <v>0</v>
      </c>
      <c r="Y373" s="280">
        <v>0</v>
      </c>
      <c r="Z373" s="330">
        <v>0</v>
      </c>
      <c r="AA373" s="330">
        <v>0</v>
      </c>
      <c r="AB373" s="330">
        <v>0</v>
      </c>
      <c r="AC373" s="336">
        <v>0</v>
      </c>
      <c r="AD373" s="279">
        <v>0</v>
      </c>
      <c r="AE373" s="330">
        <v>0</v>
      </c>
      <c r="AF373" s="330">
        <v>0</v>
      </c>
      <c r="AG373" s="495">
        <v>0</v>
      </c>
      <c r="AH373" s="336">
        <v>0</v>
      </c>
      <c r="AI373" s="330">
        <v>0</v>
      </c>
      <c r="AJ373" s="330">
        <v>0</v>
      </c>
      <c r="AK373" s="330">
        <v>0</v>
      </c>
      <c r="AL373" s="285"/>
    </row>
    <row r="374" spans="1:38" s="275" customFormat="1" ht="47.4" customHeight="1" outlineLevel="1" x14ac:dyDescent="0.25">
      <c r="A374" s="311" t="s">
        <v>961</v>
      </c>
      <c r="B374" s="331" t="s">
        <v>962</v>
      </c>
      <c r="C374" s="330">
        <f t="shared" si="82"/>
        <v>4.07</v>
      </c>
      <c r="D374" s="314">
        <f t="shared" si="76"/>
        <v>8414.2999999999993</v>
      </c>
      <c r="E374" s="303">
        <v>0</v>
      </c>
      <c r="F374" s="307">
        <v>0</v>
      </c>
      <c r="G374" s="303">
        <v>0</v>
      </c>
      <c r="H374" s="303">
        <v>0</v>
      </c>
      <c r="I374" s="314">
        <v>0</v>
      </c>
      <c r="J374" s="335">
        <v>0</v>
      </c>
      <c r="K374" s="330">
        <v>0</v>
      </c>
      <c r="L374" s="330">
        <v>0</v>
      </c>
      <c r="M374" s="330">
        <v>0</v>
      </c>
      <c r="N374" s="330">
        <v>0</v>
      </c>
      <c r="O374" s="335">
        <v>0</v>
      </c>
      <c r="P374" s="330">
        <v>0</v>
      </c>
      <c r="Q374" s="330">
        <v>0</v>
      </c>
      <c r="R374" s="330">
        <v>0</v>
      </c>
      <c r="S374" s="330">
        <v>4.07</v>
      </c>
      <c r="T374" s="332">
        <v>8414.2999999999993</v>
      </c>
      <c r="U374" s="330">
        <f t="shared" si="88"/>
        <v>7825.299</v>
      </c>
      <c r="V374" s="330">
        <v>0</v>
      </c>
      <c r="W374" s="330">
        <f t="shared" si="89"/>
        <v>589.00099999999998</v>
      </c>
      <c r="X374" s="495">
        <v>0</v>
      </c>
      <c r="Y374" s="280">
        <v>0</v>
      </c>
      <c r="Z374" s="330">
        <v>0</v>
      </c>
      <c r="AA374" s="330">
        <v>0</v>
      </c>
      <c r="AB374" s="330">
        <v>0</v>
      </c>
      <c r="AC374" s="336">
        <v>0</v>
      </c>
      <c r="AD374" s="279">
        <v>0</v>
      </c>
      <c r="AE374" s="330">
        <v>0</v>
      </c>
      <c r="AF374" s="330">
        <v>0</v>
      </c>
      <c r="AG374" s="495">
        <v>0</v>
      </c>
      <c r="AH374" s="336">
        <v>0</v>
      </c>
      <c r="AI374" s="330">
        <v>0</v>
      </c>
      <c r="AJ374" s="330">
        <v>0</v>
      </c>
      <c r="AK374" s="330">
        <v>0</v>
      </c>
      <c r="AL374" s="285"/>
    </row>
    <row r="375" spans="1:38" s="275" customFormat="1" ht="54.6" customHeight="1" outlineLevel="1" x14ac:dyDescent="0.25">
      <c r="A375" s="311" t="s">
        <v>963</v>
      </c>
      <c r="B375" s="331" t="s">
        <v>964</v>
      </c>
      <c r="C375" s="330">
        <f t="shared" si="82"/>
        <v>52.94</v>
      </c>
      <c r="D375" s="314">
        <f t="shared" si="76"/>
        <v>91089.45</v>
      </c>
      <c r="E375" s="303">
        <v>0</v>
      </c>
      <c r="F375" s="307">
        <v>0</v>
      </c>
      <c r="G375" s="303">
        <v>0</v>
      </c>
      <c r="H375" s="303">
        <v>0</v>
      </c>
      <c r="I375" s="314">
        <v>0</v>
      </c>
      <c r="J375" s="335">
        <v>0</v>
      </c>
      <c r="K375" s="330">
        <v>0</v>
      </c>
      <c r="L375" s="330">
        <v>0</v>
      </c>
      <c r="M375" s="330">
        <v>0</v>
      </c>
      <c r="N375" s="330">
        <v>0</v>
      </c>
      <c r="O375" s="335">
        <v>0</v>
      </c>
      <c r="P375" s="330">
        <v>0</v>
      </c>
      <c r="Q375" s="330">
        <v>0</v>
      </c>
      <c r="R375" s="330">
        <v>0</v>
      </c>
      <c r="S375" s="330">
        <v>52.94</v>
      </c>
      <c r="T375" s="332">
        <v>91089.45</v>
      </c>
      <c r="U375" s="330">
        <f t="shared" si="88"/>
        <v>84713.188500000004</v>
      </c>
      <c r="V375" s="330">
        <v>0</v>
      </c>
      <c r="W375" s="330">
        <f t="shared" si="89"/>
        <v>6376.2615000000005</v>
      </c>
      <c r="X375" s="495">
        <v>0</v>
      </c>
      <c r="Y375" s="280">
        <v>0</v>
      </c>
      <c r="Z375" s="330">
        <v>0</v>
      </c>
      <c r="AA375" s="330">
        <v>0</v>
      </c>
      <c r="AB375" s="330">
        <v>0</v>
      </c>
      <c r="AC375" s="336">
        <v>0</v>
      </c>
      <c r="AD375" s="279">
        <v>0</v>
      </c>
      <c r="AE375" s="330">
        <v>0</v>
      </c>
      <c r="AF375" s="330">
        <v>0</v>
      </c>
      <c r="AG375" s="495">
        <v>0</v>
      </c>
      <c r="AH375" s="336">
        <v>0</v>
      </c>
      <c r="AI375" s="330">
        <v>0</v>
      </c>
      <c r="AJ375" s="330">
        <v>0</v>
      </c>
      <c r="AK375" s="330">
        <v>0</v>
      </c>
      <c r="AL375" s="285"/>
    </row>
    <row r="376" spans="1:38" s="275" customFormat="1" ht="45.6" customHeight="1" outlineLevel="1" x14ac:dyDescent="0.25">
      <c r="A376" s="311" t="s">
        <v>965</v>
      </c>
      <c r="B376" s="331" t="s">
        <v>966</v>
      </c>
      <c r="C376" s="330">
        <f t="shared" si="82"/>
        <v>35.82</v>
      </c>
      <c r="D376" s="314">
        <f t="shared" si="76"/>
        <v>68567.990000000005</v>
      </c>
      <c r="E376" s="303">
        <v>0</v>
      </c>
      <c r="F376" s="307">
        <v>0</v>
      </c>
      <c r="G376" s="303">
        <v>0</v>
      </c>
      <c r="H376" s="303">
        <v>0</v>
      </c>
      <c r="I376" s="314">
        <v>0</v>
      </c>
      <c r="J376" s="335">
        <v>0</v>
      </c>
      <c r="K376" s="330">
        <v>0</v>
      </c>
      <c r="L376" s="330">
        <v>0</v>
      </c>
      <c r="M376" s="330">
        <v>0</v>
      </c>
      <c r="N376" s="330">
        <v>0</v>
      </c>
      <c r="O376" s="335">
        <v>0</v>
      </c>
      <c r="P376" s="330">
        <v>0</v>
      </c>
      <c r="Q376" s="330">
        <v>0</v>
      </c>
      <c r="R376" s="330">
        <v>0</v>
      </c>
      <c r="S376" s="330">
        <v>35.82</v>
      </c>
      <c r="T376" s="332">
        <v>68567.990000000005</v>
      </c>
      <c r="U376" s="330">
        <f t="shared" si="88"/>
        <v>63768.230700000007</v>
      </c>
      <c r="V376" s="330">
        <v>0</v>
      </c>
      <c r="W376" s="330">
        <f t="shared" si="89"/>
        <v>4799.7593000000006</v>
      </c>
      <c r="X376" s="495">
        <v>0</v>
      </c>
      <c r="Y376" s="280">
        <v>0</v>
      </c>
      <c r="Z376" s="330">
        <v>0</v>
      </c>
      <c r="AA376" s="330">
        <v>0</v>
      </c>
      <c r="AB376" s="330">
        <v>0</v>
      </c>
      <c r="AC376" s="336">
        <v>0</v>
      </c>
      <c r="AD376" s="279">
        <v>0</v>
      </c>
      <c r="AE376" s="330">
        <v>0</v>
      </c>
      <c r="AF376" s="330">
        <v>0</v>
      </c>
      <c r="AG376" s="495">
        <v>0</v>
      </c>
      <c r="AH376" s="336">
        <v>0</v>
      </c>
      <c r="AI376" s="330">
        <v>0</v>
      </c>
      <c r="AJ376" s="330">
        <v>0</v>
      </c>
      <c r="AK376" s="330">
        <v>0</v>
      </c>
      <c r="AL376" s="285"/>
    </row>
    <row r="377" spans="1:38" s="275" customFormat="1" ht="138.6" customHeight="1" outlineLevel="1" x14ac:dyDescent="0.25">
      <c r="A377" s="311" t="s">
        <v>967</v>
      </c>
      <c r="B377" s="331" t="s">
        <v>968</v>
      </c>
      <c r="C377" s="330">
        <f t="shared" si="82"/>
        <v>10.75</v>
      </c>
      <c r="D377" s="314">
        <f t="shared" si="76"/>
        <v>20559.95</v>
      </c>
      <c r="E377" s="303">
        <v>0</v>
      </c>
      <c r="F377" s="307">
        <v>0</v>
      </c>
      <c r="G377" s="303">
        <v>0</v>
      </c>
      <c r="H377" s="303">
        <v>0</v>
      </c>
      <c r="I377" s="314">
        <v>0</v>
      </c>
      <c r="J377" s="335">
        <v>0</v>
      </c>
      <c r="K377" s="330">
        <v>0</v>
      </c>
      <c r="L377" s="330">
        <v>0</v>
      </c>
      <c r="M377" s="330">
        <v>0</v>
      </c>
      <c r="N377" s="330">
        <v>0</v>
      </c>
      <c r="O377" s="335">
        <v>0</v>
      </c>
      <c r="P377" s="330">
        <v>0</v>
      </c>
      <c r="Q377" s="330">
        <v>0</v>
      </c>
      <c r="R377" s="330">
        <v>0</v>
      </c>
      <c r="S377" s="330">
        <v>10.75</v>
      </c>
      <c r="T377" s="332">
        <v>20559.95</v>
      </c>
      <c r="U377" s="330">
        <f t="shared" si="88"/>
        <v>19120.753500000003</v>
      </c>
      <c r="V377" s="330">
        <v>0</v>
      </c>
      <c r="W377" s="330">
        <f t="shared" si="89"/>
        <v>1439.1965000000002</v>
      </c>
      <c r="X377" s="495">
        <v>0</v>
      </c>
      <c r="Y377" s="280">
        <v>0</v>
      </c>
      <c r="Z377" s="330">
        <v>0</v>
      </c>
      <c r="AA377" s="330">
        <v>0</v>
      </c>
      <c r="AB377" s="330">
        <v>0</v>
      </c>
      <c r="AC377" s="336">
        <v>0</v>
      </c>
      <c r="AD377" s="279">
        <v>0</v>
      </c>
      <c r="AE377" s="330">
        <v>0</v>
      </c>
      <c r="AF377" s="330">
        <v>0</v>
      </c>
      <c r="AG377" s="495">
        <v>0</v>
      </c>
      <c r="AH377" s="336">
        <v>0</v>
      </c>
      <c r="AI377" s="330">
        <v>0</v>
      </c>
      <c r="AJ377" s="330">
        <v>0</v>
      </c>
      <c r="AK377" s="330">
        <v>0</v>
      </c>
      <c r="AL377" s="285"/>
    </row>
    <row r="378" spans="1:38" s="275" customFormat="1" ht="51.6" customHeight="1" outlineLevel="1" x14ac:dyDescent="0.25">
      <c r="A378" s="311" t="s">
        <v>969</v>
      </c>
      <c r="B378" s="331" t="s">
        <v>970</v>
      </c>
      <c r="C378" s="330">
        <f t="shared" si="82"/>
        <v>55.94</v>
      </c>
      <c r="D378" s="314">
        <f t="shared" si="76"/>
        <v>93996.52</v>
      </c>
      <c r="E378" s="303">
        <v>0</v>
      </c>
      <c r="F378" s="307">
        <v>0</v>
      </c>
      <c r="G378" s="303">
        <v>0</v>
      </c>
      <c r="H378" s="303">
        <v>0</v>
      </c>
      <c r="I378" s="314">
        <v>0</v>
      </c>
      <c r="J378" s="335">
        <v>0</v>
      </c>
      <c r="K378" s="330">
        <v>0</v>
      </c>
      <c r="L378" s="330">
        <v>0</v>
      </c>
      <c r="M378" s="330">
        <v>0</v>
      </c>
      <c r="N378" s="330">
        <v>0</v>
      </c>
      <c r="O378" s="335">
        <v>0</v>
      </c>
      <c r="P378" s="330">
        <v>0</v>
      </c>
      <c r="Q378" s="330">
        <v>0</v>
      </c>
      <c r="R378" s="330">
        <v>0</v>
      </c>
      <c r="S378" s="330">
        <v>55.94</v>
      </c>
      <c r="T378" s="332">
        <v>93996.52</v>
      </c>
      <c r="U378" s="330">
        <f t="shared" si="88"/>
        <v>87416.763600000006</v>
      </c>
      <c r="V378" s="330">
        <v>0</v>
      </c>
      <c r="W378" s="330">
        <f t="shared" si="89"/>
        <v>6579.7564000000011</v>
      </c>
      <c r="X378" s="495">
        <v>0</v>
      </c>
      <c r="Y378" s="280">
        <v>0</v>
      </c>
      <c r="Z378" s="330">
        <v>0</v>
      </c>
      <c r="AA378" s="330">
        <v>0</v>
      </c>
      <c r="AB378" s="330">
        <v>0</v>
      </c>
      <c r="AC378" s="336">
        <v>0</v>
      </c>
      <c r="AD378" s="279">
        <v>0</v>
      </c>
      <c r="AE378" s="330">
        <v>0</v>
      </c>
      <c r="AF378" s="330">
        <v>0</v>
      </c>
      <c r="AG378" s="495">
        <v>0</v>
      </c>
      <c r="AH378" s="336">
        <v>0</v>
      </c>
      <c r="AI378" s="330">
        <v>0</v>
      </c>
      <c r="AJ378" s="330">
        <v>0</v>
      </c>
      <c r="AK378" s="330">
        <v>0</v>
      </c>
      <c r="AL378" s="285"/>
    </row>
    <row r="379" spans="1:38" s="275" customFormat="1" ht="72.599999999999994" customHeight="1" outlineLevel="1" x14ac:dyDescent="0.25">
      <c r="A379" s="311" t="s">
        <v>971</v>
      </c>
      <c r="B379" s="331" t="s">
        <v>972</v>
      </c>
      <c r="C379" s="330">
        <f t="shared" si="82"/>
        <v>5.98</v>
      </c>
      <c r="D379" s="314">
        <f t="shared" si="76"/>
        <v>11190.8</v>
      </c>
      <c r="E379" s="303">
        <v>0</v>
      </c>
      <c r="F379" s="307">
        <v>0</v>
      </c>
      <c r="G379" s="303">
        <v>0</v>
      </c>
      <c r="H379" s="303">
        <v>0</v>
      </c>
      <c r="I379" s="314">
        <v>0</v>
      </c>
      <c r="J379" s="335">
        <v>0</v>
      </c>
      <c r="K379" s="330">
        <v>0</v>
      </c>
      <c r="L379" s="330">
        <v>0</v>
      </c>
      <c r="M379" s="330">
        <v>0</v>
      </c>
      <c r="N379" s="330">
        <v>0</v>
      </c>
      <c r="O379" s="335">
        <v>0</v>
      </c>
      <c r="P379" s="330">
        <v>0</v>
      </c>
      <c r="Q379" s="330">
        <v>0</v>
      </c>
      <c r="R379" s="330">
        <v>0</v>
      </c>
      <c r="S379" s="330">
        <v>5.98</v>
      </c>
      <c r="T379" s="332">
        <v>11190.8</v>
      </c>
      <c r="U379" s="330">
        <f t="shared" si="88"/>
        <v>10407.444</v>
      </c>
      <c r="V379" s="330">
        <v>0</v>
      </c>
      <c r="W379" s="330">
        <f t="shared" si="89"/>
        <v>783.35599999999999</v>
      </c>
      <c r="X379" s="495">
        <v>0</v>
      </c>
      <c r="Y379" s="280">
        <v>0</v>
      </c>
      <c r="Z379" s="330">
        <v>0</v>
      </c>
      <c r="AA379" s="330">
        <v>0</v>
      </c>
      <c r="AB379" s="330">
        <v>0</v>
      </c>
      <c r="AC379" s="336">
        <v>0</v>
      </c>
      <c r="AD379" s="279">
        <v>0</v>
      </c>
      <c r="AE379" s="330">
        <v>0</v>
      </c>
      <c r="AF379" s="330">
        <v>0</v>
      </c>
      <c r="AG379" s="495">
        <v>0</v>
      </c>
      <c r="AH379" s="336">
        <v>0</v>
      </c>
      <c r="AI379" s="330">
        <v>0</v>
      </c>
      <c r="AJ379" s="330">
        <v>0</v>
      </c>
      <c r="AK379" s="330">
        <v>0</v>
      </c>
      <c r="AL379" s="285"/>
    </row>
    <row r="380" spans="1:38" s="275" customFormat="1" ht="52.65" customHeight="1" outlineLevel="1" x14ac:dyDescent="0.25">
      <c r="A380" s="311" t="s">
        <v>973</v>
      </c>
      <c r="B380" s="331" t="s">
        <v>974</v>
      </c>
      <c r="C380" s="330">
        <f t="shared" si="82"/>
        <v>39</v>
      </c>
      <c r="D380" s="314">
        <f t="shared" si="76"/>
        <v>113668.04</v>
      </c>
      <c r="E380" s="303">
        <v>0</v>
      </c>
      <c r="F380" s="307">
        <v>0</v>
      </c>
      <c r="G380" s="303">
        <v>0</v>
      </c>
      <c r="H380" s="303">
        <v>0</v>
      </c>
      <c r="I380" s="314">
        <v>0</v>
      </c>
      <c r="J380" s="335">
        <v>0</v>
      </c>
      <c r="K380" s="330">
        <v>0</v>
      </c>
      <c r="L380" s="330">
        <v>0</v>
      </c>
      <c r="M380" s="330">
        <v>0</v>
      </c>
      <c r="N380" s="330">
        <v>0</v>
      </c>
      <c r="O380" s="335">
        <v>0</v>
      </c>
      <c r="P380" s="330">
        <v>0</v>
      </c>
      <c r="Q380" s="330">
        <v>0</v>
      </c>
      <c r="R380" s="330">
        <v>0</v>
      </c>
      <c r="S380" s="330">
        <v>39</v>
      </c>
      <c r="T380" s="332">
        <v>113668.04</v>
      </c>
      <c r="U380" s="330">
        <f t="shared" si="88"/>
        <v>105711.2772</v>
      </c>
      <c r="V380" s="330">
        <v>0</v>
      </c>
      <c r="W380" s="330">
        <f t="shared" si="89"/>
        <v>7956.7628000000004</v>
      </c>
      <c r="X380" s="495">
        <v>0</v>
      </c>
      <c r="Y380" s="280">
        <v>0</v>
      </c>
      <c r="Z380" s="330">
        <v>0</v>
      </c>
      <c r="AA380" s="330">
        <v>0</v>
      </c>
      <c r="AB380" s="330">
        <v>0</v>
      </c>
      <c r="AC380" s="336">
        <v>0</v>
      </c>
      <c r="AD380" s="279">
        <v>0</v>
      </c>
      <c r="AE380" s="330">
        <v>0</v>
      </c>
      <c r="AF380" s="330">
        <v>0</v>
      </c>
      <c r="AG380" s="495">
        <v>0</v>
      </c>
      <c r="AH380" s="336">
        <v>0</v>
      </c>
      <c r="AI380" s="330">
        <v>0</v>
      </c>
      <c r="AJ380" s="330">
        <v>0</v>
      </c>
      <c r="AK380" s="330">
        <v>0</v>
      </c>
      <c r="AL380" s="285"/>
    </row>
    <row r="381" spans="1:38" s="275" customFormat="1" ht="66" customHeight="1" outlineLevel="1" x14ac:dyDescent="0.25">
      <c r="A381" s="311" t="s">
        <v>975</v>
      </c>
      <c r="B381" s="331" t="s">
        <v>976</v>
      </c>
      <c r="C381" s="330">
        <f t="shared" si="82"/>
        <v>14.31</v>
      </c>
      <c r="D381" s="314">
        <f t="shared" si="76"/>
        <v>25733.81</v>
      </c>
      <c r="E381" s="303">
        <v>0</v>
      </c>
      <c r="F381" s="307">
        <v>0</v>
      </c>
      <c r="G381" s="303">
        <v>0</v>
      </c>
      <c r="H381" s="303">
        <v>0</v>
      </c>
      <c r="I381" s="314">
        <v>0</v>
      </c>
      <c r="J381" s="335">
        <v>0</v>
      </c>
      <c r="K381" s="330">
        <v>0</v>
      </c>
      <c r="L381" s="330">
        <v>0</v>
      </c>
      <c r="M381" s="330">
        <v>0</v>
      </c>
      <c r="N381" s="330">
        <v>0</v>
      </c>
      <c r="O381" s="335">
        <v>0</v>
      </c>
      <c r="P381" s="330">
        <v>0</v>
      </c>
      <c r="Q381" s="330">
        <v>0</v>
      </c>
      <c r="R381" s="330">
        <v>0</v>
      </c>
      <c r="S381" s="330">
        <v>14.31</v>
      </c>
      <c r="T381" s="332">
        <v>25733.81</v>
      </c>
      <c r="U381" s="330">
        <f t="shared" si="88"/>
        <v>23932.443300000003</v>
      </c>
      <c r="V381" s="330">
        <v>0</v>
      </c>
      <c r="W381" s="330">
        <f t="shared" si="89"/>
        <v>1801.3667000000003</v>
      </c>
      <c r="X381" s="495">
        <v>0</v>
      </c>
      <c r="Y381" s="280">
        <v>0</v>
      </c>
      <c r="Z381" s="330">
        <v>0</v>
      </c>
      <c r="AA381" s="330">
        <v>0</v>
      </c>
      <c r="AB381" s="330">
        <v>0</v>
      </c>
      <c r="AC381" s="336">
        <v>0</v>
      </c>
      <c r="AD381" s="279">
        <v>0</v>
      </c>
      <c r="AE381" s="330">
        <v>0</v>
      </c>
      <c r="AF381" s="330">
        <v>0</v>
      </c>
      <c r="AG381" s="495">
        <v>0</v>
      </c>
      <c r="AH381" s="336">
        <v>0</v>
      </c>
      <c r="AI381" s="330">
        <v>0</v>
      </c>
      <c r="AJ381" s="330">
        <v>0</v>
      </c>
      <c r="AK381" s="330">
        <v>0</v>
      </c>
      <c r="AL381" s="285"/>
    </row>
    <row r="382" spans="1:38" s="275" customFormat="1" ht="74.400000000000006" customHeight="1" outlineLevel="1" x14ac:dyDescent="0.25">
      <c r="A382" s="311" t="s">
        <v>977</v>
      </c>
      <c r="B382" s="331" t="s">
        <v>978</v>
      </c>
      <c r="C382" s="330">
        <f t="shared" si="82"/>
        <v>39.159999999999997</v>
      </c>
      <c r="D382" s="314">
        <f t="shared" si="76"/>
        <v>75458.67</v>
      </c>
      <c r="E382" s="303">
        <v>0</v>
      </c>
      <c r="F382" s="307">
        <v>0</v>
      </c>
      <c r="G382" s="303">
        <v>0</v>
      </c>
      <c r="H382" s="303">
        <v>0</v>
      </c>
      <c r="I382" s="314">
        <v>0</v>
      </c>
      <c r="J382" s="335">
        <v>0</v>
      </c>
      <c r="K382" s="330">
        <v>0</v>
      </c>
      <c r="L382" s="330">
        <v>0</v>
      </c>
      <c r="M382" s="330">
        <v>0</v>
      </c>
      <c r="N382" s="330">
        <v>0</v>
      </c>
      <c r="O382" s="335">
        <v>0</v>
      </c>
      <c r="P382" s="330">
        <v>0</v>
      </c>
      <c r="Q382" s="330">
        <v>0</v>
      </c>
      <c r="R382" s="330">
        <v>0</v>
      </c>
      <c r="S382" s="330">
        <v>39.159999999999997</v>
      </c>
      <c r="T382" s="332">
        <v>75458.67</v>
      </c>
      <c r="U382" s="330">
        <f t="shared" si="88"/>
        <v>70176.563099999999</v>
      </c>
      <c r="V382" s="330">
        <v>0</v>
      </c>
      <c r="W382" s="330">
        <f t="shared" si="89"/>
        <v>5282.1069000000007</v>
      </c>
      <c r="X382" s="495">
        <v>0</v>
      </c>
      <c r="Y382" s="280">
        <v>0</v>
      </c>
      <c r="Z382" s="330">
        <v>0</v>
      </c>
      <c r="AA382" s="330">
        <v>0</v>
      </c>
      <c r="AB382" s="330">
        <v>0</v>
      </c>
      <c r="AC382" s="336">
        <v>0</v>
      </c>
      <c r="AD382" s="279">
        <v>0</v>
      </c>
      <c r="AE382" s="330">
        <v>0</v>
      </c>
      <c r="AF382" s="330">
        <v>0</v>
      </c>
      <c r="AG382" s="495">
        <v>0</v>
      </c>
      <c r="AH382" s="336">
        <v>0</v>
      </c>
      <c r="AI382" s="330">
        <v>0</v>
      </c>
      <c r="AJ382" s="330">
        <v>0</v>
      </c>
      <c r="AK382" s="330">
        <v>0</v>
      </c>
      <c r="AL382" s="285"/>
    </row>
    <row r="383" spans="1:38" s="275" customFormat="1" ht="70.2" customHeight="1" outlineLevel="1" x14ac:dyDescent="0.25">
      <c r="A383" s="311" t="s">
        <v>979</v>
      </c>
      <c r="B383" s="331" t="s">
        <v>980</v>
      </c>
      <c r="C383" s="330">
        <f t="shared" si="82"/>
        <v>17.71</v>
      </c>
      <c r="D383" s="314">
        <f t="shared" si="76"/>
        <v>35135.47</v>
      </c>
      <c r="E383" s="303">
        <v>0</v>
      </c>
      <c r="F383" s="307">
        <v>0</v>
      </c>
      <c r="G383" s="303">
        <v>0</v>
      </c>
      <c r="H383" s="303">
        <v>0</v>
      </c>
      <c r="I383" s="314">
        <v>0</v>
      </c>
      <c r="J383" s="335">
        <v>0</v>
      </c>
      <c r="K383" s="330">
        <v>0</v>
      </c>
      <c r="L383" s="330">
        <v>0</v>
      </c>
      <c r="M383" s="330">
        <v>0</v>
      </c>
      <c r="N383" s="330">
        <v>0</v>
      </c>
      <c r="O383" s="335">
        <v>0</v>
      </c>
      <c r="P383" s="330">
        <v>0</v>
      </c>
      <c r="Q383" s="330">
        <v>0</v>
      </c>
      <c r="R383" s="330">
        <v>0</v>
      </c>
      <c r="S383" s="330">
        <v>17.71</v>
      </c>
      <c r="T383" s="332">
        <v>35135.47</v>
      </c>
      <c r="U383" s="330">
        <f t="shared" si="88"/>
        <v>32675.987100000002</v>
      </c>
      <c r="V383" s="330">
        <v>0</v>
      </c>
      <c r="W383" s="330">
        <f t="shared" si="89"/>
        <v>2459.4829000000004</v>
      </c>
      <c r="X383" s="495">
        <v>0</v>
      </c>
      <c r="Y383" s="280">
        <v>0</v>
      </c>
      <c r="Z383" s="330">
        <v>0</v>
      </c>
      <c r="AA383" s="330">
        <v>0</v>
      </c>
      <c r="AB383" s="330">
        <v>0</v>
      </c>
      <c r="AC383" s="336">
        <v>0</v>
      </c>
      <c r="AD383" s="279">
        <v>0</v>
      </c>
      <c r="AE383" s="330">
        <v>0</v>
      </c>
      <c r="AF383" s="330">
        <v>0</v>
      </c>
      <c r="AG383" s="495">
        <v>0</v>
      </c>
      <c r="AH383" s="336">
        <v>0</v>
      </c>
      <c r="AI383" s="330">
        <v>0</v>
      </c>
      <c r="AJ383" s="330">
        <v>0</v>
      </c>
      <c r="AK383" s="330">
        <v>0</v>
      </c>
      <c r="AL383" s="285"/>
    </row>
    <row r="384" spans="1:38" s="275" customFormat="1" ht="53.4" customHeight="1" outlineLevel="1" x14ac:dyDescent="0.25">
      <c r="A384" s="311" t="s">
        <v>981</v>
      </c>
      <c r="B384" s="331" t="s">
        <v>982</v>
      </c>
      <c r="C384" s="330">
        <f t="shared" si="82"/>
        <v>9</v>
      </c>
      <c r="D384" s="314">
        <f t="shared" si="76"/>
        <v>19943.810000000001</v>
      </c>
      <c r="E384" s="303">
        <v>0</v>
      </c>
      <c r="F384" s="307">
        <v>0</v>
      </c>
      <c r="G384" s="303">
        <v>0</v>
      </c>
      <c r="H384" s="303">
        <v>0</v>
      </c>
      <c r="I384" s="314">
        <v>0</v>
      </c>
      <c r="J384" s="335">
        <v>0</v>
      </c>
      <c r="K384" s="330">
        <v>0</v>
      </c>
      <c r="L384" s="330">
        <v>0</v>
      </c>
      <c r="M384" s="330">
        <v>0</v>
      </c>
      <c r="N384" s="330">
        <v>0</v>
      </c>
      <c r="O384" s="335">
        <v>0</v>
      </c>
      <c r="P384" s="330">
        <v>0</v>
      </c>
      <c r="Q384" s="330">
        <v>0</v>
      </c>
      <c r="R384" s="330">
        <v>0</v>
      </c>
      <c r="S384" s="330">
        <v>9</v>
      </c>
      <c r="T384" s="332">
        <v>19943.810000000001</v>
      </c>
      <c r="U384" s="330">
        <f t="shared" si="88"/>
        <v>18547.743300000002</v>
      </c>
      <c r="V384" s="330">
        <v>0</v>
      </c>
      <c r="W384" s="330">
        <f t="shared" si="89"/>
        <v>1396.0667000000003</v>
      </c>
      <c r="X384" s="495">
        <v>0</v>
      </c>
      <c r="Y384" s="280">
        <v>0</v>
      </c>
      <c r="Z384" s="330">
        <v>0</v>
      </c>
      <c r="AA384" s="330">
        <v>0</v>
      </c>
      <c r="AB384" s="330">
        <v>0</v>
      </c>
      <c r="AC384" s="336">
        <v>0</v>
      </c>
      <c r="AD384" s="279">
        <v>0</v>
      </c>
      <c r="AE384" s="330">
        <v>0</v>
      </c>
      <c r="AF384" s="330">
        <v>0</v>
      </c>
      <c r="AG384" s="495">
        <v>0</v>
      </c>
      <c r="AH384" s="336">
        <v>0</v>
      </c>
      <c r="AI384" s="330">
        <v>0</v>
      </c>
      <c r="AJ384" s="330">
        <v>0</v>
      </c>
      <c r="AK384" s="330">
        <v>0</v>
      </c>
      <c r="AL384" s="285"/>
    </row>
    <row r="385" spans="1:38" s="275" customFormat="1" ht="118.95" customHeight="1" outlineLevel="1" x14ac:dyDescent="0.25">
      <c r="A385" s="311" t="s">
        <v>983</v>
      </c>
      <c r="B385" s="331" t="s">
        <v>984</v>
      </c>
      <c r="C385" s="330">
        <f t="shared" si="82"/>
        <v>54.5</v>
      </c>
      <c r="D385" s="314">
        <f t="shared" si="76"/>
        <v>103382.32</v>
      </c>
      <c r="E385" s="303">
        <v>0</v>
      </c>
      <c r="F385" s="307">
        <v>0</v>
      </c>
      <c r="G385" s="303">
        <v>0</v>
      </c>
      <c r="H385" s="303">
        <v>0</v>
      </c>
      <c r="I385" s="314">
        <v>0</v>
      </c>
      <c r="J385" s="335">
        <v>0</v>
      </c>
      <c r="K385" s="330">
        <v>0</v>
      </c>
      <c r="L385" s="330">
        <v>0</v>
      </c>
      <c r="M385" s="330">
        <v>0</v>
      </c>
      <c r="N385" s="330">
        <v>0</v>
      </c>
      <c r="O385" s="335">
        <v>0</v>
      </c>
      <c r="P385" s="330">
        <v>0</v>
      </c>
      <c r="Q385" s="330">
        <v>0</v>
      </c>
      <c r="R385" s="330">
        <v>0</v>
      </c>
      <c r="S385" s="330">
        <v>54.5</v>
      </c>
      <c r="T385" s="332">
        <v>103382.32</v>
      </c>
      <c r="U385" s="330">
        <f t="shared" si="88"/>
        <v>96145.557600000015</v>
      </c>
      <c r="V385" s="330">
        <v>0</v>
      </c>
      <c r="W385" s="330">
        <f t="shared" si="89"/>
        <v>7236.7624000000014</v>
      </c>
      <c r="X385" s="495">
        <v>0</v>
      </c>
      <c r="Y385" s="280">
        <v>0</v>
      </c>
      <c r="Z385" s="330">
        <v>0</v>
      </c>
      <c r="AA385" s="330">
        <v>0</v>
      </c>
      <c r="AB385" s="330">
        <v>0</v>
      </c>
      <c r="AC385" s="336">
        <v>0</v>
      </c>
      <c r="AD385" s="279">
        <v>0</v>
      </c>
      <c r="AE385" s="330">
        <v>0</v>
      </c>
      <c r="AF385" s="330">
        <v>0</v>
      </c>
      <c r="AG385" s="495">
        <v>0</v>
      </c>
      <c r="AH385" s="336">
        <v>0</v>
      </c>
      <c r="AI385" s="330">
        <v>0</v>
      </c>
      <c r="AJ385" s="330">
        <v>0</v>
      </c>
      <c r="AK385" s="330">
        <v>0</v>
      </c>
      <c r="AL385" s="285"/>
    </row>
    <row r="386" spans="1:38" s="275" customFormat="1" ht="31.65" customHeight="1" outlineLevel="1" x14ac:dyDescent="0.25">
      <c r="A386" s="311" t="s">
        <v>985</v>
      </c>
      <c r="B386" s="331" t="s">
        <v>986</v>
      </c>
      <c r="C386" s="330">
        <f t="shared" si="82"/>
        <v>3.68</v>
      </c>
      <c r="D386" s="314">
        <f t="shared" si="76"/>
        <v>7186.73</v>
      </c>
      <c r="E386" s="303">
        <v>0</v>
      </c>
      <c r="F386" s="307">
        <v>0</v>
      </c>
      <c r="G386" s="303">
        <v>0</v>
      </c>
      <c r="H386" s="303">
        <v>0</v>
      </c>
      <c r="I386" s="314">
        <v>0</v>
      </c>
      <c r="J386" s="335">
        <v>0</v>
      </c>
      <c r="K386" s="330">
        <v>0</v>
      </c>
      <c r="L386" s="330">
        <v>0</v>
      </c>
      <c r="M386" s="330">
        <v>0</v>
      </c>
      <c r="N386" s="330">
        <v>0</v>
      </c>
      <c r="O386" s="335">
        <v>0</v>
      </c>
      <c r="P386" s="330">
        <v>0</v>
      </c>
      <c r="Q386" s="330">
        <v>0</v>
      </c>
      <c r="R386" s="330">
        <v>0</v>
      </c>
      <c r="S386" s="330">
        <v>3.68</v>
      </c>
      <c r="T386" s="332">
        <v>7186.73</v>
      </c>
      <c r="U386" s="330">
        <f t="shared" si="88"/>
        <v>6683.6589000000004</v>
      </c>
      <c r="V386" s="330">
        <v>0</v>
      </c>
      <c r="W386" s="330">
        <f t="shared" si="89"/>
        <v>503.0711</v>
      </c>
      <c r="X386" s="495">
        <v>0</v>
      </c>
      <c r="Y386" s="280">
        <v>0</v>
      </c>
      <c r="Z386" s="330">
        <v>0</v>
      </c>
      <c r="AA386" s="330">
        <v>0</v>
      </c>
      <c r="AB386" s="330">
        <v>0</v>
      </c>
      <c r="AC386" s="336">
        <v>0</v>
      </c>
      <c r="AD386" s="279">
        <v>0</v>
      </c>
      <c r="AE386" s="330">
        <v>0</v>
      </c>
      <c r="AF386" s="330">
        <v>0</v>
      </c>
      <c r="AG386" s="495">
        <v>0</v>
      </c>
      <c r="AH386" s="336">
        <v>0</v>
      </c>
      <c r="AI386" s="330">
        <v>0</v>
      </c>
      <c r="AJ386" s="330">
        <v>0</v>
      </c>
      <c r="AK386" s="330">
        <v>0</v>
      </c>
      <c r="AL386" s="285"/>
    </row>
    <row r="387" spans="1:38" s="275" customFormat="1" ht="65.400000000000006" customHeight="1" outlineLevel="1" x14ac:dyDescent="0.25">
      <c r="A387" s="311" t="s">
        <v>987</v>
      </c>
      <c r="B387" s="331" t="s">
        <v>988</v>
      </c>
      <c r="C387" s="330">
        <f t="shared" si="82"/>
        <v>14.88</v>
      </c>
      <c r="D387" s="314">
        <f t="shared" si="76"/>
        <v>15042.19</v>
      </c>
      <c r="E387" s="303">
        <v>0</v>
      </c>
      <c r="F387" s="307">
        <v>0</v>
      </c>
      <c r="G387" s="303">
        <v>0</v>
      </c>
      <c r="H387" s="303">
        <v>0</v>
      </c>
      <c r="I387" s="314">
        <v>0</v>
      </c>
      <c r="J387" s="335">
        <v>0</v>
      </c>
      <c r="K387" s="330">
        <v>0</v>
      </c>
      <c r="L387" s="330">
        <v>0</v>
      </c>
      <c r="M387" s="330">
        <v>0</v>
      </c>
      <c r="N387" s="330">
        <v>0</v>
      </c>
      <c r="O387" s="335">
        <v>0</v>
      </c>
      <c r="P387" s="330">
        <v>0</v>
      </c>
      <c r="Q387" s="330">
        <v>0</v>
      </c>
      <c r="R387" s="330">
        <v>0</v>
      </c>
      <c r="S387" s="330">
        <v>14.88</v>
      </c>
      <c r="T387" s="332">
        <v>15042.19</v>
      </c>
      <c r="U387" s="330">
        <f>T387*0.651</f>
        <v>9792.4656900000009</v>
      </c>
      <c r="V387" s="330">
        <f>T387*0.279</f>
        <v>4196.7710100000004</v>
      </c>
      <c r="W387" s="330">
        <f>T387*0.07</f>
        <v>1052.9533000000001</v>
      </c>
      <c r="X387" s="495">
        <v>0</v>
      </c>
      <c r="Y387" s="280">
        <v>0</v>
      </c>
      <c r="Z387" s="330">
        <v>0</v>
      </c>
      <c r="AA387" s="330">
        <v>0</v>
      </c>
      <c r="AB387" s="330">
        <v>0</v>
      </c>
      <c r="AC387" s="336">
        <v>0</v>
      </c>
      <c r="AD387" s="279">
        <v>0</v>
      </c>
      <c r="AE387" s="330">
        <v>0</v>
      </c>
      <c r="AF387" s="330">
        <v>0</v>
      </c>
      <c r="AG387" s="495">
        <v>0</v>
      </c>
      <c r="AH387" s="336">
        <v>0</v>
      </c>
      <c r="AI387" s="330">
        <v>0</v>
      </c>
      <c r="AJ387" s="330">
        <v>0</v>
      </c>
      <c r="AK387" s="330">
        <v>0</v>
      </c>
      <c r="AL387" s="285"/>
    </row>
    <row r="388" spans="1:38" s="275" customFormat="1" ht="52.5" customHeight="1" outlineLevel="1" x14ac:dyDescent="0.25">
      <c r="A388" s="311" t="s">
        <v>989</v>
      </c>
      <c r="B388" s="331" t="s">
        <v>990</v>
      </c>
      <c r="C388" s="330">
        <f t="shared" si="82"/>
        <v>15.7</v>
      </c>
      <c r="D388" s="314">
        <f t="shared" si="76"/>
        <v>16082.46</v>
      </c>
      <c r="E388" s="303">
        <v>0</v>
      </c>
      <c r="F388" s="307">
        <v>0</v>
      </c>
      <c r="G388" s="303">
        <v>0</v>
      </c>
      <c r="H388" s="303">
        <v>0</v>
      </c>
      <c r="I388" s="314">
        <v>0</v>
      </c>
      <c r="J388" s="335">
        <v>0</v>
      </c>
      <c r="K388" s="330">
        <v>0</v>
      </c>
      <c r="L388" s="330">
        <v>0</v>
      </c>
      <c r="M388" s="330">
        <v>0</v>
      </c>
      <c r="N388" s="330">
        <v>0</v>
      </c>
      <c r="O388" s="335">
        <v>0</v>
      </c>
      <c r="P388" s="330">
        <v>0</v>
      </c>
      <c r="Q388" s="330">
        <v>0</v>
      </c>
      <c r="R388" s="330">
        <v>0</v>
      </c>
      <c r="S388" s="330">
        <v>15.7</v>
      </c>
      <c r="T388" s="332">
        <v>16082.46</v>
      </c>
      <c r="U388" s="330">
        <f t="shared" ref="U388:U404" si="90">T388*0.651</f>
        <v>10469.68146</v>
      </c>
      <c r="V388" s="330">
        <f t="shared" ref="V388:V429" si="91">T388*0.279</f>
        <v>4487.0063399999999</v>
      </c>
      <c r="W388" s="330">
        <f t="shared" ref="W388:W429" si="92">T388*0.07</f>
        <v>1125.7722000000001</v>
      </c>
      <c r="X388" s="495">
        <v>0</v>
      </c>
      <c r="Y388" s="280">
        <v>0</v>
      </c>
      <c r="Z388" s="330">
        <v>0</v>
      </c>
      <c r="AA388" s="330">
        <v>0</v>
      </c>
      <c r="AB388" s="330">
        <v>0</v>
      </c>
      <c r="AC388" s="336">
        <v>0</v>
      </c>
      <c r="AD388" s="279">
        <v>0</v>
      </c>
      <c r="AE388" s="330">
        <v>0</v>
      </c>
      <c r="AF388" s="330">
        <v>0</v>
      </c>
      <c r="AG388" s="495">
        <v>0</v>
      </c>
      <c r="AH388" s="336">
        <v>0</v>
      </c>
      <c r="AI388" s="330">
        <v>0</v>
      </c>
      <c r="AJ388" s="330">
        <v>0</v>
      </c>
      <c r="AK388" s="330">
        <v>0</v>
      </c>
      <c r="AL388" s="285"/>
    </row>
    <row r="389" spans="1:38" s="275" customFormat="1" ht="94.2" customHeight="1" outlineLevel="1" x14ac:dyDescent="0.25">
      <c r="A389" s="311" t="s">
        <v>991</v>
      </c>
      <c r="B389" s="331" t="s">
        <v>992</v>
      </c>
      <c r="C389" s="330">
        <f t="shared" si="82"/>
        <v>17.8</v>
      </c>
      <c r="D389" s="314">
        <f t="shared" si="76"/>
        <v>20301.62</v>
      </c>
      <c r="E389" s="303">
        <v>0</v>
      </c>
      <c r="F389" s="307">
        <v>0</v>
      </c>
      <c r="G389" s="303">
        <v>0</v>
      </c>
      <c r="H389" s="303">
        <v>0</v>
      </c>
      <c r="I389" s="314">
        <v>0</v>
      </c>
      <c r="J389" s="335">
        <v>0</v>
      </c>
      <c r="K389" s="330">
        <v>0</v>
      </c>
      <c r="L389" s="330">
        <v>0</v>
      </c>
      <c r="M389" s="330">
        <v>0</v>
      </c>
      <c r="N389" s="330">
        <v>0</v>
      </c>
      <c r="O389" s="335">
        <v>0</v>
      </c>
      <c r="P389" s="330">
        <v>0</v>
      </c>
      <c r="Q389" s="330">
        <v>0</v>
      </c>
      <c r="R389" s="330">
        <v>0</v>
      </c>
      <c r="S389" s="330">
        <v>17.8</v>
      </c>
      <c r="T389" s="332">
        <v>20301.62</v>
      </c>
      <c r="U389" s="330">
        <f t="shared" si="90"/>
        <v>13216.35462</v>
      </c>
      <c r="V389" s="330">
        <f t="shared" si="91"/>
        <v>5664.1519800000005</v>
      </c>
      <c r="W389" s="330">
        <f t="shared" si="92"/>
        <v>1421.1134</v>
      </c>
      <c r="X389" s="495">
        <v>0</v>
      </c>
      <c r="Y389" s="280">
        <v>0</v>
      </c>
      <c r="Z389" s="330">
        <v>0</v>
      </c>
      <c r="AA389" s="330">
        <v>0</v>
      </c>
      <c r="AB389" s="330">
        <v>0</v>
      </c>
      <c r="AC389" s="336">
        <v>0</v>
      </c>
      <c r="AD389" s="279">
        <v>0</v>
      </c>
      <c r="AE389" s="330">
        <v>0</v>
      </c>
      <c r="AF389" s="330">
        <v>0</v>
      </c>
      <c r="AG389" s="495">
        <v>0</v>
      </c>
      <c r="AH389" s="336">
        <v>0</v>
      </c>
      <c r="AI389" s="330">
        <v>0</v>
      </c>
      <c r="AJ389" s="330">
        <v>0</v>
      </c>
      <c r="AK389" s="330">
        <v>0</v>
      </c>
      <c r="AL389" s="285"/>
    </row>
    <row r="390" spans="1:38" s="275" customFormat="1" ht="77.400000000000006" customHeight="1" outlineLevel="1" x14ac:dyDescent="0.25">
      <c r="A390" s="311" t="s">
        <v>993</v>
      </c>
      <c r="B390" s="331" t="s">
        <v>994</v>
      </c>
      <c r="C390" s="330">
        <f t="shared" si="82"/>
        <v>2.8</v>
      </c>
      <c r="D390" s="314">
        <f t="shared" si="76"/>
        <v>3201.8</v>
      </c>
      <c r="E390" s="303">
        <v>0</v>
      </c>
      <c r="F390" s="307">
        <v>0</v>
      </c>
      <c r="G390" s="303">
        <v>0</v>
      </c>
      <c r="H390" s="303">
        <v>0</v>
      </c>
      <c r="I390" s="314">
        <v>0</v>
      </c>
      <c r="J390" s="335">
        <v>0</v>
      </c>
      <c r="K390" s="330">
        <v>0</v>
      </c>
      <c r="L390" s="330">
        <v>0</v>
      </c>
      <c r="M390" s="330">
        <v>0</v>
      </c>
      <c r="N390" s="330">
        <v>0</v>
      </c>
      <c r="O390" s="335">
        <v>0</v>
      </c>
      <c r="P390" s="330">
        <v>0</v>
      </c>
      <c r="Q390" s="330">
        <v>0</v>
      </c>
      <c r="R390" s="330">
        <v>0</v>
      </c>
      <c r="S390" s="330">
        <v>2.8</v>
      </c>
      <c r="T390" s="332">
        <v>3201.8</v>
      </c>
      <c r="U390" s="330">
        <f t="shared" si="90"/>
        <v>2084.3718000000003</v>
      </c>
      <c r="V390" s="330">
        <f t="shared" si="91"/>
        <v>893.30220000000008</v>
      </c>
      <c r="W390" s="330">
        <f t="shared" si="92"/>
        <v>224.12600000000003</v>
      </c>
      <c r="X390" s="495">
        <v>0</v>
      </c>
      <c r="Y390" s="280">
        <v>0</v>
      </c>
      <c r="Z390" s="330">
        <v>0</v>
      </c>
      <c r="AA390" s="330">
        <v>0</v>
      </c>
      <c r="AB390" s="330">
        <v>0</v>
      </c>
      <c r="AC390" s="336">
        <v>0</v>
      </c>
      <c r="AD390" s="279">
        <v>0</v>
      </c>
      <c r="AE390" s="330">
        <v>0</v>
      </c>
      <c r="AF390" s="330">
        <v>0</v>
      </c>
      <c r="AG390" s="495">
        <v>0</v>
      </c>
      <c r="AH390" s="336">
        <v>0</v>
      </c>
      <c r="AI390" s="330">
        <v>0</v>
      </c>
      <c r="AJ390" s="330">
        <v>0</v>
      </c>
      <c r="AK390" s="330">
        <v>0</v>
      </c>
      <c r="AL390" s="285"/>
    </row>
    <row r="391" spans="1:38" s="275" customFormat="1" ht="76.95" customHeight="1" outlineLevel="1" x14ac:dyDescent="0.25">
      <c r="A391" s="311" t="s">
        <v>995</v>
      </c>
      <c r="B391" s="331" t="s">
        <v>996</v>
      </c>
      <c r="C391" s="330">
        <f t="shared" si="82"/>
        <v>4.76</v>
      </c>
      <c r="D391" s="314">
        <f t="shared" si="76"/>
        <v>5447.92</v>
      </c>
      <c r="E391" s="303">
        <v>0</v>
      </c>
      <c r="F391" s="307">
        <v>0</v>
      </c>
      <c r="G391" s="303">
        <v>0</v>
      </c>
      <c r="H391" s="303">
        <v>0</v>
      </c>
      <c r="I391" s="314">
        <v>0</v>
      </c>
      <c r="J391" s="335">
        <v>0</v>
      </c>
      <c r="K391" s="330">
        <v>0</v>
      </c>
      <c r="L391" s="330">
        <v>0</v>
      </c>
      <c r="M391" s="330">
        <v>0</v>
      </c>
      <c r="N391" s="330">
        <v>0</v>
      </c>
      <c r="O391" s="335">
        <v>0</v>
      </c>
      <c r="P391" s="330">
        <v>0</v>
      </c>
      <c r="Q391" s="330">
        <v>0</v>
      </c>
      <c r="R391" s="330">
        <v>0</v>
      </c>
      <c r="S391" s="330">
        <v>4.76</v>
      </c>
      <c r="T391" s="332">
        <v>5447.92</v>
      </c>
      <c r="U391" s="330">
        <f t="shared" si="90"/>
        <v>3546.5959200000002</v>
      </c>
      <c r="V391" s="330">
        <f t="shared" si="91"/>
        <v>1519.9696800000002</v>
      </c>
      <c r="W391" s="330">
        <f t="shared" si="92"/>
        <v>381.35440000000006</v>
      </c>
      <c r="X391" s="495">
        <v>0</v>
      </c>
      <c r="Y391" s="280">
        <v>0</v>
      </c>
      <c r="Z391" s="330">
        <v>0</v>
      </c>
      <c r="AA391" s="330">
        <v>0</v>
      </c>
      <c r="AB391" s="330">
        <v>0</v>
      </c>
      <c r="AC391" s="336">
        <v>0</v>
      </c>
      <c r="AD391" s="279">
        <v>0</v>
      </c>
      <c r="AE391" s="330">
        <v>0</v>
      </c>
      <c r="AF391" s="330">
        <v>0</v>
      </c>
      <c r="AG391" s="495">
        <v>0</v>
      </c>
      <c r="AH391" s="336">
        <v>0</v>
      </c>
      <c r="AI391" s="330">
        <v>0</v>
      </c>
      <c r="AJ391" s="330">
        <v>0</v>
      </c>
      <c r="AK391" s="330">
        <v>0</v>
      </c>
      <c r="AL391" s="285"/>
    </row>
    <row r="392" spans="1:38" s="275" customFormat="1" ht="63" customHeight="1" outlineLevel="1" x14ac:dyDescent="0.25">
      <c r="A392" s="311" t="s">
        <v>997</v>
      </c>
      <c r="B392" s="331" t="s">
        <v>998</v>
      </c>
      <c r="C392" s="330">
        <f t="shared" si="82"/>
        <v>9.8520000000000003</v>
      </c>
      <c r="D392" s="314">
        <f t="shared" si="76"/>
        <v>11190.5</v>
      </c>
      <c r="E392" s="303">
        <v>0</v>
      </c>
      <c r="F392" s="307">
        <v>0</v>
      </c>
      <c r="G392" s="303">
        <v>0</v>
      </c>
      <c r="H392" s="303">
        <v>0</v>
      </c>
      <c r="I392" s="314">
        <v>0</v>
      </c>
      <c r="J392" s="335">
        <v>0</v>
      </c>
      <c r="K392" s="330">
        <v>0</v>
      </c>
      <c r="L392" s="330">
        <v>0</v>
      </c>
      <c r="M392" s="330">
        <v>0</v>
      </c>
      <c r="N392" s="330">
        <v>0</v>
      </c>
      <c r="O392" s="335">
        <v>0</v>
      </c>
      <c r="P392" s="330">
        <v>0</v>
      </c>
      <c r="Q392" s="330">
        <v>0</v>
      </c>
      <c r="R392" s="330">
        <v>0</v>
      </c>
      <c r="S392" s="330">
        <v>9.8520000000000003</v>
      </c>
      <c r="T392" s="332">
        <v>11190.5</v>
      </c>
      <c r="U392" s="330">
        <f t="shared" si="90"/>
        <v>7285.0155000000004</v>
      </c>
      <c r="V392" s="330">
        <f t="shared" si="91"/>
        <v>3122.1495000000004</v>
      </c>
      <c r="W392" s="330">
        <f t="shared" si="92"/>
        <v>783.33500000000004</v>
      </c>
      <c r="X392" s="495">
        <v>0</v>
      </c>
      <c r="Y392" s="280">
        <v>0</v>
      </c>
      <c r="Z392" s="330">
        <v>0</v>
      </c>
      <c r="AA392" s="330">
        <v>0</v>
      </c>
      <c r="AB392" s="330">
        <v>0</v>
      </c>
      <c r="AC392" s="336">
        <v>0</v>
      </c>
      <c r="AD392" s="279">
        <v>0</v>
      </c>
      <c r="AE392" s="330">
        <v>0</v>
      </c>
      <c r="AF392" s="330">
        <v>0</v>
      </c>
      <c r="AG392" s="495">
        <v>0</v>
      </c>
      <c r="AH392" s="336">
        <v>0</v>
      </c>
      <c r="AI392" s="330">
        <v>0</v>
      </c>
      <c r="AJ392" s="330">
        <v>0</v>
      </c>
      <c r="AK392" s="330">
        <v>0</v>
      </c>
      <c r="AL392" s="285"/>
    </row>
    <row r="393" spans="1:38" s="275" customFormat="1" ht="74.400000000000006" customHeight="1" outlineLevel="1" x14ac:dyDescent="0.25">
      <c r="A393" s="311" t="s">
        <v>999</v>
      </c>
      <c r="B393" s="331" t="s">
        <v>1000</v>
      </c>
      <c r="C393" s="330">
        <f t="shared" si="82"/>
        <v>6.87</v>
      </c>
      <c r="D393" s="314">
        <f t="shared" si="76"/>
        <v>7905.24</v>
      </c>
      <c r="E393" s="303">
        <v>0</v>
      </c>
      <c r="F393" s="307">
        <v>0</v>
      </c>
      <c r="G393" s="303">
        <v>0</v>
      </c>
      <c r="H393" s="303">
        <v>0</v>
      </c>
      <c r="I393" s="314">
        <v>0</v>
      </c>
      <c r="J393" s="335">
        <v>0</v>
      </c>
      <c r="K393" s="330">
        <v>0</v>
      </c>
      <c r="L393" s="330">
        <v>0</v>
      </c>
      <c r="M393" s="330">
        <v>0</v>
      </c>
      <c r="N393" s="330">
        <v>0</v>
      </c>
      <c r="O393" s="335">
        <v>0</v>
      </c>
      <c r="P393" s="330">
        <v>0</v>
      </c>
      <c r="Q393" s="330">
        <v>0</v>
      </c>
      <c r="R393" s="330">
        <v>0</v>
      </c>
      <c r="S393" s="330">
        <v>6.87</v>
      </c>
      <c r="T393" s="332">
        <v>7905.24</v>
      </c>
      <c r="U393" s="330">
        <f t="shared" si="90"/>
        <v>5146.31124</v>
      </c>
      <c r="V393" s="330">
        <f t="shared" si="91"/>
        <v>2205.56196</v>
      </c>
      <c r="W393" s="330">
        <f t="shared" si="92"/>
        <v>553.36680000000001</v>
      </c>
      <c r="X393" s="495">
        <v>0</v>
      </c>
      <c r="Y393" s="280">
        <v>0</v>
      </c>
      <c r="Z393" s="330">
        <v>0</v>
      </c>
      <c r="AA393" s="330">
        <v>0</v>
      </c>
      <c r="AB393" s="330">
        <v>0</v>
      </c>
      <c r="AC393" s="336">
        <v>0</v>
      </c>
      <c r="AD393" s="279">
        <v>0</v>
      </c>
      <c r="AE393" s="330">
        <v>0</v>
      </c>
      <c r="AF393" s="330">
        <v>0</v>
      </c>
      <c r="AG393" s="495">
        <v>0</v>
      </c>
      <c r="AH393" s="336">
        <v>0</v>
      </c>
      <c r="AI393" s="330">
        <v>0</v>
      </c>
      <c r="AJ393" s="330">
        <v>0</v>
      </c>
      <c r="AK393" s="330">
        <v>0</v>
      </c>
      <c r="AL393" s="285"/>
    </row>
    <row r="394" spans="1:38" s="275" customFormat="1" ht="77.400000000000006" customHeight="1" outlineLevel="1" x14ac:dyDescent="0.25">
      <c r="A394" s="311" t="s">
        <v>1001</v>
      </c>
      <c r="B394" s="331" t="s">
        <v>1002</v>
      </c>
      <c r="C394" s="330">
        <f t="shared" si="82"/>
        <v>7</v>
      </c>
      <c r="D394" s="314">
        <f t="shared" si="76"/>
        <v>7301.21</v>
      </c>
      <c r="E394" s="303">
        <v>0</v>
      </c>
      <c r="F394" s="307">
        <v>0</v>
      </c>
      <c r="G394" s="303">
        <v>0</v>
      </c>
      <c r="H394" s="303">
        <v>0</v>
      </c>
      <c r="I394" s="314">
        <v>0</v>
      </c>
      <c r="J394" s="335">
        <v>0</v>
      </c>
      <c r="K394" s="330">
        <v>0</v>
      </c>
      <c r="L394" s="330">
        <v>0</v>
      </c>
      <c r="M394" s="330">
        <v>0</v>
      </c>
      <c r="N394" s="330">
        <v>0</v>
      </c>
      <c r="O394" s="335">
        <v>0</v>
      </c>
      <c r="P394" s="330">
        <v>0</v>
      </c>
      <c r="Q394" s="330">
        <v>0</v>
      </c>
      <c r="R394" s="330">
        <v>0</v>
      </c>
      <c r="S394" s="330">
        <v>7</v>
      </c>
      <c r="T394" s="332">
        <v>7301.21</v>
      </c>
      <c r="U394" s="330">
        <f t="shared" si="90"/>
        <v>4753.0877099999998</v>
      </c>
      <c r="V394" s="330">
        <f t="shared" si="91"/>
        <v>2037.0375900000001</v>
      </c>
      <c r="W394" s="330">
        <f t="shared" si="92"/>
        <v>511.08470000000005</v>
      </c>
      <c r="X394" s="495">
        <v>0</v>
      </c>
      <c r="Y394" s="280">
        <v>0</v>
      </c>
      <c r="Z394" s="330">
        <v>0</v>
      </c>
      <c r="AA394" s="330">
        <v>0</v>
      </c>
      <c r="AB394" s="330">
        <v>0</v>
      </c>
      <c r="AC394" s="336">
        <v>0</v>
      </c>
      <c r="AD394" s="279">
        <v>0</v>
      </c>
      <c r="AE394" s="330">
        <v>0</v>
      </c>
      <c r="AF394" s="330">
        <v>0</v>
      </c>
      <c r="AG394" s="495">
        <v>0</v>
      </c>
      <c r="AH394" s="336">
        <v>0</v>
      </c>
      <c r="AI394" s="330">
        <v>0</v>
      </c>
      <c r="AJ394" s="330">
        <v>0</v>
      </c>
      <c r="AK394" s="330">
        <v>0</v>
      </c>
      <c r="AL394" s="285"/>
    </row>
    <row r="395" spans="1:38" s="275" customFormat="1" ht="63" customHeight="1" outlineLevel="1" x14ac:dyDescent="0.25">
      <c r="A395" s="311" t="s">
        <v>1003</v>
      </c>
      <c r="B395" s="331" t="s">
        <v>1004</v>
      </c>
      <c r="C395" s="330">
        <f t="shared" si="82"/>
        <v>2.84</v>
      </c>
      <c r="D395" s="314">
        <f t="shared" si="76"/>
        <v>3257.2</v>
      </c>
      <c r="E395" s="303">
        <v>0</v>
      </c>
      <c r="F395" s="307">
        <v>0</v>
      </c>
      <c r="G395" s="303">
        <v>0</v>
      </c>
      <c r="H395" s="303">
        <v>0</v>
      </c>
      <c r="I395" s="314">
        <v>0</v>
      </c>
      <c r="J395" s="335">
        <v>0</v>
      </c>
      <c r="K395" s="330">
        <v>0</v>
      </c>
      <c r="L395" s="330">
        <v>0</v>
      </c>
      <c r="M395" s="330">
        <v>0</v>
      </c>
      <c r="N395" s="330">
        <v>0</v>
      </c>
      <c r="O395" s="335">
        <v>0</v>
      </c>
      <c r="P395" s="330">
        <v>0</v>
      </c>
      <c r="Q395" s="330">
        <v>0</v>
      </c>
      <c r="R395" s="330">
        <v>0</v>
      </c>
      <c r="S395" s="330">
        <v>2.84</v>
      </c>
      <c r="T395" s="332">
        <v>3257.2</v>
      </c>
      <c r="U395" s="330">
        <f t="shared" si="90"/>
        <v>2120.4371999999998</v>
      </c>
      <c r="V395" s="330">
        <f t="shared" si="91"/>
        <v>908.75880000000006</v>
      </c>
      <c r="W395" s="330">
        <f t="shared" si="92"/>
        <v>228.00400000000002</v>
      </c>
      <c r="X395" s="495">
        <v>0</v>
      </c>
      <c r="Y395" s="280">
        <v>0</v>
      </c>
      <c r="Z395" s="330">
        <v>0</v>
      </c>
      <c r="AA395" s="330">
        <v>0</v>
      </c>
      <c r="AB395" s="330">
        <v>0</v>
      </c>
      <c r="AC395" s="336">
        <v>0</v>
      </c>
      <c r="AD395" s="279">
        <v>0</v>
      </c>
      <c r="AE395" s="330">
        <v>0</v>
      </c>
      <c r="AF395" s="330">
        <v>0</v>
      </c>
      <c r="AG395" s="495">
        <v>0</v>
      </c>
      <c r="AH395" s="336">
        <v>0</v>
      </c>
      <c r="AI395" s="330">
        <v>0</v>
      </c>
      <c r="AJ395" s="330">
        <v>0</v>
      </c>
      <c r="AK395" s="330">
        <v>0</v>
      </c>
      <c r="AL395" s="285"/>
    </row>
    <row r="396" spans="1:38" s="275" customFormat="1" ht="61.2" customHeight="1" outlineLevel="1" x14ac:dyDescent="0.25">
      <c r="A396" s="311" t="s">
        <v>1005</v>
      </c>
      <c r="B396" s="331" t="s">
        <v>1006</v>
      </c>
      <c r="C396" s="330">
        <f t="shared" si="82"/>
        <v>24.5</v>
      </c>
      <c r="D396" s="314">
        <f t="shared" si="82"/>
        <v>22660.54</v>
      </c>
      <c r="E396" s="303">
        <v>0</v>
      </c>
      <c r="F396" s="307">
        <v>0</v>
      </c>
      <c r="G396" s="303">
        <v>0</v>
      </c>
      <c r="H396" s="303">
        <v>0</v>
      </c>
      <c r="I396" s="314">
        <v>0</v>
      </c>
      <c r="J396" s="335">
        <v>0</v>
      </c>
      <c r="K396" s="330">
        <v>0</v>
      </c>
      <c r="L396" s="330">
        <v>0</v>
      </c>
      <c r="M396" s="330">
        <v>0</v>
      </c>
      <c r="N396" s="330">
        <v>0</v>
      </c>
      <c r="O396" s="335">
        <v>0</v>
      </c>
      <c r="P396" s="330">
        <v>0</v>
      </c>
      <c r="Q396" s="330">
        <v>0</v>
      </c>
      <c r="R396" s="330">
        <v>0</v>
      </c>
      <c r="S396" s="330">
        <v>24.5</v>
      </c>
      <c r="T396" s="332">
        <v>22660.54</v>
      </c>
      <c r="U396" s="330">
        <f t="shared" si="90"/>
        <v>14752.011540000001</v>
      </c>
      <c r="V396" s="330">
        <f t="shared" si="91"/>
        <v>6322.2906600000006</v>
      </c>
      <c r="W396" s="330">
        <f t="shared" si="92"/>
        <v>1586.2378000000001</v>
      </c>
      <c r="X396" s="495">
        <v>0</v>
      </c>
      <c r="Y396" s="280">
        <v>0</v>
      </c>
      <c r="Z396" s="330">
        <v>0</v>
      </c>
      <c r="AA396" s="330">
        <v>0</v>
      </c>
      <c r="AB396" s="330">
        <v>0</v>
      </c>
      <c r="AC396" s="336">
        <v>0</v>
      </c>
      <c r="AD396" s="279">
        <v>0</v>
      </c>
      <c r="AE396" s="330">
        <v>0</v>
      </c>
      <c r="AF396" s="330">
        <v>0</v>
      </c>
      <c r="AG396" s="495">
        <v>0</v>
      </c>
      <c r="AH396" s="336">
        <v>0</v>
      </c>
      <c r="AI396" s="330">
        <v>0</v>
      </c>
      <c r="AJ396" s="330">
        <v>0</v>
      </c>
      <c r="AK396" s="330">
        <v>0</v>
      </c>
      <c r="AL396" s="285"/>
    </row>
    <row r="397" spans="1:38" s="275" customFormat="1" ht="108.6" customHeight="1" outlineLevel="1" x14ac:dyDescent="0.25">
      <c r="A397" s="311" t="s">
        <v>1007</v>
      </c>
      <c r="B397" s="331" t="s">
        <v>1008</v>
      </c>
      <c r="C397" s="330">
        <f t="shared" si="82"/>
        <v>15</v>
      </c>
      <c r="D397" s="314">
        <f t="shared" si="82"/>
        <v>18803.099999999999</v>
      </c>
      <c r="E397" s="303">
        <v>0</v>
      </c>
      <c r="F397" s="307">
        <v>0</v>
      </c>
      <c r="G397" s="303">
        <v>0</v>
      </c>
      <c r="H397" s="303">
        <v>0</v>
      </c>
      <c r="I397" s="314">
        <v>0</v>
      </c>
      <c r="J397" s="335">
        <v>0</v>
      </c>
      <c r="K397" s="330">
        <v>0</v>
      </c>
      <c r="L397" s="330">
        <v>0</v>
      </c>
      <c r="M397" s="330">
        <v>0</v>
      </c>
      <c r="N397" s="330">
        <v>0</v>
      </c>
      <c r="O397" s="335">
        <v>0</v>
      </c>
      <c r="P397" s="330">
        <v>0</v>
      </c>
      <c r="Q397" s="330">
        <v>0</v>
      </c>
      <c r="R397" s="330">
        <v>0</v>
      </c>
      <c r="S397" s="330">
        <v>15</v>
      </c>
      <c r="T397" s="332">
        <v>18803.099999999999</v>
      </c>
      <c r="U397" s="330">
        <f t="shared" si="90"/>
        <v>12240.818099999999</v>
      </c>
      <c r="V397" s="330">
        <f t="shared" si="91"/>
        <v>5246.0649000000003</v>
      </c>
      <c r="W397" s="330">
        <f t="shared" si="92"/>
        <v>1316.2170000000001</v>
      </c>
      <c r="X397" s="495">
        <v>0</v>
      </c>
      <c r="Y397" s="280">
        <v>0</v>
      </c>
      <c r="Z397" s="330">
        <v>0</v>
      </c>
      <c r="AA397" s="330">
        <v>0</v>
      </c>
      <c r="AB397" s="330">
        <v>0</v>
      </c>
      <c r="AC397" s="336">
        <v>0</v>
      </c>
      <c r="AD397" s="279">
        <v>0</v>
      </c>
      <c r="AE397" s="330">
        <v>0</v>
      </c>
      <c r="AF397" s="330">
        <v>0</v>
      </c>
      <c r="AG397" s="495">
        <v>0</v>
      </c>
      <c r="AH397" s="336">
        <v>0</v>
      </c>
      <c r="AI397" s="330">
        <v>0</v>
      </c>
      <c r="AJ397" s="330">
        <v>0</v>
      </c>
      <c r="AK397" s="330">
        <v>0</v>
      </c>
      <c r="AL397" s="285"/>
    </row>
    <row r="398" spans="1:38" s="275" customFormat="1" ht="47.4" customHeight="1" outlineLevel="1" x14ac:dyDescent="0.25">
      <c r="A398" s="311" t="s">
        <v>1009</v>
      </c>
      <c r="B398" s="331" t="s">
        <v>1010</v>
      </c>
      <c r="C398" s="330">
        <f t="shared" si="82"/>
        <v>26.5</v>
      </c>
      <c r="D398" s="314">
        <f t="shared" si="82"/>
        <v>27486.32</v>
      </c>
      <c r="E398" s="303">
        <v>0</v>
      </c>
      <c r="F398" s="307">
        <v>0</v>
      </c>
      <c r="G398" s="303">
        <v>0</v>
      </c>
      <c r="H398" s="303">
        <v>0</v>
      </c>
      <c r="I398" s="314">
        <v>0</v>
      </c>
      <c r="J398" s="335">
        <v>0</v>
      </c>
      <c r="K398" s="330">
        <v>0</v>
      </c>
      <c r="L398" s="330">
        <v>0</v>
      </c>
      <c r="M398" s="330">
        <v>0</v>
      </c>
      <c r="N398" s="330">
        <v>0</v>
      </c>
      <c r="O398" s="335">
        <v>0</v>
      </c>
      <c r="P398" s="330">
        <v>0</v>
      </c>
      <c r="Q398" s="330">
        <v>0</v>
      </c>
      <c r="R398" s="330">
        <v>0</v>
      </c>
      <c r="S398" s="330">
        <v>26.5</v>
      </c>
      <c r="T398" s="332">
        <v>27486.32</v>
      </c>
      <c r="U398" s="330">
        <f t="shared" si="90"/>
        <v>17893.59432</v>
      </c>
      <c r="V398" s="330">
        <f t="shared" si="91"/>
        <v>7668.6832800000002</v>
      </c>
      <c r="W398" s="330">
        <f t="shared" si="92"/>
        <v>1924.0424000000003</v>
      </c>
      <c r="X398" s="495">
        <v>0</v>
      </c>
      <c r="Y398" s="280">
        <v>0</v>
      </c>
      <c r="Z398" s="330">
        <v>0</v>
      </c>
      <c r="AA398" s="330">
        <v>0</v>
      </c>
      <c r="AB398" s="330">
        <v>0</v>
      </c>
      <c r="AC398" s="336">
        <v>0</v>
      </c>
      <c r="AD398" s="279">
        <v>0</v>
      </c>
      <c r="AE398" s="330">
        <v>0</v>
      </c>
      <c r="AF398" s="330">
        <v>0</v>
      </c>
      <c r="AG398" s="495">
        <v>0</v>
      </c>
      <c r="AH398" s="336">
        <v>0</v>
      </c>
      <c r="AI398" s="330">
        <v>0</v>
      </c>
      <c r="AJ398" s="330">
        <v>0</v>
      </c>
      <c r="AK398" s="330">
        <v>0</v>
      </c>
      <c r="AL398" s="285"/>
    </row>
    <row r="399" spans="1:38" s="275" customFormat="1" ht="70.95" customHeight="1" outlineLevel="1" x14ac:dyDescent="0.25">
      <c r="A399" s="311" t="s">
        <v>1011</v>
      </c>
      <c r="B399" s="331" t="s">
        <v>1012</v>
      </c>
      <c r="C399" s="330">
        <f t="shared" si="82"/>
        <v>14.33</v>
      </c>
      <c r="D399" s="314">
        <f t="shared" si="82"/>
        <v>16221.42</v>
      </c>
      <c r="E399" s="303">
        <v>0</v>
      </c>
      <c r="F399" s="307">
        <v>0</v>
      </c>
      <c r="G399" s="303">
        <v>0</v>
      </c>
      <c r="H399" s="303">
        <v>0</v>
      </c>
      <c r="I399" s="314">
        <v>0</v>
      </c>
      <c r="J399" s="335">
        <v>0</v>
      </c>
      <c r="K399" s="330">
        <v>0</v>
      </c>
      <c r="L399" s="330">
        <v>0</v>
      </c>
      <c r="M399" s="330">
        <v>0</v>
      </c>
      <c r="N399" s="330">
        <v>0</v>
      </c>
      <c r="O399" s="335">
        <v>0</v>
      </c>
      <c r="P399" s="330">
        <v>0</v>
      </c>
      <c r="Q399" s="330">
        <v>0</v>
      </c>
      <c r="R399" s="330">
        <v>0</v>
      </c>
      <c r="S399" s="330">
        <v>14.33</v>
      </c>
      <c r="T399" s="332">
        <v>16221.42</v>
      </c>
      <c r="U399" s="330">
        <f t="shared" si="90"/>
        <v>10560.144420000001</v>
      </c>
      <c r="V399" s="330">
        <f t="shared" si="91"/>
        <v>4525.7761800000007</v>
      </c>
      <c r="W399" s="330">
        <f t="shared" si="92"/>
        <v>1135.4994000000002</v>
      </c>
      <c r="X399" s="495">
        <v>0</v>
      </c>
      <c r="Y399" s="280">
        <v>0</v>
      </c>
      <c r="Z399" s="330">
        <v>0</v>
      </c>
      <c r="AA399" s="330">
        <v>0</v>
      </c>
      <c r="AB399" s="330">
        <v>0</v>
      </c>
      <c r="AC399" s="336">
        <v>0</v>
      </c>
      <c r="AD399" s="279">
        <v>0</v>
      </c>
      <c r="AE399" s="330">
        <v>0</v>
      </c>
      <c r="AF399" s="330">
        <v>0</v>
      </c>
      <c r="AG399" s="495">
        <v>0</v>
      </c>
      <c r="AH399" s="336">
        <v>0</v>
      </c>
      <c r="AI399" s="330">
        <v>0</v>
      </c>
      <c r="AJ399" s="330">
        <v>0</v>
      </c>
      <c r="AK399" s="330">
        <v>0</v>
      </c>
      <c r="AL399" s="285"/>
    </row>
    <row r="400" spans="1:38" s="275" customFormat="1" ht="82.2" customHeight="1" outlineLevel="1" x14ac:dyDescent="0.25">
      <c r="A400" s="311" t="s">
        <v>1013</v>
      </c>
      <c r="B400" s="331" t="s">
        <v>1014</v>
      </c>
      <c r="C400" s="330">
        <f t="shared" si="82"/>
        <v>8.5399999999999991</v>
      </c>
      <c r="D400" s="314">
        <f t="shared" si="82"/>
        <v>9702.33</v>
      </c>
      <c r="E400" s="303">
        <v>0</v>
      </c>
      <c r="F400" s="307">
        <v>0</v>
      </c>
      <c r="G400" s="303">
        <v>0</v>
      </c>
      <c r="H400" s="303">
        <v>0</v>
      </c>
      <c r="I400" s="314">
        <v>0</v>
      </c>
      <c r="J400" s="335">
        <v>0</v>
      </c>
      <c r="K400" s="330">
        <v>0</v>
      </c>
      <c r="L400" s="330">
        <v>0</v>
      </c>
      <c r="M400" s="330">
        <v>0</v>
      </c>
      <c r="N400" s="330">
        <v>0</v>
      </c>
      <c r="O400" s="335">
        <v>0</v>
      </c>
      <c r="P400" s="330">
        <v>0</v>
      </c>
      <c r="Q400" s="330">
        <v>0</v>
      </c>
      <c r="R400" s="330">
        <v>0</v>
      </c>
      <c r="S400" s="330">
        <v>8.5399999999999991</v>
      </c>
      <c r="T400" s="332">
        <v>9702.33</v>
      </c>
      <c r="U400" s="330">
        <f t="shared" si="90"/>
        <v>6316.2168300000003</v>
      </c>
      <c r="V400" s="330">
        <f t="shared" si="91"/>
        <v>2706.9500700000003</v>
      </c>
      <c r="W400" s="330">
        <f t="shared" si="92"/>
        <v>679.1631000000001</v>
      </c>
      <c r="X400" s="495">
        <v>0</v>
      </c>
      <c r="Y400" s="280">
        <v>0</v>
      </c>
      <c r="Z400" s="330">
        <v>0</v>
      </c>
      <c r="AA400" s="330">
        <v>0</v>
      </c>
      <c r="AB400" s="330">
        <v>0</v>
      </c>
      <c r="AC400" s="336">
        <v>0</v>
      </c>
      <c r="AD400" s="279">
        <v>0</v>
      </c>
      <c r="AE400" s="330">
        <v>0</v>
      </c>
      <c r="AF400" s="330">
        <v>0</v>
      </c>
      <c r="AG400" s="495">
        <v>0</v>
      </c>
      <c r="AH400" s="336">
        <v>0</v>
      </c>
      <c r="AI400" s="330">
        <v>0</v>
      </c>
      <c r="AJ400" s="330">
        <v>0</v>
      </c>
      <c r="AK400" s="330">
        <v>0</v>
      </c>
      <c r="AL400" s="285"/>
    </row>
    <row r="401" spans="1:38" s="275" customFormat="1" ht="64.2" customHeight="1" outlineLevel="1" x14ac:dyDescent="0.25">
      <c r="A401" s="311" t="s">
        <v>1015</v>
      </c>
      <c r="B401" s="331" t="s">
        <v>1016</v>
      </c>
      <c r="C401" s="330">
        <f t="shared" si="82"/>
        <v>1.6</v>
      </c>
      <c r="D401" s="314">
        <f t="shared" si="82"/>
        <v>1807.81</v>
      </c>
      <c r="E401" s="303">
        <v>0</v>
      </c>
      <c r="F401" s="307">
        <v>0</v>
      </c>
      <c r="G401" s="303">
        <v>0</v>
      </c>
      <c r="H401" s="303">
        <v>0</v>
      </c>
      <c r="I401" s="314">
        <v>0</v>
      </c>
      <c r="J401" s="335">
        <v>0</v>
      </c>
      <c r="K401" s="330">
        <v>0</v>
      </c>
      <c r="L401" s="330">
        <v>0</v>
      </c>
      <c r="M401" s="330">
        <v>0</v>
      </c>
      <c r="N401" s="330">
        <v>0</v>
      </c>
      <c r="O401" s="335">
        <v>0</v>
      </c>
      <c r="P401" s="330">
        <v>0</v>
      </c>
      <c r="Q401" s="330">
        <v>0</v>
      </c>
      <c r="R401" s="330">
        <v>0</v>
      </c>
      <c r="S401" s="330">
        <v>1.6</v>
      </c>
      <c r="T401" s="332">
        <v>1807.81</v>
      </c>
      <c r="U401" s="330">
        <f t="shared" si="90"/>
        <v>1176.8843099999999</v>
      </c>
      <c r="V401" s="330">
        <f t="shared" si="91"/>
        <v>504.37899000000004</v>
      </c>
      <c r="W401" s="330">
        <f t="shared" si="92"/>
        <v>126.5467</v>
      </c>
      <c r="X401" s="495">
        <v>0</v>
      </c>
      <c r="Y401" s="280">
        <v>0</v>
      </c>
      <c r="Z401" s="330">
        <v>0</v>
      </c>
      <c r="AA401" s="330">
        <v>0</v>
      </c>
      <c r="AB401" s="330">
        <v>0</v>
      </c>
      <c r="AC401" s="336">
        <v>0</v>
      </c>
      <c r="AD401" s="279">
        <v>0</v>
      </c>
      <c r="AE401" s="330">
        <v>0</v>
      </c>
      <c r="AF401" s="330">
        <v>0</v>
      </c>
      <c r="AG401" s="495">
        <v>0</v>
      </c>
      <c r="AH401" s="336">
        <v>0</v>
      </c>
      <c r="AI401" s="330">
        <v>0</v>
      </c>
      <c r="AJ401" s="330">
        <v>0</v>
      </c>
      <c r="AK401" s="330">
        <v>0</v>
      </c>
      <c r="AL401" s="285"/>
    </row>
    <row r="402" spans="1:38" s="275" customFormat="1" ht="76.2" customHeight="1" outlineLevel="1" x14ac:dyDescent="0.25">
      <c r="A402" s="311" t="s">
        <v>1017</v>
      </c>
      <c r="B402" s="331" t="s">
        <v>1018</v>
      </c>
      <c r="C402" s="330">
        <f t="shared" si="82"/>
        <v>7</v>
      </c>
      <c r="D402" s="314">
        <f t="shared" si="82"/>
        <v>6401.36</v>
      </c>
      <c r="E402" s="303">
        <v>0</v>
      </c>
      <c r="F402" s="307">
        <v>0</v>
      </c>
      <c r="G402" s="303">
        <v>0</v>
      </c>
      <c r="H402" s="303">
        <v>0</v>
      </c>
      <c r="I402" s="314">
        <v>0</v>
      </c>
      <c r="J402" s="335">
        <v>0</v>
      </c>
      <c r="K402" s="330">
        <v>0</v>
      </c>
      <c r="L402" s="330">
        <v>0</v>
      </c>
      <c r="M402" s="330">
        <v>0</v>
      </c>
      <c r="N402" s="330">
        <v>0</v>
      </c>
      <c r="O402" s="335">
        <v>0</v>
      </c>
      <c r="P402" s="330">
        <v>0</v>
      </c>
      <c r="Q402" s="330">
        <v>0</v>
      </c>
      <c r="R402" s="330">
        <v>0</v>
      </c>
      <c r="S402" s="330">
        <v>7</v>
      </c>
      <c r="T402" s="332">
        <v>6401.36</v>
      </c>
      <c r="U402" s="330">
        <f t="shared" si="90"/>
        <v>4167.2853599999999</v>
      </c>
      <c r="V402" s="330">
        <f t="shared" si="91"/>
        <v>1785.9794400000001</v>
      </c>
      <c r="W402" s="330">
        <f t="shared" si="92"/>
        <v>448.09520000000003</v>
      </c>
      <c r="X402" s="495">
        <v>0</v>
      </c>
      <c r="Y402" s="280">
        <v>0</v>
      </c>
      <c r="Z402" s="330">
        <v>0</v>
      </c>
      <c r="AA402" s="330">
        <v>0</v>
      </c>
      <c r="AB402" s="330">
        <v>0</v>
      </c>
      <c r="AC402" s="336">
        <v>0</v>
      </c>
      <c r="AD402" s="279">
        <v>0</v>
      </c>
      <c r="AE402" s="330">
        <v>0</v>
      </c>
      <c r="AF402" s="330">
        <v>0</v>
      </c>
      <c r="AG402" s="495">
        <v>0</v>
      </c>
      <c r="AH402" s="336">
        <v>0</v>
      </c>
      <c r="AI402" s="330">
        <v>0</v>
      </c>
      <c r="AJ402" s="330">
        <v>0</v>
      </c>
      <c r="AK402" s="330">
        <v>0</v>
      </c>
      <c r="AL402" s="285"/>
    </row>
    <row r="403" spans="1:38" s="275" customFormat="1" ht="75" customHeight="1" outlineLevel="1" x14ac:dyDescent="0.25">
      <c r="A403" s="311" t="s">
        <v>1019</v>
      </c>
      <c r="B403" s="331" t="s">
        <v>1020</v>
      </c>
      <c r="C403" s="330">
        <f t="shared" si="82"/>
        <v>5</v>
      </c>
      <c r="D403" s="314">
        <f t="shared" si="82"/>
        <v>5811.65</v>
      </c>
      <c r="E403" s="303">
        <v>0</v>
      </c>
      <c r="F403" s="307">
        <v>0</v>
      </c>
      <c r="G403" s="303">
        <v>0</v>
      </c>
      <c r="H403" s="303">
        <v>0</v>
      </c>
      <c r="I403" s="314">
        <v>0</v>
      </c>
      <c r="J403" s="335">
        <v>0</v>
      </c>
      <c r="K403" s="330">
        <v>0</v>
      </c>
      <c r="L403" s="330">
        <v>0</v>
      </c>
      <c r="M403" s="330">
        <v>0</v>
      </c>
      <c r="N403" s="330">
        <v>0</v>
      </c>
      <c r="O403" s="335">
        <v>0</v>
      </c>
      <c r="P403" s="330">
        <v>0</v>
      </c>
      <c r="Q403" s="330">
        <v>0</v>
      </c>
      <c r="R403" s="330">
        <v>0</v>
      </c>
      <c r="S403" s="330">
        <v>5</v>
      </c>
      <c r="T403" s="332">
        <v>5811.65</v>
      </c>
      <c r="U403" s="330">
        <f t="shared" si="90"/>
        <v>3783.3841499999999</v>
      </c>
      <c r="V403" s="330">
        <f t="shared" si="91"/>
        <v>1621.4503500000001</v>
      </c>
      <c r="W403" s="330">
        <f t="shared" si="92"/>
        <v>406.81549999999999</v>
      </c>
      <c r="X403" s="495">
        <v>0</v>
      </c>
      <c r="Y403" s="280">
        <v>0</v>
      </c>
      <c r="Z403" s="330">
        <v>0</v>
      </c>
      <c r="AA403" s="330">
        <v>0</v>
      </c>
      <c r="AB403" s="330">
        <v>0</v>
      </c>
      <c r="AC403" s="336">
        <v>0</v>
      </c>
      <c r="AD403" s="279">
        <v>0</v>
      </c>
      <c r="AE403" s="330">
        <v>0</v>
      </c>
      <c r="AF403" s="330">
        <v>0</v>
      </c>
      <c r="AG403" s="495">
        <v>0</v>
      </c>
      <c r="AH403" s="336">
        <v>0</v>
      </c>
      <c r="AI403" s="330">
        <v>0</v>
      </c>
      <c r="AJ403" s="330">
        <v>0</v>
      </c>
      <c r="AK403" s="330">
        <v>0</v>
      </c>
      <c r="AL403" s="285"/>
    </row>
    <row r="404" spans="1:38" s="275" customFormat="1" ht="71.400000000000006" customHeight="1" outlineLevel="1" x14ac:dyDescent="0.25">
      <c r="A404" s="311" t="s">
        <v>1021</v>
      </c>
      <c r="B404" s="331" t="s">
        <v>1022</v>
      </c>
      <c r="C404" s="330">
        <f t="shared" si="82"/>
        <v>6.88</v>
      </c>
      <c r="D404" s="314">
        <f t="shared" si="82"/>
        <v>8019.61</v>
      </c>
      <c r="E404" s="303">
        <v>0</v>
      </c>
      <c r="F404" s="307">
        <v>0</v>
      </c>
      <c r="G404" s="303">
        <v>0</v>
      </c>
      <c r="H404" s="303">
        <v>0</v>
      </c>
      <c r="I404" s="314">
        <v>0</v>
      </c>
      <c r="J404" s="335">
        <v>0</v>
      </c>
      <c r="K404" s="330">
        <v>0</v>
      </c>
      <c r="L404" s="330">
        <v>0</v>
      </c>
      <c r="M404" s="330">
        <v>0</v>
      </c>
      <c r="N404" s="330">
        <v>0</v>
      </c>
      <c r="O404" s="335">
        <v>0</v>
      </c>
      <c r="P404" s="330">
        <v>0</v>
      </c>
      <c r="Q404" s="330">
        <v>0</v>
      </c>
      <c r="R404" s="330">
        <v>0</v>
      </c>
      <c r="S404" s="330">
        <v>6.88</v>
      </c>
      <c r="T404" s="332">
        <v>8019.61</v>
      </c>
      <c r="U404" s="330">
        <f t="shared" si="90"/>
        <v>5220.7661099999996</v>
      </c>
      <c r="V404" s="330">
        <f t="shared" si="91"/>
        <v>2237.4711900000002</v>
      </c>
      <c r="W404" s="330">
        <f t="shared" si="92"/>
        <v>561.37270000000001</v>
      </c>
      <c r="X404" s="495">
        <v>0</v>
      </c>
      <c r="Y404" s="280">
        <v>0</v>
      </c>
      <c r="Z404" s="330">
        <v>0</v>
      </c>
      <c r="AA404" s="330">
        <v>0</v>
      </c>
      <c r="AB404" s="330">
        <v>0</v>
      </c>
      <c r="AC404" s="336">
        <v>0</v>
      </c>
      <c r="AD404" s="279">
        <v>0</v>
      </c>
      <c r="AE404" s="330">
        <v>0</v>
      </c>
      <c r="AF404" s="330">
        <v>0</v>
      </c>
      <c r="AG404" s="495">
        <v>0</v>
      </c>
      <c r="AH404" s="336">
        <v>0</v>
      </c>
      <c r="AI404" s="330">
        <v>0</v>
      </c>
      <c r="AJ404" s="330">
        <v>0</v>
      </c>
      <c r="AK404" s="330">
        <v>0</v>
      </c>
      <c r="AL404" s="285"/>
    </row>
    <row r="405" spans="1:38" s="275" customFormat="1" ht="77.400000000000006" customHeight="1" outlineLevel="1" x14ac:dyDescent="0.25">
      <c r="A405" s="311" t="s">
        <v>1023</v>
      </c>
      <c r="B405" s="331" t="s">
        <v>1024</v>
      </c>
      <c r="C405" s="330">
        <f t="shared" si="82"/>
        <v>2.4700000000000002</v>
      </c>
      <c r="D405" s="314">
        <f t="shared" si="82"/>
        <v>3126.69</v>
      </c>
      <c r="E405" s="303">
        <v>0</v>
      </c>
      <c r="F405" s="307">
        <v>0</v>
      </c>
      <c r="G405" s="303">
        <v>0</v>
      </c>
      <c r="H405" s="303">
        <v>0</v>
      </c>
      <c r="I405" s="314">
        <v>0</v>
      </c>
      <c r="J405" s="335">
        <v>0</v>
      </c>
      <c r="K405" s="330">
        <v>0</v>
      </c>
      <c r="L405" s="330">
        <v>0</v>
      </c>
      <c r="M405" s="330">
        <v>0</v>
      </c>
      <c r="N405" s="330">
        <v>0</v>
      </c>
      <c r="O405" s="335">
        <v>0</v>
      </c>
      <c r="P405" s="330">
        <v>0</v>
      </c>
      <c r="Q405" s="330">
        <v>0</v>
      </c>
      <c r="R405" s="330">
        <v>0</v>
      </c>
      <c r="S405" s="330">
        <v>2.4700000000000002</v>
      </c>
      <c r="T405" s="332">
        <v>3126.69</v>
      </c>
      <c r="U405" s="330">
        <f>T405*0.651</f>
        <v>2035.4751900000001</v>
      </c>
      <c r="V405" s="330">
        <f t="shared" si="91"/>
        <v>872.34651000000008</v>
      </c>
      <c r="W405" s="330">
        <f t="shared" si="92"/>
        <v>218.86830000000003</v>
      </c>
      <c r="X405" s="495">
        <v>0</v>
      </c>
      <c r="Y405" s="280">
        <v>0</v>
      </c>
      <c r="Z405" s="330">
        <v>0</v>
      </c>
      <c r="AA405" s="330">
        <v>0</v>
      </c>
      <c r="AB405" s="330">
        <v>0</v>
      </c>
      <c r="AC405" s="336">
        <v>0</v>
      </c>
      <c r="AD405" s="279">
        <v>0</v>
      </c>
      <c r="AE405" s="330">
        <v>0</v>
      </c>
      <c r="AF405" s="330">
        <v>0</v>
      </c>
      <c r="AG405" s="495">
        <v>0</v>
      </c>
      <c r="AH405" s="336">
        <v>0</v>
      </c>
      <c r="AI405" s="330">
        <v>0</v>
      </c>
      <c r="AJ405" s="330">
        <v>0</v>
      </c>
      <c r="AK405" s="330">
        <v>0</v>
      </c>
      <c r="AL405" s="285"/>
    </row>
    <row r="406" spans="1:38" s="275" customFormat="1" ht="66.599999999999994" customHeight="1" outlineLevel="1" x14ac:dyDescent="0.25">
      <c r="A406" s="311" t="s">
        <v>1025</v>
      </c>
      <c r="B406" s="331" t="s">
        <v>1026</v>
      </c>
      <c r="C406" s="330">
        <f t="shared" si="82"/>
        <v>68.23</v>
      </c>
      <c r="D406" s="314">
        <f t="shared" si="82"/>
        <v>135141.41</v>
      </c>
      <c r="E406" s="303">
        <v>0</v>
      </c>
      <c r="F406" s="307">
        <v>0</v>
      </c>
      <c r="G406" s="303">
        <v>0</v>
      </c>
      <c r="H406" s="303">
        <v>0</v>
      </c>
      <c r="I406" s="314">
        <v>0</v>
      </c>
      <c r="J406" s="335">
        <v>0</v>
      </c>
      <c r="K406" s="330">
        <v>0</v>
      </c>
      <c r="L406" s="330">
        <v>0</v>
      </c>
      <c r="M406" s="330">
        <v>0</v>
      </c>
      <c r="N406" s="330">
        <v>0</v>
      </c>
      <c r="O406" s="335">
        <v>0</v>
      </c>
      <c r="P406" s="330">
        <v>0</v>
      </c>
      <c r="Q406" s="330">
        <v>0</v>
      </c>
      <c r="R406" s="330">
        <v>0</v>
      </c>
      <c r="S406" s="330">
        <v>0</v>
      </c>
      <c r="T406" s="332">
        <v>0</v>
      </c>
      <c r="U406" s="330">
        <f>T406*0.651</f>
        <v>0</v>
      </c>
      <c r="V406" s="330">
        <f t="shared" si="91"/>
        <v>0</v>
      </c>
      <c r="W406" s="330">
        <f t="shared" si="92"/>
        <v>0</v>
      </c>
      <c r="X406" s="495">
        <v>68.23</v>
      </c>
      <c r="Y406" s="280">
        <f>Z406+AA406</f>
        <v>135141.41</v>
      </c>
      <c r="Z406" s="330">
        <v>128652.1</v>
      </c>
      <c r="AA406" s="330">
        <v>6489.31</v>
      </c>
      <c r="AB406" s="330">
        <v>0</v>
      </c>
      <c r="AC406" s="280">
        <v>0</v>
      </c>
      <c r="AD406" s="279">
        <v>0</v>
      </c>
      <c r="AE406" s="330">
        <v>0</v>
      </c>
      <c r="AF406" s="330">
        <v>0</v>
      </c>
      <c r="AG406" s="495">
        <v>0</v>
      </c>
      <c r="AH406" s="280">
        <v>0</v>
      </c>
      <c r="AI406" s="330">
        <v>0</v>
      </c>
      <c r="AJ406" s="330">
        <v>0</v>
      </c>
      <c r="AK406" s="330">
        <v>0</v>
      </c>
      <c r="AL406" s="285"/>
    </row>
    <row r="407" spans="1:38" s="275" customFormat="1" ht="73.95" customHeight="1" outlineLevel="1" x14ac:dyDescent="0.25">
      <c r="A407" s="311" t="s">
        <v>1027</v>
      </c>
      <c r="B407" s="331" t="s">
        <v>1028</v>
      </c>
      <c r="C407" s="330">
        <f t="shared" si="82"/>
        <v>14.25</v>
      </c>
      <c r="D407" s="314">
        <f t="shared" si="82"/>
        <v>31049.030000000002</v>
      </c>
      <c r="E407" s="303">
        <v>0</v>
      </c>
      <c r="F407" s="307">
        <v>0</v>
      </c>
      <c r="G407" s="303">
        <v>0</v>
      </c>
      <c r="H407" s="303">
        <v>0</v>
      </c>
      <c r="I407" s="314">
        <v>0</v>
      </c>
      <c r="J407" s="335">
        <v>0</v>
      </c>
      <c r="K407" s="330">
        <v>0</v>
      </c>
      <c r="L407" s="330">
        <v>0</v>
      </c>
      <c r="M407" s="330">
        <v>0</v>
      </c>
      <c r="N407" s="330">
        <v>0</v>
      </c>
      <c r="O407" s="335">
        <v>0</v>
      </c>
      <c r="P407" s="330">
        <v>0</v>
      </c>
      <c r="Q407" s="330">
        <v>0</v>
      </c>
      <c r="R407" s="330">
        <v>0</v>
      </c>
      <c r="S407" s="330">
        <v>0</v>
      </c>
      <c r="T407" s="332">
        <v>0</v>
      </c>
      <c r="U407" s="330">
        <f t="shared" ref="U407:U422" si="93">T407*0.651</f>
        <v>0</v>
      </c>
      <c r="V407" s="330">
        <f t="shared" si="91"/>
        <v>0</v>
      </c>
      <c r="W407" s="330">
        <f t="shared" si="92"/>
        <v>0</v>
      </c>
      <c r="X407" s="495">
        <v>14.25</v>
      </c>
      <c r="Y407" s="280">
        <f>Z407+AA407</f>
        <v>31049.030000000002</v>
      </c>
      <c r="Z407" s="330">
        <v>29558.99</v>
      </c>
      <c r="AA407" s="330">
        <v>1490.04</v>
      </c>
      <c r="AB407" s="330">
        <v>0</v>
      </c>
      <c r="AC407" s="336">
        <v>0</v>
      </c>
      <c r="AD407" s="279">
        <v>0</v>
      </c>
      <c r="AE407" s="330">
        <v>0</v>
      </c>
      <c r="AF407" s="330">
        <v>0</v>
      </c>
      <c r="AG407" s="495">
        <v>0</v>
      </c>
      <c r="AH407" s="336">
        <v>0</v>
      </c>
      <c r="AI407" s="330">
        <v>0</v>
      </c>
      <c r="AJ407" s="330">
        <v>0</v>
      </c>
      <c r="AK407" s="330">
        <v>0</v>
      </c>
      <c r="AL407" s="285"/>
    </row>
    <row r="408" spans="1:38" s="275" customFormat="1" ht="72" customHeight="1" outlineLevel="1" x14ac:dyDescent="0.25">
      <c r="A408" s="311" t="s">
        <v>1029</v>
      </c>
      <c r="B408" s="331" t="s">
        <v>1030</v>
      </c>
      <c r="C408" s="330">
        <f t="shared" si="82"/>
        <v>71.150000000000006</v>
      </c>
      <c r="D408" s="314">
        <f t="shared" si="82"/>
        <v>146158.82</v>
      </c>
      <c r="E408" s="303">
        <v>0</v>
      </c>
      <c r="F408" s="307">
        <v>0</v>
      </c>
      <c r="G408" s="303">
        <v>0</v>
      </c>
      <c r="H408" s="303">
        <v>0</v>
      </c>
      <c r="I408" s="314">
        <v>0</v>
      </c>
      <c r="J408" s="335">
        <v>0</v>
      </c>
      <c r="K408" s="330">
        <v>0</v>
      </c>
      <c r="L408" s="330">
        <v>0</v>
      </c>
      <c r="M408" s="330">
        <v>0</v>
      </c>
      <c r="N408" s="330">
        <v>0</v>
      </c>
      <c r="O408" s="335">
        <v>0</v>
      </c>
      <c r="P408" s="330">
        <v>0</v>
      </c>
      <c r="Q408" s="330">
        <v>0</v>
      </c>
      <c r="R408" s="330">
        <v>0</v>
      </c>
      <c r="S408" s="330">
        <v>0</v>
      </c>
      <c r="T408" s="332">
        <v>0</v>
      </c>
      <c r="U408" s="330">
        <f t="shared" si="93"/>
        <v>0</v>
      </c>
      <c r="V408" s="330">
        <f t="shared" si="91"/>
        <v>0</v>
      </c>
      <c r="W408" s="330">
        <f t="shared" si="92"/>
        <v>0</v>
      </c>
      <c r="X408" s="495">
        <v>71.150000000000006</v>
      </c>
      <c r="Y408" s="280">
        <f>Z408+AA408</f>
        <v>146158.82</v>
      </c>
      <c r="Z408" s="330">
        <v>139155.64000000001</v>
      </c>
      <c r="AA408" s="330">
        <v>7003.18</v>
      </c>
      <c r="AB408" s="330">
        <v>0</v>
      </c>
      <c r="AC408" s="336">
        <v>0</v>
      </c>
      <c r="AD408" s="279">
        <v>0</v>
      </c>
      <c r="AE408" s="330">
        <v>0</v>
      </c>
      <c r="AF408" s="330">
        <v>0</v>
      </c>
      <c r="AG408" s="495">
        <v>0</v>
      </c>
      <c r="AH408" s="336">
        <v>0</v>
      </c>
      <c r="AI408" s="330">
        <v>0</v>
      </c>
      <c r="AJ408" s="330">
        <v>0</v>
      </c>
      <c r="AK408" s="330">
        <v>0</v>
      </c>
      <c r="AL408" s="285"/>
    </row>
    <row r="409" spans="1:38" s="275" customFormat="1" ht="65.400000000000006" customHeight="1" outlineLevel="1" x14ac:dyDescent="0.25">
      <c r="A409" s="311" t="s">
        <v>1031</v>
      </c>
      <c r="B409" s="331" t="s">
        <v>1032</v>
      </c>
      <c r="C409" s="330">
        <f t="shared" si="82"/>
        <v>0</v>
      </c>
      <c r="D409" s="314">
        <f t="shared" si="82"/>
        <v>0</v>
      </c>
      <c r="E409" s="303">
        <v>0</v>
      </c>
      <c r="F409" s="307">
        <v>0</v>
      </c>
      <c r="G409" s="303">
        <v>0</v>
      </c>
      <c r="H409" s="303">
        <v>0</v>
      </c>
      <c r="I409" s="314">
        <v>0</v>
      </c>
      <c r="J409" s="335">
        <v>0</v>
      </c>
      <c r="K409" s="330">
        <v>0</v>
      </c>
      <c r="L409" s="330">
        <v>0</v>
      </c>
      <c r="M409" s="330">
        <v>0</v>
      </c>
      <c r="N409" s="330">
        <v>0</v>
      </c>
      <c r="O409" s="335">
        <v>0</v>
      </c>
      <c r="P409" s="330">
        <v>0</v>
      </c>
      <c r="Q409" s="330">
        <v>0</v>
      </c>
      <c r="R409" s="330">
        <v>0</v>
      </c>
      <c r="S409" s="330">
        <v>0</v>
      </c>
      <c r="T409" s="332">
        <v>0</v>
      </c>
      <c r="U409" s="330">
        <f t="shared" si="93"/>
        <v>0</v>
      </c>
      <c r="V409" s="330">
        <f t="shared" si="91"/>
        <v>0</v>
      </c>
      <c r="W409" s="330">
        <f t="shared" si="92"/>
        <v>0</v>
      </c>
      <c r="X409" s="495">
        <v>0</v>
      </c>
      <c r="Y409" s="280">
        <v>0</v>
      </c>
      <c r="Z409" s="330">
        <f>Y409*0.9311639</f>
        <v>0</v>
      </c>
      <c r="AA409" s="330">
        <f t="shared" ref="AA409:AA410" si="94">Y409*0.0688361</f>
        <v>0</v>
      </c>
      <c r="AB409" s="330">
        <v>0</v>
      </c>
      <c r="AC409" s="336">
        <v>0</v>
      </c>
      <c r="AD409" s="279">
        <v>0</v>
      </c>
      <c r="AE409" s="330">
        <v>0</v>
      </c>
      <c r="AF409" s="330">
        <v>0</v>
      </c>
      <c r="AG409" s="495">
        <v>0</v>
      </c>
      <c r="AH409" s="336">
        <v>0</v>
      </c>
      <c r="AI409" s="330">
        <v>0</v>
      </c>
      <c r="AJ409" s="330">
        <v>0</v>
      </c>
      <c r="AK409" s="330">
        <v>0</v>
      </c>
      <c r="AL409" s="285"/>
    </row>
    <row r="410" spans="1:38" s="275" customFormat="1" ht="49.65" customHeight="1" outlineLevel="1" x14ac:dyDescent="0.25">
      <c r="A410" s="311" t="s">
        <v>1033</v>
      </c>
      <c r="B410" s="331" t="s">
        <v>1034</v>
      </c>
      <c r="C410" s="330">
        <f t="shared" si="82"/>
        <v>0</v>
      </c>
      <c r="D410" s="314">
        <f t="shared" si="82"/>
        <v>0</v>
      </c>
      <c r="E410" s="303">
        <v>0</v>
      </c>
      <c r="F410" s="307">
        <v>0</v>
      </c>
      <c r="G410" s="303">
        <v>0</v>
      </c>
      <c r="H410" s="303">
        <v>0</v>
      </c>
      <c r="I410" s="314">
        <v>0</v>
      </c>
      <c r="J410" s="335">
        <v>0</v>
      </c>
      <c r="K410" s="330">
        <v>0</v>
      </c>
      <c r="L410" s="330">
        <v>0</v>
      </c>
      <c r="M410" s="330">
        <v>0</v>
      </c>
      <c r="N410" s="330">
        <v>0</v>
      </c>
      <c r="O410" s="335">
        <v>0</v>
      </c>
      <c r="P410" s="330">
        <v>0</v>
      </c>
      <c r="Q410" s="330">
        <v>0</v>
      </c>
      <c r="R410" s="330">
        <v>0</v>
      </c>
      <c r="S410" s="330">
        <v>0</v>
      </c>
      <c r="T410" s="332">
        <v>0</v>
      </c>
      <c r="U410" s="330">
        <f t="shared" si="93"/>
        <v>0</v>
      </c>
      <c r="V410" s="330">
        <f t="shared" si="91"/>
        <v>0</v>
      </c>
      <c r="W410" s="330">
        <f t="shared" si="92"/>
        <v>0</v>
      </c>
      <c r="X410" s="495">
        <v>0</v>
      </c>
      <c r="Y410" s="280">
        <v>0</v>
      </c>
      <c r="Z410" s="330">
        <f t="shared" ref="Z410" si="95">Y410*0.9311639</f>
        <v>0</v>
      </c>
      <c r="AA410" s="330">
        <f t="shared" si="94"/>
        <v>0</v>
      </c>
      <c r="AB410" s="330">
        <v>0</v>
      </c>
      <c r="AC410" s="336">
        <v>0</v>
      </c>
      <c r="AD410" s="279">
        <v>0</v>
      </c>
      <c r="AE410" s="330">
        <v>0</v>
      </c>
      <c r="AF410" s="330">
        <v>0</v>
      </c>
      <c r="AG410" s="495">
        <v>0</v>
      </c>
      <c r="AH410" s="336">
        <v>0</v>
      </c>
      <c r="AI410" s="330">
        <v>0</v>
      </c>
      <c r="AJ410" s="330">
        <v>0</v>
      </c>
      <c r="AK410" s="330">
        <v>0</v>
      </c>
      <c r="AL410" s="285"/>
    </row>
    <row r="411" spans="1:38" s="275" customFormat="1" ht="90" customHeight="1" outlineLevel="1" x14ac:dyDescent="0.25">
      <c r="A411" s="311" t="s">
        <v>1035</v>
      </c>
      <c r="B411" s="331" t="s">
        <v>1036</v>
      </c>
      <c r="C411" s="330">
        <f t="shared" si="82"/>
        <v>26.33</v>
      </c>
      <c r="D411" s="314">
        <f t="shared" si="82"/>
        <v>51332.81</v>
      </c>
      <c r="E411" s="303">
        <v>0</v>
      </c>
      <c r="F411" s="307">
        <v>0</v>
      </c>
      <c r="G411" s="303">
        <v>0</v>
      </c>
      <c r="H411" s="303">
        <v>0</v>
      </c>
      <c r="I411" s="314">
        <v>0</v>
      </c>
      <c r="J411" s="335">
        <v>0</v>
      </c>
      <c r="K411" s="330">
        <v>0</v>
      </c>
      <c r="L411" s="330">
        <v>0</v>
      </c>
      <c r="M411" s="330">
        <v>0</v>
      </c>
      <c r="N411" s="330">
        <v>0</v>
      </c>
      <c r="O411" s="335">
        <v>0</v>
      </c>
      <c r="P411" s="330">
        <v>0</v>
      </c>
      <c r="Q411" s="330">
        <v>0</v>
      </c>
      <c r="R411" s="330">
        <v>0</v>
      </c>
      <c r="S411" s="330">
        <v>0</v>
      </c>
      <c r="T411" s="332">
        <v>0</v>
      </c>
      <c r="U411" s="330">
        <f t="shared" si="93"/>
        <v>0</v>
      </c>
      <c r="V411" s="330">
        <f t="shared" si="91"/>
        <v>0</v>
      </c>
      <c r="W411" s="330">
        <f t="shared" si="92"/>
        <v>0</v>
      </c>
      <c r="X411" s="495">
        <v>26.33</v>
      </c>
      <c r="Y411" s="280">
        <f>Z411+AA411</f>
        <v>51332.81</v>
      </c>
      <c r="Z411" s="330">
        <v>48866.29</v>
      </c>
      <c r="AA411" s="330">
        <v>2466.52</v>
      </c>
      <c r="AB411" s="330">
        <v>0</v>
      </c>
      <c r="AC411" s="336">
        <v>0</v>
      </c>
      <c r="AD411" s="279">
        <v>0</v>
      </c>
      <c r="AE411" s="330">
        <v>0</v>
      </c>
      <c r="AF411" s="330">
        <v>0</v>
      </c>
      <c r="AG411" s="495">
        <v>0</v>
      </c>
      <c r="AH411" s="336">
        <v>0</v>
      </c>
      <c r="AI411" s="330">
        <v>0</v>
      </c>
      <c r="AJ411" s="330">
        <v>0</v>
      </c>
      <c r="AK411" s="330">
        <v>0</v>
      </c>
      <c r="AL411" s="285"/>
    </row>
    <row r="412" spans="1:38" s="275" customFormat="1" ht="62.4" customHeight="1" outlineLevel="1" x14ac:dyDescent="0.25">
      <c r="A412" s="311" t="s">
        <v>1037</v>
      </c>
      <c r="B412" s="331" t="s">
        <v>1038</v>
      </c>
      <c r="C412" s="330">
        <f t="shared" si="82"/>
        <v>46</v>
      </c>
      <c r="D412" s="314">
        <f t="shared" si="82"/>
        <v>128824.42</v>
      </c>
      <c r="E412" s="303">
        <v>0</v>
      </c>
      <c r="F412" s="307">
        <v>0</v>
      </c>
      <c r="G412" s="303">
        <v>0</v>
      </c>
      <c r="H412" s="303">
        <v>0</v>
      </c>
      <c r="I412" s="314">
        <v>0</v>
      </c>
      <c r="J412" s="335">
        <v>0</v>
      </c>
      <c r="K412" s="330">
        <v>0</v>
      </c>
      <c r="L412" s="330">
        <v>0</v>
      </c>
      <c r="M412" s="330">
        <v>0</v>
      </c>
      <c r="N412" s="330">
        <v>0</v>
      </c>
      <c r="O412" s="335">
        <v>0</v>
      </c>
      <c r="P412" s="330">
        <v>0</v>
      </c>
      <c r="Q412" s="330">
        <v>0</v>
      </c>
      <c r="R412" s="330">
        <v>0</v>
      </c>
      <c r="S412" s="330">
        <v>0</v>
      </c>
      <c r="T412" s="332">
        <v>0</v>
      </c>
      <c r="U412" s="330">
        <f t="shared" si="93"/>
        <v>0</v>
      </c>
      <c r="V412" s="330">
        <f t="shared" si="91"/>
        <v>0</v>
      </c>
      <c r="W412" s="330">
        <f t="shared" si="92"/>
        <v>0</v>
      </c>
      <c r="X412" s="495">
        <v>46</v>
      </c>
      <c r="Y412" s="280">
        <f>Z412+AA412</f>
        <v>128824.42</v>
      </c>
      <c r="Z412" s="330">
        <v>122638.33</v>
      </c>
      <c r="AA412" s="330">
        <v>6186.09</v>
      </c>
      <c r="AB412" s="330">
        <v>0</v>
      </c>
      <c r="AC412" s="336">
        <v>0</v>
      </c>
      <c r="AD412" s="279">
        <v>0</v>
      </c>
      <c r="AE412" s="330">
        <v>0</v>
      </c>
      <c r="AF412" s="330">
        <v>0</v>
      </c>
      <c r="AG412" s="495">
        <v>0</v>
      </c>
      <c r="AH412" s="336">
        <v>0</v>
      </c>
      <c r="AI412" s="330">
        <v>0</v>
      </c>
      <c r="AJ412" s="330">
        <v>0</v>
      </c>
      <c r="AK412" s="330">
        <v>0</v>
      </c>
      <c r="AL412" s="285"/>
    </row>
    <row r="413" spans="1:38" s="275" customFormat="1" ht="67.95" customHeight="1" outlineLevel="1" x14ac:dyDescent="0.25">
      <c r="A413" s="311" t="s">
        <v>1039</v>
      </c>
      <c r="B413" s="331" t="s">
        <v>1040</v>
      </c>
      <c r="C413" s="330">
        <f t="shared" si="82"/>
        <v>49.12</v>
      </c>
      <c r="D413" s="314">
        <f t="shared" si="82"/>
        <v>118164.29000000001</v>
      </c>
      <c r="E413" s="303">
        <v>0</v>
      </c>
      <c r="F413" s="307">
        <v>0</v>
      </c>
      <c r="G413" s="303">
        <v>0</v>
      </c>
      <c r="H413" s="303">
        <v>0</v>
      </c>
      <c r="I413" s="314">
        <v>0</v>
      </c>
      <c r="J413" s="335">
        <v>0</v>
      </c>
      <c r="K413" s="330">
        <v>0</v>
      </c>
      <c r="L413" s="330">
        <v>0</v>
      </c>
      <c r="M413" s="330">
        <v>0</v>
      </c>
      <c r="N413" s="330">
        <v>0</v>
      </c>
      <c r="O413" s="335">
        <v>0</v>
      </c>
      <c r="P413" s="330">
        <v>0</v>
      </c>
      <c r="Q413" s="330">
        <v>0</v>
      </c>
      <c r="R413" s="330">
        <v>0</v>
      </c>
      <c r="S413" s="330">
        <v>0</v>
      </c>
      <c r="T413" s="332">
        <v>0</v>
      </c>
      <c r="U413" s="330">
        <f t="shared" si="93"/>
        <v>0</v>
      </c>
      <c r="V413" s="330">
        <f t="shared" si="91"/>
        <v>0</v>
      </c>
      <c r="W413" s="330">
        <f t="shared" si="92"/>
        <v>0</v>
      </c>
      <c r="X413" s="495">
        <v>49.12</v>
      </c>
      <c r="Y413" s="280">
        <f>Z413+AA413</f>
        <v>118164.29000000001</v>
      </c>
      <c r="Z413" s="330">
        <v>112489.85</v>
      </c>
      <c r="AA413" s="330">
        <v>5674.44</v>
      </c>
      <c r="AB413" s="330">
        <v>0</v>
      </c>
      <c r="AC413" s="336">
        <v>0</v>
      </c>
      <c r="AD413" s="279">
        <v>0</v>
      </c>
      <c r="AE413" s="330">
        <v>0</v>
      </c>
      <c r="AF413" s="330">
        <v>0</v>
      </c>
      <c r="AG413" s="495">
        <v>0</v>
      </c>
      <c r="AH413" s="336">
        <v>0</v>
      </c>
      <c r="AI413" s="330">
        <v>0</v>
      </c>
      <c r="AJ413" s="330">
        <v>0</v>
      </c>
      <c r="AK413" s="330">
        <v>0</v>
      </c>
      <c r="AL413" s="285"/>
    </row>
    <row r="414" spans="1:38" s="275" customFormat="1" ht="58.2" customHeight="1" outlineLevel="1" x14ac:dyDescent="0.25">
      <c r="A414" s="311" t="s">
        <v>1041</v>
      </c>
      <c r="B414" s="331" t="s">
        <v>1042</v>
      </c>
      <c r="C414" s="330">
        <f t="shared" si="82"/>
        <v>15.11</v>
      </c>
      <c r="D414" s="314">
        <f t="shared" si="82"/>
        <v>29352.67</v>
      </c>
      <c r="E414" s="303">
        <v>0</v>
      </c>
      <c r="F414" s="307">
        <v>0</v>
      </c>
      <c r="G414" s="303">
        <v>0</v>
      </c>
      <c r="H414" s="303">
        <v>0</v>
      </c>
      <c r="I414" s="314">
        <v>0</v>
      </c>
      <c r="J414" s="335">
        <v>0</v>
      </c>
      <c r="K414" s="330">
        <v>0</v>
      </c>
      <c r="L414" s="330">
        <v>0</v>
      </c>
      <c r="M414" s="330">
        <v>0</v>
      </c>
      <c r="N414" s="330">
        <v>0</v>
      </c>
      <c r="O414" s="335">
        <v>0</v>
      </c>
      <c r="P414" s="330">
        <v>0</v>
      </c>
      <c r="Q414" s="330">
        <v>0</v>
      </c>
      <c r="R414" s="330">
        <v>0</v>
      </c>
      <c r="S414" s="330">
        <v>0</v>
      </c>
      <c r="T414" s="332">
        <v>0</v>
      </c>
      <c r="U414" s="330">
        <f t="shared" si="93"/>
        <v>0</v>
      </c>
      <c r="V414" s="330">
        <f t="shared" si="91"/>
        <v>0</v>
      </c>
      <c r="W414" s="330">
        <f t="shared" si="92"/>
        <v>0</v>
      </c>
      <c r="X414" s="495">
        <v>15.11</v>
      </c>
      <c r="Y414" s="280">
        <f>Z414+AA414</f>
        <v>29352.67</v>
      </c>
      <c r="Z414" s="330">
        <v>27941.23</v>
      </c>
      <c r="AA414" s="330">
        <v>1411.44</v>
      </c>
      <c r="AB414" s="330">
        <v>0</v>
      </c>
      <c r="AC414" s="336">
        <v>0</v>
      </c>
      <c r="AD414" s="279">
        <v>0</v>
      </c>
      <c r="AE414" s="330">
        <v>0</v>
      </c>
      <c r="AF414" s="330">
        <v>0</v>
      </c>
      <c r="AG414" s="495">
        <v>0</v>
      </c>
      <c r="AH414" s="336">
        <v>0</v>
      </c>
      <c r="AI414" s="330">
        <v>0</v>
      </c>
      <c r="AJ414" s="330">
        <v>0</v>
      </c>
      <c r="AK414" s="330">
        <v>0</v>
      </c>
      <c r="AL414" s="285"/>
    </row>
    <row r="415" spans="1:38" s="275" customFormat="1" ht="57" customHeight="1" outlineLevel="1" x14ac:dyDescent="0.25">
      <c r="A415" s="311" t="s">
        <v>1043</v>
      </c>
      <c r="B415" s="331" t="s">
        <v>1044</v>
      </c>
      <c r="C415" s="330">
        <f t="shared" si="82"/>
        <v>0</v>
      </c>
      <c r="D415" s="314">
        <f t="shared" si="82"/>
        <v>0</v>
      </c>
      <c r="E415" s="303">
        <v>0</v>
      </c>
      <c r="F415" s="307">
        <v>0</v>
      </c>
      <c r="G415" s="303">
        <v>0</v>
      </c>
      <c r="H415" s="303">
        <v>0</v>
      </c>
      <c r="I415" s="314">
        <v>0</v>
      </c>
      <c r="J415" s="335">
        <v>0</v>
      </c>
      <c r="K415" s="330">
        <v>0</v>
      </c>
      <c r="L415" s="330">
        <v>0</v>
      </c>
      <c r="M415" s="330">
        <v>0</v>
      </c>
      <c r="N415" s="330">
        <v>0</v>
      </c>
      <c r="O415" s="335">
        <v>0</v>
      </c>
      <c r="P415" s="330">
        <v>0</v>
      </c>
      <c r="Q415" s="330">
        <v>0</v>
      </c>
      <c r="R415" s="330">
        <v>0</v>
      </c>
      <c r="S415" s="330">
        <v>0</v>
      </c>
      <c r="T415" s="332">
        <v>0</v>
      </c>
      <c r="U415" s="330">
        <f t="shared" si="93"/>
        <v>0</v>
      </c>
      <c r="V415" s="330">
        <f t="shared" si="91"/>
        <v>0</v>
      </c>
      <c r="W415" s="330">
        <f t="shared" si="92"/>
        <v>0</v>
      </c>
      <c r="X415" s="495">
        <v>0</v>
      </c>
      <c r="Y415" s="280">
        <v>0</v>
      </c>
      <c r="Z415" s="330">
        <f t="shared" ref="Z415" si="96">Y415*0.9311639</f>
        <v>0</v>
      </c>
      <c r="AA415" s="330">
        <f>Y415*0.0688361</f>
        <v>0</v>
      </c>
      <c r="AB415" s="330">
        <v>0</v>
      </c>
      <c r="AC415" s="336">
        <v>0</v>
      </c>
      <c r="AD415" s="279">
        <v>0</v>
      </c>
      <c r="AE415" s="330">
        <v>0</v>
      </c>
      <c r="AF415" s="330">
        <v>0</v>
      </c>
      <c r="AG415" s="495">
        <v>0</v>
      </c>
      <c r="AH415" s="336">
        <v>0</v>
      </c>
      <c r="AI415" s="330">
        <v>0</v>
      </c>
      <c r="AJ415" s="330">
        <v>0</v>
      </c>
      <c r="AK415" s="330">
        <v>0</v>
      </c>
      <c r="AL415" s="285"/>
    </row>
    <row r="416" spans="1:38" s="275" customFormat="1" ht="196.95" customHeight="1" outlineLevel="1" x14ac:dyDescent="0.25">
      <c r="A416" s="311" t="s">
        <v>1045</v>
      </c>
      <c r="B416" s="331" t="s">
        <v>1046</v>
      </c>
      <c r="C416" s="330">
        <f t="shared" si="82"/>
        <v>10.14</v>
      </c>
      <c r="D416" s="314">
        <f t="shared" si="82"/>
        <v>11669.76</v>
      </c>
      <c r="E416" s="303">
        <v>0</v>
      </c>
      <c r="F416" s="307">
        <v>0</v>
      </c>
      <c r="G416" s="303">
        <v>0</v>
      </c>
      <c r="H416" s="303">
        <v>0</v>
      </c>
      <c r="I416" s="314">
        <v>0</v>
      </c>
      <c r="J416" s="335">
        <v>0</v>
      </c>
      <c r="K416" s="330">
        <v>0</v>
      </c>
      <c r="L416" s="330">
        <v>0</v>
      </c>
      <c r="M416" s="330">
        <v>0</v>
      </c>
      <c r="N416" s="330">
        <v>0</v>
      </c>
      <c r="O416" s="335">
        <v>0</v>
      </c>
      <c r="P416" s="330">
        <v>0</v>
      </c>
      <c r="Q416" s="330">
        <v>0</v>
      </c>
      <c r="R416" s="330">
        <v>0</v>
      </c>
      <c r="S416" s="330">
        <v>0</v>
      </c>
      <c r="T416" s="332">
        <v>0</v>
      </c>
      <c r="U416" s="330">
        <f t="shared" si="93"/>
        <v>0</v>
      </c>
      <c r="V416" s="330">
        <f t="shared" si="91"/>
        <v>0</v>
      </c>
      <c r="W416" s="330">
        <f t="shared" si="92"/>
        <v>0</v>
      </c>
      <c r="X416" s="495">
        <v>10.14</v>
      </c>
      <c r="Y416" s="280">
        <f>Z416+AA416</f>
        <v>11669.76</v>
      </c>
      <c r="Z416" s="330">
        <v>11109.56</v>
      </c>
      <c r="AA416" s="330">
        <v>560.20000000000005</v>
      </c>
      <c r="AB416" s="330">
        <v>0</v>
      </c>
      <c r="AC416" s="336">
        <v>0</v>
      </c>
      <c r="AD416" s="279">
        <v>0</v>
      </c>
      <c r="AE416" s="330">
        <v>0</v>
      </c>
      <c r="AF416" s="330">
        <v>0</v>
      </c>
      <c r="AG416" s="495">
        <v>0</v>
      </c>
      <c r="AH416" s="336">
        <v>0</v>
      </c>
      <c r="AI416" s="330">
        <v>0</v>
      </c>
      <c r="AJ416" s="330">
        <v>0</v>
      </c>
      <c r="AK416" s="330">
        <v>0</v>
      </c>
      <c r="AL416" s="285"/>
    </row>
    <row r="417" spans="1:38" s="275" customFormat="1" ht="77.400000000000006" customHeight="1" outlineLevel="1" x14ac:dyDescent="0.25">
      <c r="A417" s="311" t="s">
        <v>1047</v>
      </c>
      <c r="B417" s="331" t="s">
        <v>1048</v>
      </c>
      <c r="C417" s="330">
        <f t="shared" si="82"/>
        <v>22.45</v>
      </c>
      <c r="D417" s="314">
        <f t="shared" si="82"/>
        <v>39968.5</v>
      </c>
      <c r="E417" s="303">
        <v>0</v>
      </c>
      <c r="F417" s="307">
        <v>0</v>
      </c>
      <c r="G417" s="303">
        <v>0</v>
      </c>
      <c r="H417" s="303">
        <v>0</v>
      </c>
      <c r="I417" s="314">
        <v>0</v>
      </c>
      <c r="J417" s="335">
        <v>0</v>
      </c>
      <c r="K417" s="330">
        <v>0</v>
      </c>
      <c r="L417" s="330">
        <v>0</v>
      </c>
      <c r="M417" s="330">
        <v>0</v>
      </c>
      <c r="N417" s="330">
        <v>0</v>
      </c>
      <c r="O417" s="335">
        <v>0</v>
      </c>
      <c r="P417" s="330">
        <v>0</v>
      </c>
      <c r="Q417" s="330">
        <v>0</v>
      </c>
      <c r="R417" s="330">
        <v>0</v>
      </c>
      <c r="S417" s="330">
        <v>0</v>
      </c>
      <c r="T417" s="332">
        <v>0</v>
      </c>
      <c r="U417" s="330">
        <f t="shared" si="93"/>
        <v>0</v>
      </c>
      <c r="V417" s="330">
        <f t="shared" si="91"/>
        <v>0</v>
      </c>
      <c r="W417" s="330">
        <f t="shared" si="92"/>
        <v>0</v>
      </c>
      <c r="X417" s="495">
        <v>22.45</v>
      </c>
      <c r="Y417" s="280">
        <f>Z417+AA417</f>
        <v>39968.5</v>
      </c>
      <c r="Z417" s="330">
        <v>38050.01</v>
      </c>
      <c r="AA417" s="330">
        <v>1918.49</v>
      </c>
      <c r="AB417" s="330">
        <v>0</v>
      </c>
      <c r="AC417" s="336">
        <v>0</v>
      </c>
      <c r="AD417" s="279">
        <v>0</v>
      </c>
      <c r="AE417" s="279">
        <v>0</v>
      </c>
      <c r="AF417" s="279">
        <v>0</v>
      </c>
      <c r="AG417" s="499">
        <v>0</v>
      </c>
      <c r="AH417" s="336">
        <v>0</v>
      </c>
      <c r="AI417" s="330">
        <v>0</v>
      </c>
      <c r="AJ417" s="279">
        <v>0</v>
      </c>
      <c r="AK417" s="279">
        <v>0</v>
      </c>
      <c r="AL417" s="285"/>
    </row>
    <row r="418" spans="1:38" s="275" customFormat="1" ht="75" customHeight="1" outlineLevel="1" x14ac:dyDescent="0.25">
      <c r="A418" s="311" t="s">
        <v>1050</v>
      </c>
      <c r="B418" s="331" t="s">
        <v>1320</v>
      </c>
      <c r="C418" s="330">
        <f t="shared" si="82"/>
        <v>0</v>
      </c>
      <c r="D418" s="314">
        <f t="shared" si="82"/>
        <v>0</v>
      </c>
      <c r="E418" s="303">
        <v>0</v>
      </c>
      <c r="F418" s="357">
        <v>0</v>
      </c>
      <c r="G418" s="303">
        <v>0</v>
      </c>
      <c r="H418" s="303">
        <v>0</v>
      </c>
      <c r="I418" s="314"/>
      <c r="J418" s="335"/>
      <c r="K418" s="330"/>
      <c r="L418" s="330"/>
      <c r="M418" s="330"/>
      <c r="N418" s="330"/>
      <c r="O418" s="335"/>
      <c r="P418" s="330"/>
      <c r="Q418" s="330"/>
      <c r="R418" s="330"/>
      <c r="S418" s="330"/>
      <c r="T418" s="332"/>
      <c r="U418" s="330"/>
      <c r="V418" s="330"/>
      <c r="W418" s="330"/>
      <c r="X418" s="495"/>
      <c r="Y418" s="280"/>
      <c r="Z418" s="330"/>
      <c r="AA418" s="330"/>
      <c r="AB418" s="330">
        <v>0</v>
      </c>
      <c r="AC418" s="336">
        <v>0</v>
      </c>
      <c r="AD418" s="279">
        <v>0</v>
      </c>
      <c r="AE418" s="279">
        <v>0</v>
      </c>
      <c r="AF418" s="279">
        <v>0</v>
      </c>
      <c r="AG418" s="499">
        <v>0</v>
      </c>
      <c r="AH418" s="336">
        <f>AI418+AJ418+AK418</f>
        <v>0</v>
      </c>
      <c r="AI418" s="330">
        <v>0</v>
      </c>
      <c r="AJ418" s="279">
        <v>0</v>
      </c>
      <c r="AK418" s="279">
        <v>0</v>
      </c>
      <c r="AL418" s="285"/>
    </row>
    <row r="419" spans="1:38" s="285" customFormat="1" ht="36.9" customHeight="1" outlineLevel="1" x14ac:dyDescent="0.25">
      <c r="A419" s="680" t="s">
        <v>1049</v>
      </c>
      <c r="B419" s="681"/>
      <c r="C419" s="681"/>
      <c r="D419" s="681"/>
      <c r="E419" s="681"/>
      <c r="F419" s="681"/>
      <c r="G419" s="681"/>
      <c r="H419" s="681"/>
      <c r="I419" s="681"/>
      <c r="J419" s="681"/>
      <c r="K419" s="681"/>
      <c r="L419" s="681"/>
      <c r="M419" s="681"/>
      <c r="N419" s="681"/>
      <c r="O419" s="681"/>
      <c r="P419" s="681"/>
      <c r="Q419" s="681"/>
      <c r="R419" s="681"/>
      <c r="S419" s="681"/>
      <c r="T419" s="681"/>
      <c r="U419" s="681"/>
      <c r="V419" s="681"/>
      <c r="W419" s="681"/>
      <c r="X419" s="681"/>
      <c r="Y419" s="681"/>
      <c r="Z419" s="681"/>
      <c r="AA419" s="681"/>
      <c r="AB419" s="681"/>
      <c r="AC419" s="681"/>
      <c r="AD419" s="681"/>
      <c r="AE419" s="681"/>
      <c r="AF419" s="681"/>
      <c r="AG419" s="681"/>
      <c r="AH419" s="681"/>
      <c r="AI419" s="681"/>
      <c r="AJ419" s="681"/>
      <c r="AK419" s="682"/>
    </row>
    <row r="420" spans="1:38" s="275" customFormat="1" ht="51" customHeight="1" outlineLevel="1" x14ac:dyDescent="0.25">
      <c r="A420" s="311" t="s">
        <v>1052</v>
      </c>
      <c r="B420" s="331" t="s">
        <v>1051</v>
      </c>
      <c r="C420" s="330">
        <f>E420+I420+N420+S420+X420+AB420+AG420</f>
        <v>12.727</v>
      </c>
      <c r="D420" s="314">
        <f t="shared" ref="D420:D483" si="97">F420+J420+O420+T420+Y420+AC420+AH420</f>
        <v>29166.959999999999</v>
      </c>
      <c r="E420" s="303">
        <v>0</v>
      </c>
      <c r="F420" s="307">
        <v>0</v>
      </c>
      <c r="G420" s="303">
        <v>0</v>
      </c>
      <c r="H420" s="303">
        <v>0</v>
      </c>
      <c r="I420" s="314">
        <v>0</v>
      </c>
      <c r="J420" s="335">
        <v>0</v>
      </c>
      <c r="K420" s="330">
        <v>0</v>
      </c>
      <c r="L420" s="330">
        <v>0</v>
      </c>
      <c r="M420" s="330">
        <v>0</v>
      </c>
      <c r="N420" s="330">
        <v>0</v>
      </c>
      <c r="O420" s="335">
        <v>0</v>
      </c>
      <c r="P420" s="330">
        <v>0</v>
      </c>
      <c r="Q420" s="330">
        <v>0</v>
      </c>
      <c r="R420" s="330">
        <v>0</v>
      </c>
      <c r="S420" s="330">
        <v>0</v>
      </c>
      <c r="T420" s="332">
        <v>0</v>
      </c>
      <c r="U420" s="330">
        <f t="shared" si="93"/>
        <v>0</v>
      </c>
      <c r="V420" s="330">
        <f t="shared" si="91"/>
        <v>0</v>
      </c>
      <c r="W420" s="330">
        <f t="shared" si="92"/>
        <v>0</v>
      </c>
      <c r="X420" s="495">
        <v>0</v>
      </c>
      <c r="Y420" s="280">
        <v>0</v>
      </c>
      <c r="Z420" s="330">
        <v>0</v>
      </c>
      <c r="AA420" s="330">
        <v>0</v>
      </c>
      <c r="AB420" s="330">
        <v>12.727</v>
      </c>
      <c r="AC420" s="336">
        <v>29166.959999999999</v>
      </c>
      <c r="AD420" s="279">
        <v>0</v>
      </c>
      <c r="AE420" s="330">
        <f t="shared" ref="AE420:AE483" si="98">AC420*0.952</f>
        <v>27766.945919999998</v>
      </c>
      <c r="AF420" s="330">
        <f t="shared" ref="AF420:AF483" si="99">AC420*0.048</f>
        <v>1400.0140799999999</v>
      </c>
      <c r="AG420" s="495">
        <v>0</v>
      </c>
      <c r="AH420" s="336">
        <v>0</v>
      </c>
      <c r="AI420" s="279">
        <v>0</v>
      </c>
      <c r="AJ420" s="330">
        <v>0</v>
      </c>
      <c r="AK420" s="330">
        <v>0</v>
      </c>
      <c r="AL420" s="285"/>
    </row>
    <row r="421" spans="1:38" s="275" customFormat="1" ht="79.95" customHeight="1" outlineLevel="1" x14ac:dyDescent="0.25">
      <c r="A421" s="311" t="s">
        <v>1054</v>
      </c>
      <c r="B421" s="331" t="s">
        <v>1053</v>
      </c>
      <c r="C421" s="330">
        <f t="shared" ref="C421:D484" si="100">E421+I421+N421+S421+X421+AB421+AG421</f>
        <v>12.318</v>
      </c>
      <c r="D421" s="314">
        <f t="shared" si="97"/>
        <v>32511.82</v>
      </c>
      <c r="E421" s="303">
        <v>0</v>
      </c>
      <c r="F421" s="307">
        <v>0</v>
      </c>
      <c r="G421" s="303">
        <v>0</v>
      </c>
      <c r="H421" s="303">
        <v>0</v>
      </c>
      <c r="I421" s="314">
        <v>0</v>
      </c>
      <c r="J421" s="335">
        <v>0</v>
      </c>
      <c r="K421" s="330">
        <v>0</v>
      </c>
      <c r="L421" s="330">
        <v>0</v>
      </c>
      <c r="M421" s="330">
        <v>0</v>
      </c>
      <c r="N421" s="330">
        <v>0</v>
      </c>
      <c r="O421" s="335">
        <v>0</v>
      </c>
      <c r="P421" s="330">
        <v>0</v>
      </c>
      <c r="Q421" s="330">
        <v>0</v>
      </c>
      <c r="R421" s="330">
        <v>0</v>
      </c>
      <c r="S421" s="330">
        <v>0</v>
      </c>
      <c r="T421" s="332">
        <v>0</v>
      </c>
      <c r="U421" s="330">
        <f t="shared" si="93"/>
        <v>0</v>
      </c>
      <c r="V421" s="330">
        <f t="shared" si="91"/>
        <v>0</v>
      </c>
      <c r="W421" s="330">
        <f t="shared" si="92"/>
        <v>0</v>
      </c>
      <c r="X421" s="495">
        <v>0</v>
      </c>
      <c r="Y421" s="280">
        <v>0</v>
      </c>
      <c r="Z421" s="330">
        <v>0</v>
      </c>
      <c r="AA421" s="330">
        <v>0</v>
      </c>
      <c r="AB421" s="330">
        <v>12.318</v>
      </c>
      <c r="AC421" s="336">
        <v>32511.82</v>
      </c>
      <c r="AD421" s="279">
        <v>0</v>
      </c>
      <c r="AE421" s="330">
        <f t="shared" si="98"/>
        <v>30951.252639999999</v>
      </c>
      <c r="AF421" s="330">
        <f t="shared" si="99"/>
        <v>1560.56736</v>
      </c>
      <c r="AG421" s="495">
        <v>0</v>
      </c>
      <c r="AH421" s="336">
        <v>0</v>
      </c>
      <c r="AI421" s="279">
        <v>0</v>
      </c>
      <c r="AJ421" s="330">
        <v>0</v>
      </c>
      <c r="AK421" s="330">
        <v>0</v>
      </c>
      <c r="AL421" s="285"/>
    </row>
    <row r="422" spans="1:38" s="275" customFormat="1" ht="75" customHeight="1" outlineLevel="1" x14ac:dyDescent="0.25">
      <c r="A422" s="311" t="s">
        <v>1056</v>
      </c>
      <c r="B422" s="331" t="s">
        <v>1055</v>
      </c>
      <c r="C422" s="330">
        <f t="shared" si="100"/>
        <v>11.24</v>
      </c>
      <c r="D422" s="314">
        <f t="shared" si="97"/>
        <v>21394.76</v>
      </c>
      <c r="E422" s="303">
        <v>0</v>
      </c>
      <c r="F422" s="307">
        <v>0</v>
      </c>
      <c r="G422" s="303">
        <v>0</v>
      </c>
      <c r="H422" s="303">
        <v>0</v>
      </c>
      <c r="I422" s="314">
        <v>0</v>
      </c>
      <c r="J422" s="335">
        <v>0</v>
      </c>
      <c r="K422" s="330">
        <v>0</v>
      </c>
      <c r="L422" s="330">
        <v>0</v>
      </c>
      <c r="M422" s="330">
        <v>0</v>
      </c>
      <c r="N422" s="330">
        <v>0</v>
      </c>
      <c r="O422" s="335">
        <v>0</v>
      </c>
      <c r="P422" s="330">
        <v>0</v>
      </c>
      <c r="Q422" s="330">
        <v>0</v>
      </c>
      <c r="R422" s="330">
        <v>0</v>
      </c>
      <c r="S422" s="330">
        <v>0</v>
      </c>
      <c r="T422" s="332">
        <v>0</v>
      </c>
      <c r="U422" s="330">
        <f t="shared" si="93"/>
        <v>0</v>
      </c>
      <c r="V422" s="330">
        <f t="shared" si="91"/>
        <v>0</v>
      </c>
      <c r="W422" s="330">
        <f t="shared" si="92"/>
        <v>0</v>
      </c>
      <c r="X422" s="495">
        <v>0</v>
      </c>
      <c r="Y422" s="280">
        <v>0</v>
      </c>
      <c r="Z422" s="330">
        <v>0</v>
      </c>
      <c r="AA422" s="330">
        <v>0</v>
      </c>
      <c r="AB422" s="330">
        <v>11.24</v>
      </c>
      <c r="AC422" s="336">
        <v>21394.76</v>
      </c>
      <c r="AD422" s="279">
        <v>0</v>
      </c>
      <c r="AE422" s="330">
        <f t="shared" si="98"/>
        <v>20367.811519999999</v>
      </c>
      <c r="AF422" s="330">
        <f t="shared" si="99"/>
        <v>1026.94848</v>
      </c>
      <c r="AG422" s="495">
        <v>0</v>
      </c>
      <c r="AH422" s="336">
        <v>0</v>
      </c>
      <c r="AI422" s="279">
        <v>0</v>
      </c>
      <c r="AJ422" s="330">
        <v>0</v>
      </c>
      <c r="AK422" s="330">
        <v>0</v>
      </c>
      <c r="AL422" s="285"/>
    </row>
    <row r="423" spans="1:38" s="275" customFormat="1" ht="117.6" customHeight="1" outlineLevel="1" x14ac:dyDescent="0.25">
      <c r="A423" s="311" t="s">
        <v>1057</v>
      </c>
      <c r="B423" s="331" t="s">
        <v>1411</v>
      </c>
      <c r="C423" s="330">
        <f t="shared" si="100"/>
        <v>31.53</v>
      </c>
      <c r="D423" s="314">
        <f t="shared" si="97"/>
        <v>69219.11</v>
      </c>
      <c r="E423" s="303">
        <v>0</v>
      </c>
      <c r="F423" s="307">
        <v>0</v>
      </c>
      <c r="G423" s="303">
        <v>0</v>
      </c>
      <c r="H423" s="303">
        <v>0</v>
      </c>
      <c r="I423" s="314">
        <v>0</v>
      </c>
      <c r="J423" s="335">
        <v>0</v>
      </c>
      <c r="K423" s="330">
        <v>0</v>
      </c>
      <c r="L423" s="330">
        <v>0</v>
      </c>
      <c r="M423" s="330">
        <v>0</v>
      </c>
      <c r="N423" s="330">
        <v>0</v>
      </c>
      <c r="O423" s="335">
        <v>0</v>
      </c>
      <c r="P423" s="330">
        <v>0</v>
      </c>
      <c r="Q423" s="330">
        <v>0</v>
      </c>
      <c r="R423" s="330">
        <v>0</v>
      </c>
      <c r="S423" s="330">
        <v>0</v>
      </c>
      <c r="T423" s="332">
        <v>0</v>
      </c>
      <c r="U423" s="330">
        <v>0</v>
      </c>
      <c r="V423" s="330">
        <f t="shared" si="91"/>
        <v>0</v>
      </c>
      <c r="W423" s="330">
        <f t="shared" si="92"/>
        <v>0</v>
      </c>
      <c r="X423" s="495">
        <v>0</v>
      </c>
      <c r="Y423" s="280">
        <v>0</v>
      </c>
      <c r="Z423" s="330">
        <v>0</v>
      </c>
      <c r="AA423" s="330">
        <v>0</v>
      </c>
      <c r="AB423" s="330">
        <v>31.53</v>
      </c>
      <c r="AC423" s="336">
        <v>69219.11</v>
      </c>
      <c r="AD423" s="279">
        <v>0</v>
      </c>
      <c r="AE423" s="330">
        <f t="shared" si="98"/>
        <v>65896.592720000001</v>
      </c>
      <c r="AF423" s="330">
        <f t="shared" si="99"/>
        <v>3322.51728</v>
      </c>
      <c r="AG423" s="495">
        <v>0</v>
      </c>
      <c r="AH423" s="336">
        <v>0</v>
      </c>
      <c r="AI423" s="279">
        <v>0</v>
      </c>
      <c r="AJ423" s="330">
        <v>0</v>
      </c>
      <c r="AK423" s="330">
        <v>0</v>
      </c>
      <c r="AL423" s="285"/>
    </row>
    <row r="424" spans="1:38" s="275" customFormat="1" ht="86.4" customHeight="1" outlineLevel="1" x14ac:dyDescent="0.25">
      <c r="A424" s="311" t="s">
        <v>1059</v>
      </c>
      <c r="B424" s="331" t="s">
        <v>1058</v>
      </c>
      <c r="C424" s="330">
        <f t="shared" si="100"/>
        <v>5.28</v>
      </c>
      <c r="D424" s="314">
        <f t="shared" si="97"/>
        <v>13143.01</v>
      </c>
      <c r="E424" s="303">
        <v>0</v>
      </c>
      <c r="F424" s="307">
        <v>0</v>
      </c>
      <c r="G424" s="303">
        <v>0</v>
      </c>
      <c r="H424" s="303">
        <v>0</v>
      </c>
      <c r="I424" s="314">
        <v>0</v>
      </c>
      <c r="J424" s="335">
        <v>0</v>
      </c>
      <c r="K424" s="330">
        <v>0</v>
      </c>
      <c r="L424" s="330">
        <v>0</v>
      </c>
      <c r="M424" s="330">
        <v>0</v>
      </c>
      <c r="N424" s="330">
        <v>0</v>
      </c>
      <c r="O424" s="335">
        <v>0</v>
      </c>
      <c r="P424" s="330">
        <v>0</v>
      </c>
      <c r="Q424" s="330">
        <v>0</v>
      </c>
      <c r="R424" s="330">
        <v>0</v>
      </c>
      <c r="S424" s="330">
        <v>0</v>
      </c>
      <c r="T424" s="332">
        <v>0</v>
      </c>
      <c r="U424" s="330">
        <v>0</v>
      </c>
      <c r="V424" s="330">
        <f t="shared" si="91"/>
        <v>0</v>
      </c>
      <c r="W424" s="330">
        <f t="shared" si="92"/>
        <v>0</v>
      </c>
      <c r="X424" s="495">
        <v>0</v>
      </c>
      <c r="Y424" s="280">
        <v>0</v>
      </c>
      <c r="Z424" s="330">
        <v>0</v>
      </c>
      <c r="AA424" s="330">
        <v>0</v>
      </c>
      <c r="AB424" s="330">
        <v>5.28</v>
      </c>
      <c r="AC424" s="336">
        <v>13143.01</v>
      </c>
      <c r="AD424" s="279">
        <v>0</v>
      </c>
      <c r="AE424" s="330">
        <f t="shared" si="98"/>
        <v>12512.14552</v>
      </c>
      <c r="AF424" s="330">
        <f t="shared" si="99"/>
        <v>630.86448000000007</v>
      </c>
      <c r="AG424" s="495">
        <v>0</v>
      </c>
      <c r="AH424" s="336">
        <v>0</v>
      </c>
      <c r="AI424" s="279">
        <v>0</v>
      </c>
      <c r="AJ424" s="330">
        <v>0</v>
      </c>
      <c r="AK424" s="330">
        <v>0</v>
      </c>
      <c r="AL424" s="285"/>
    </row>
    <row r="425" spans="1:38" s="275" customFormat="1" ht="53.1" customHeight="1" outlineLevel="1" x14ac:dyDescent="0.25">
      <c r="A425" s="311" t="s">
        <v>1060</v>
      </c>
      <c r="B425" s="331" t="s">
        <v>1412</v>
      </c>
      <c r="C425" s="330">
        <f t="shared" si="100"/>
        <v>5.15</v>
      </c>
      <c r="D425" s="314">
        <f t="shared" si="97"/>
        <v>13127.46</v>
      </c>
      <c r="E425" s="303">
        <v>0</v>
      </c>
      <c r="F425" s="307">
        <v>0</v>
      </c>
      <c r="G425" s="303">
        <v>0</v>
      </c>
      <c r="H425" s="303">
        <v>0</v>
      </c>
      <c r="I425" s="314">
        <v>0</v>
      </c>
      <c r="J425" s="335">
        <v>0</v>
      </c>
      <c r="K425" s="330">
        <v>0</v>
      </c>
      <c r="L425" s="330">
        <v>0</v>
      </c>
      <c r="M425" s="330">
        <v>0</v>
      </c>
      <c r="N425" s="330">
        <v>0</v>
      </c>
      <c r="O425" s="335">
        <v>0</v>
      </c>
      <c r="P425" s="330">
        <v>0</v>
      </c>
      <c r="Q425" s="330">
        <v>0</v>
      </c>
      <c r="R425" s="330">
        <v>0</v>
      </c>
      <c r="S425" s="330">
        <v>0</v>
      </c>
      <c r="T425" s="332">
        <v>0</v>
      </c>
      <c r="U425" s="330">
        <v>0</v>
      </c>
      <c r="V425" s="330">
        <f t="shared" si="91"/>
        <v>0</v>
      </c>
      <c r="W425" s="330">
        <f t="shared" si="92"/>
        <v>0</v>
      </c>
      <c r="X425" s="495">
        <v>0</v>
      </c>
      <c r="Y425" s="280">
        <v>0</v>
      </c>
      <c r="Z425" s="330">
        <v>0</v>
      </c>
      <c r="AA425" s="330">
        <v>0</v>
      </c>
      <c r="AB425" s="330">
        <v>5.15</v>
      </c>
      <c r="AC425" s="336">
        <v>13127.46</v>
      </c>
      <c r="AD425" s="279">
        <v>0</v>
      </c>
      <c r="AE425" s="330">
        <f t="shared" si="98"/>
        <v>12497.341919999999</v>
      </c>
      <c r="AF425" s="330">
        <f t="shared" si="99"/>
        <v>630.11807999999996</v>
      </c>
      <c r="AG425" s="495">
        <v>0</v>
      </c>
      <c r="AH425" s="336">
        <v>0</v>
      </c>
      <c r="AI425" s="279">
        <v>0</v>
      </c>
      <c r="AJ425" s="330">
        <v>0</v>
      </c>
      <c r="AK425" s="330">
        <v>0</v>
      </c>
      <c r="AL425" s="285"/>
    </row>
    <row r="426" spans="1:38" s="275" customFormat="1" ht="47.4" customHeight="1" outlineLevel="1" x14ac:dyDescent="0.25">
      <c r="A426" s="311" t="s">
        <v>1062</v>
      </c>
      <c r="B426" s="331" t="s">
        <v>1061</v>
      </c>
      <c r="C426" s="330">
        <f t="shared" si="100"/>
        <v>10.47</v>
      </c>
      <c r="D426" s="314">
        <f t="shared" si="97"/>
        <v>34238.980000000003</v>
      </c>
      <c r="E426" s="303">
        <v>0</v>
      </c>
      <c r="F426" s="307">
        <v>0</v>
      </c>
      <c r="G426" s="303">
        <v>0</v>
      </c>
      <c r="H426" s="303">
        <v>0</v>
      </c>
      <c r="I426" s="314">
        <v>0</v>
      </c>
      <c r="J426" s="335">
        <v>0</v>
      </c>
      <c r="K426" s="330">
        <v>0</v>
      </c>
      <c r="L426" s="330">
        <v>0</v>
      </c>
      <c r="M426" s="330">
        <v>0</v>
      </c>
      <c r="N426" s="330">
        <v>0</v>
      </c>
      <c r="O426" s="335">
        <v>0</v>
      </c>
      <c r="P426" s="330">
        <v>0</v>
      </c>
      <c r="Q426" s="330">
        <v>0</v>
      </c>
      <c r="R426" s="330">
        <v>0</v>
      </c>
      <c r="S426" s="330">
        <v>0</v>
      </c>
      <c r="T426" s="332">
        <v>0</v>
      </c>
      <c r="U426" s="330">
        <v>0</v>
      </c>
      <c r="V426" s="330">
        <f t="shared" si="91"/>
        <v>0</v>
      </c>
      <c r="W426" s="330">
        <f t="shared" si="92"/>
        <v>0</v>
      </c>
      <c r="X426" s="495">
        <v>0</v>
      </c>
      <c r="Y426" s="280">
        <v>0</v>
      </c>
      <c r="Z426" s="330">
        <v>0</v>
      </c>
      <c r="AA426" s="330">
        <v>0</v>
      </c>
      <c r="AB426" s="330">
        <v>10.47</v>
      </c>
      <c r="AC426" s="336">
        <v>34238.980000000003</v>
      </c>
      <c r="AD426" s="279">
        <v>0</v>
      </c>
      <c r="AE426" s="330">
        <f t="shared" si="98"/>
        <v>32595.508960000003</v>
      </c>
      <c r="AF426" s="330">
        <f t="shared" si="99"/>
        <v>1643.4710400000001</v>
      </c>
      <c r="AG426" s="495">
        <v>0</v>
      </c>
      <c r="AH426" s="336">
        <v>0</v>
      </c>
      <c r="AI426" s="279">
        <v>0</v>
      </c>
      <c r="AJ426" s="330">
        <v>0</v>
      </c>
      <c r="AK426" s="330">
        <v>0</v>
      </c>
      <c r="AL426" s="285"/>
    </row>
    <row r="427" spans="1:38" s="275" customFormat="1" ht="59.4" customHeight="1" outlineLevel="1" x14ac:dyDescent="0.25">
      <c r="A427" s="311" t="s">
        <v>1063</v>
      </c>
      <c r="B427" s="331" t="s">
        <v>1413</v>
      </c>
      <c r="C427" s="330">
        <f t="shared" si="100"/>
        <v>41.32</v>
      </c>
      <c r="D427" s="314">
        <f t="shared" si="97"/>
        <v>97035.72</v>
      </c>
      <c r="E427" s="303">
        <v>0</v>
      </c>
      <c r="F427" s="307">
        <v>0</v>
      </c>
      <c r="G427" s="303">
        <v>0</v>
      </c>
      <c r="H427" s="303">
        <v>0</v>
      </c>
      <c r="I427" s="314">
        <v>0</v>
      </c>
      <c r="J427" s="335">
        <v>0</v>
      </c>
      <c r="K427" s="330">
        <v>0</v>
      </c>
      <c r="L427" s="330">
        <v>0</v>
      </c>
      <c r="M427" s="330">
        <v>0</v>
      </c>
      <c r="N427" s="330">
        <v>0</v>
      </c>
      <c r="O427" s="335">
        <v>0</v>
      </c>
      <c r="P427" s="330">
        <v>0</v>
      </c>
      <c r="Q427" s="330">
        <v>0</v>
      </c>
      <c r="R427" s="330">
        <v>0</v>
      </c>
      <c r="S427" s="330">
        <v>0</v>
      </c>
      <c r="T427" s="332">
        <v>0</v>
      </c>
      <c r="U427" s="330">
        <v>0</v>
      </c>
      <c r="V427" s="330">
        <f t="shared" si="91"/>
        <v>0</v>
      </c>
      <c r="W427" s="330">
        <f t="shared" si="92"/>
        <v>0</v>
      </c>
      <c r="X427" s="495">
        <v>0</v>
      </c>
      <c r="Y427" s="280">
        <v>0</v>
      </c>
      <c r="Z427" s="330">
        <v>0</v>
      </c>
      <c r="AA427" s="330">
        <v>0</v>
      </c>
      <c r="AB427" s="330">
        <v>41.32</v>
      </c>
      <c r="AC427" s="336">
        <v>97035.72</v>
      </c>
      <c r="AD427" s="279">
        <v>0</v>
      </c>
      <c r="AE427" s="330">
        <f t="shared" si="98"/>
        <v>92378.005439999994</v>
      </c>
      <c r="AF427" s="330">
        <f t="shared" si="99"/>
        <v>4657.7145600000003</v>
      </c>
      <c r="AG427" s="495">
        <v>0</v>
      </c>
      <c r="AH427" s="336">
        <v>0</v>
      </c>
      <c r="AI427" s="279">
        <v>0</v>
      </c>
      <c r="AJ427" s="330">
        <v>0</v>
      </c>
      <c r="AK427" s="330">
        <v>0</v>
      </c>
      <c r="AL427" s="285"/>
    </row>
    <row r="428" spans="1:38" s="275" customFormat="1" ht="87.6" customHeight="1" outlineLevel="1" x14ac:dyDescent="0.25">
      <c r="A428" s="311" t="s">
        <v>1064</v>
      </c>
      <c r="B428" s="331" t="s">
        <v>1414</v>
      </c>
      <c r="C428" s="330">
        <f t="shared" si="100"/>
        <v>14.5</v>
      </c>
      <c r="D428" s="314">
        <f t="shared" si="97"/>
        <v>31568.13</v>
      </c>
      <c r="E428" s="303">
        <v>0</v>
      </c>
      <c r="F428" s="307">
        <v>0</v>
      </c>
      <c r="G428" s="303">
        <v>0</v>
      </c>
      <c r="H428" s="303">
        <v>0</v>
      </c>
      <c r="I428" s="314">
        <v>0</v>
      </c>
      <c r="J428" s="335">
        <v>0</v>
      </c>
      <c r="K428" s="330">
        <v>0</v>
      </c>
      <c r="L428" s="330">
        <v>0</v>
      </c>
      <c r="M428" s="330">
        <v>0</v>
      </c>
      <c r="N428" s="330">
        <v>0</v>
      </c>
      <c r="O428" s="335">
        <v>0</v>
      </c>
      <c r="P428" s="330">
        <v>0</v>
      </c>
      <c r="Q428" s="330">
        <v>0</v>
      </c>
      <c r="R428" s="330">
        <v>0</v>
      </c>
      <c r="S428" s="330">
        <v>0</v>
      </c>
      <c r="T428" s="332">
        <v>0</v>
      </c>
      <c r="U428" s="330">
        <v>0</v>
      </c>
      <c r="V428" s="330">
        <f t="shared" si="91"/>
        <v>0</v>
      </c>
      <c r="W428" s="330">
        <f t="shared" si="92"/>
        <v>0</v>
      </c>
      <c r="X428" s="495">
        <v>0</v>
      </c>
      <c r="Y428" s="280">
        <v>0</v>
      </c>
      <c r="Z428" s="330">
        <v>0</v>
      </c>
      <c r="AA428" s="330">
        <v>0</v>
      </c>
      <c r="AB428" s="330">
        <v>14.5</v>
      </c>
      <c r="AC428" s="336">
        <v>31568.13</v>
      </c>
      <c r="AD428" s="279">
        <v>0</v>
      </c>
      <c r="AE428" s="330">
        <f t="shared" si="98"/>
        <v>30052.859759999999</v>
      </c>
      <c r="AF428" s="330">
        <f t="shared" si="99"/>
        <v>1515.2702400000001</v>
      </c>
      <c r="AG428" s="495">
        <v>0</v>
      </c>
      <c r="AH428" s="336">
        <v>0</v>
      </c>
      <c r="AI428" s="279">
        <v>0</v>
      </c>
      <c r="AJ428" s="330">
        <v>0</v>
      </c>
      <c r="AK428" s="330">
        <v>0</v>
      </c>
      <c r="AL428" s="285"/>
    </row>
    <row r="429" spans="1:38" s="275" customFormat="1" ht="74.400000000000006" customHeight="1" outlineLevel="1" x14ac:dyDescent="0.25">
      <c r="A429" s="311" t="s">
        <v>1066</v>
      </c>
      <c r="B429" s="331" t="s">
        <v>1065</v>
      </c>
      <c r="C429" s="330">
        <f t="shared" si="100"/>
        <v>47.63</v>
      </c>
      <c r="D429" s="314">
        <f t="shared" si="97"/>
        <v>107056.85</v>
      </c>
      <c r="E429" s="303">
        <v>0</v>
      </c>
      <c r="F429" s="307">
        <v>0</v>
      </c>
      <c r="G429" s="303">
        <v>0</v>
      </c>
      <c r="H429" s="303">
        <v>0</v>
      </c>
      <c r="I429" s="314">
        <v>0</v>
      </c>
      <c r="J429" s="335">
        <v>0</v>
      </c>
      <c r="K429" s="330">
        <v>0</v>
      </c>
      <c r="L429" s="330">
        <v>0</v>
      </c>
      <c r="M429" s="330">
        <v>0</v>
      </c>
      <c r="N429" s="330">
        <v>0</v>
      </c>
      <c r="O429" s="335">
        <v>0</v>
      </c>
      <c r="P429" s="330">
        <v>0</v>
      </c>
      <c r="Q429" s="330">
        <v>0</v>
      </c>
      <c r="R429" s="330">
        <v>0</v>
      </c>
      <c r="S429" s="330">
        <v>0</v>
      </c>
      <c r="T429" s="332">
        <v>0</v>
      </c>
      <c r="U429" s="330">
        <v>0</v>
      </c>
      <c r="V429" s="330">
        <f t="shared" si="91"/>
        <v>0</v>
      </c>
      <c r="W429" s="330">
        <f t="shared" si="92"/>
        <v>0</v>
      </c>
      <c r="X429" s="495">
        <v>0</v>
      </c>
      <c r="Y429" s="280">
        <v>0</v>
      </c>
      <c r="Z429" s="330">
        <v>0</v>
      </c>
      <c r="AA429" s="330">
        <v>0</v>
      </c>
      <c r="AB429" s="330">
        <v>47.63</v>
      </c>
      <c r="AC429" s="336">
        <v>107056.85</v>
      </c>
      <c r="AD429" s="279">
        <v>0</v>
      </c>
      <c r="AE429" s="330">
        <f t="shared" si="98"/>
        <v>101918.12119999999</v>
      </c>
      <c r="AF429" s="330">
        <f t="shared" si="99"/>
        <v>5138.7288000000008</v>
      </c>
      <c r="AG429" s="495">
        <v>0</v>
      </c>
      <c r="AH429" s="336">
        <v>0</v>
      </c>
      <c r="AI429" s="279">
        <v>0</v>
      </c>
      <c r="AJ429" s="330">
        <v>0</v>
      </c>
      <c r="AK429" s="330">
        <v>0</v>
      </c>
      <c r="AL429" s="285"/>
    </row>
    <row r="430" spans="1:38" s="275" customFormat="1" ht="52.95" customHeight="1" outlineLevel="1" x14ac:dyDescent="0.25">
      <c r="A430" s="311" t="s">
        <v>1068</v>
      </c>
      <c r="B430" s="331" t="s">
        <v>1067</v>
      </c>
      <c r="C430" s="330">
        <f t="shared" si="100"/>
        <v>1.7629999999999999</v>
      </c>
      <c r="D430" s="314">
        <f t="shared" si="97"/>
        <v>5606.34</v>
      </c>
      <c r="E430" s="303">
        <v>0</v>
      </c>
      <c r="F430" s="307">
        <v>0</v>
      </c>
      <c r="G430" s="303">
        <v>0</v>
      </c>
      <c r="H430" s="303">
        <v>0</v>
      </c>
      <c r="I430" s="314">
        <v>0</v>
      </c>
      <c r="J430" s="335">
        <v>0</v>
      </c>
      <c r="K430" s="330">
        <v>0</v>
      </c>
      <c r="L430" s="330">
        <v>0</v>
      </c>
      <c r="M430" s="330">
        <v>0</v>
      </c>
      <c r="N430" s="330">
        <v>0</v>
      </c>
      <c r="O430" s="335">
        <v>0</v>
      </c>
      <c r="P430" s="330">
        <v>0</v>
      </c>
      <c r="Q430" s="330">
        <v>0</v>
      </c>
      <c r="R430" s="330">
        <v>0</v>
      </c>
      <c r="S430" s="330">
        <v>0</v>
      </c>
      <c r="T430" s="332">
        <v>0</v>
      </c>
      <c r="U430" s="330">
        <v>0</v>
      </c>
      <c r="V430" s="330">
        <v>0</v>
      </c>
      <c r="W430" s="330">
        <v>0</v>
      </c>
      <c r="X430" s="495">
        <v>0</v>
      </c>
      <c r="Y430" s="280">
        <v>0</v>
      </c>
      <c r="Z430" s="330">
        <v>0</v>
      </c>
      <c r="AA430" s="330">
        <v>0</v>
      </c>
      <c r="AB430" s="330">
        <v>1.7629999999999999</v>
      </c>
      <c r="AC430" s="336">
        <v>5606.34</v>
      </c>
      <c r="AD430" s="279">
        <v>0</v>
      </c>
      <c r="AE430" s="330">
        <f t="shared" si="98"/>
        <v>5337.2356799999998</v>
      </c>
      <c r="AF430" s="330">
        <f t="shared" si="99"/>
        <v>269.10432000000003</v>
      </c>
      <c r="AG430" s="495">
        <v>0</v>
      </c>
      <c r="AH430" s="336">
        <v>0</v>
      </c>
      <c r="AI430" s="279">
        <v>0</v>
      </c>
      <c r="AJ430" s="330">
        <v>0</v>
      </c>
      <c r="AK430" s="330">
        <v>0</v>
      </c>
      <c r="AL430" s="285"/>
    </row>
    <row r="431" spans="1:38" s="275" customFormat="1" ht="76.95" customHeight="1" outlineLevel="1" x14ac:dyDescent="0.25">
      <c r="A431" s="311" t="s">
        <v>1070</v>
      </c>
      <c r="B431" s="331" t="s">
        <v>1069</v>
      </c>
      <c r="C431" s="330">
        <f t="shared" si="100"/>
        <v>2.6579999999999999</v>
      </c>
      <c r="D431" s="314">
        <f t="shared" si="97"/>
        <v>6371.21</v>
      </c>
      <c r="E431" s="303">
        <v>0</v>
      </c>
      <c r="F431" s="307">
        <v>0</v>
      </c>
      <c r="G431" s="303">
        <v>0</v>
      </c>
      <c r="H431" s="303">
        <v>0</v>
      </c>
      <c r="I431" s="314">
        <v>0</v>
      </c>
      <c r="J431" s="335">
        <v>0</v>
      </c>
      <c r="K431" s="330">
        <v>0</v>
      </c>
      <c r="L431" s="330">
        <v>0</v>
      </c>
      <c r="M431" s="330">
        <v>0</v>
      </c>
      <c r="N431" s="330">
        <v>0</v>
      </c>
      <c r="O431" s="335">
        <v>0</v>
      </c>
      <c r="P431" s="330">
        <v>0</v>
      </c>
      <c r="Q431" s="330">
        <v>0</v>
      </c>
      <c r="R431" s="330">
        <v>0</v>
      </c>
      <c r="S431" s="330">
        <v>0</v>
      </c>
      <c r="T431" s="332">
        <v>0</v>
      </c>
      <c r="U431" s="330">
        <v>0</v>
      </c>
      <c r="V431" s="330">
        <v>0</v>
      </c>
      <c r="W431" s="330">
        <v>0</v>
      </c>
      <c r="X431" s="495">
        <v>0</v>
      </c>
      <c r="Y431" s="280">
        <v>0</v>
      </c>
      <c r="Z431" s="330">
        <v>0</v>
      </c>
      <c r="AA431" s="330">
        <v>0</v>
      </c>
      <c r="AB431" s="330">
        <v>2.6579999999999999</v>
      </c>
      <c r="AC431" s="336">
        <v>6371.21</v>
      </c>
      <c r="AD431" s="279">
        <v>0</v>
      </c>
      <c r="AE431" s="330">
        <f t="shared" si="98"/>
        <v>6065.39192</v>
      </c>
      <c r="AF431" s="330">
        <f t="shared" si="99"/>
        <v>305.81808000000001</v>
      </c>
      <c r="AG431" s="495">
        <v>0</v>
      </c>
      <c r="AH431" s="336">
        <v>0</v>
      </c>
      <c r="AI431" s="279">
        <v>0</v>
      </c>
      <c r="AJ431" s="330">
        <v>0</v>
      </c>
      <c r="AK431" s="330">
        <v>0</v>
      </c>
      <c r="AL431" s="285"/>
    </row>
    <row r="432" spans="1:38" s="275" customFormat="1" ht="66.599999999999994" customHeight="1" outlineLevel="1" x14ac:dyDescent="0.25">
      <c r="A432" s="311" t="s">
        <v>1072</v>
      </c>
      <c r="B432" s="331" t="s">
        <v>1071</v>
      </c>
      <c r="C432" s="330">
        <f t="shared" si="100"/>
        <v>6.03</v>
      </c>
      <c r="D432" s="314">
        <f t="shared" si="97"/>
        <v>16930.990000000002</v>
      </c>
      <c r="E432" s="303">
        <v>0</v>
      </c>
      <c r="F432" s="307">
        <v>0</v>
      </c>
      <c r="G432" s="303">
        <v>0</v>
      </c>
      <c r="H432" s="303">
        <v>0</v>
      </c>
      <c r="I432" s="314">
        <v>0</v>
      </c>
      <c r="J432" s="335">
        <v>0</v>
      </c>
      <c r="K432" s="330">
        <v>0</v>
      </c>
      <c r="L432" s="330">
        <v>0</v>
      </c>
      <c r="M432" s="330">
        <v>0</v>
      </c>
      <c r="N432" s="330">
        <v>0</v>
      </c>
      <c r="O432" s="335">
        <v>0</v>
      </c>
      <c r="P432" s="330">
        <v>0</v>
      </c>
      <c r="Q432" s="330">
        <v>0</v>
      </c>
      <c r="R432" s="330">
        <v>0</v>
      </c>
      <c r="S432" s="330">
        <v>0</v>
      </c>
      <c r="T432" s="332">
        <v>0</v>
      </c>
      <c r="U432" s="330">
        <v>0</v>
      </c>
      <c r="V432" s="330">
        <v>0</v>
      </c>
      <c r="W432" s="330">
        <v>0</v>
      </c>
      <c r="X432" s="495">
        <v>0</v>
      </c>
      <c r="Y432" s="280">
        <v>0</v>
      </c>
      <c r="Z432" s="330">
        <v>0</v>
      </c>
      <c r="AA432" s="330">
        <v>0</v>
      </c>
      <c r="AB432" s="330">
        <v>6.03</v>
      </c>
      <c r="AC432" s="336">
        <v>16930.990000000002</v>
      </c>
      <c r="AD432" s="279">
        <v>0</v>
      </c>
      <c r="AE432" s="330">
        <f t="shared" si="98"/>
        <v>16118.30248</v>
      </c>
      <c r="AF432" s="330">
        <f t="shared" si="99"/>
        <v>812.68752000000006</v>
      </c>
      <c r="AG432" s="495">
        <v>0</v>
      </c>
      <c r="AH432" s="336">
        <v>0</v>
      </c>
      <c r="AI432" s="279">
        <v>0</v>
      </c>
      <c r="AJ432" s="330">
        <v>0</v>
      </c>
      <c r="AK432" s="330">
        <v>0</v>
      </c>
      <c r="AL432" s="285"/>
    </row>
    <row r="433" spans="1:38" s="275" customFormat="1" ht="63" customHeight="1" outlineLevel="1" x14ac:dyDescent="0.25">
      <c r="A433" s="311" t="s">
        <v>1074</v>
      </c>
      <c r="B433" s="331" t="s">
        <v>1073</v>
      </c>
      <c r="C433" s="330">
        <f t="shared" si="100"/>
        <v>32.652999999999999</v>
      </c>
      <c r="D433" s="314">
        <f t="shared" si="97"/>
        <v>83602.679999999993</v>
      </c>
      <c r="E433" s="303">
        <v>0</v>
      </c>
      <c r="F433" s="307">
        <v>0</v>
      </c>
      <c r="G433" s="303">
        <v>0</v>
      </c>
      <c r="H433" s="303">
        <v>0</v>
      </c>
      <c r="I433" s="314">
        <v>0</v>
      </c>
      <c r="J433" s="335">
        <v>0</v>
      </c>
      <c r="K433" s="330">
        <v>0</v>
      </c>
      <c r="L433" s="330">
        <v>0</v>
      </c>
      <c r="M433" s="330">
        <v>0</v>
      </c>
      <c r="N433" s="330">
        <v>0</v>
      </c>
      <c r="O433" s="335">
        <v>0</v>
      </c>
      <c r="P433" s="330">
        <v>0</v>
      </c>
      <c r="Q433" s="330">
        <v>0</v>
      </c>
      <c r="R433" s="330">
        <v>0</v>
      </c>
      <c r="S433" s="330">
        <v>0</v>
      </c>
      <c r="T433" s="332">
        <v>0</v>
      </c>
      <c r="U433" s="330">
        <v>0</v>
      </c>
      <c r="V433" s="330">
        <v>0</v>
      </c>
      <c r="W433" s="330">
        <v>0</v>
      </c>
      <c r="X433" s="495">
        <v>0</v>
      </c>
      <c r="Y433" s="280">
        <v>0</v>
      </c>
      <c r="Z433" s="330">
        <v>0</v>
      </c>
      <c r="AA433" s="330">
        <v>0</v>
      </c>
      <c r="AB433" s="330">
        <v>32.652999999999999</v>
      </c>
      <c r="AC433" s="336">
        <v>83602.679999999993</v>
      </c>
      <c r="AD433" s="279">
        <v>0</v>
      </c>
      <c r="AE433" s="330">
        <f t="shared" si="98"/>
        <v>79589.751359999995</v>
      </c>
      <c r="AF433" s="330">
        <f t="shared" si="99"/>
        <v>4012.9286399999996</v>
      </c>
      <c r="AG433" s="495">
        <v>0</v>
      </c>
      <c r="AH433" s="336">
        <v>0</v>
      </c>
      <c r="AI433" s="279">
        <v>0</v>
      </c>
      <c r="AJ433" s="330">
        <v>0</v>
      </c>
      <c r="AK433" s="330">
        <v>0</v>
      </c>
      <c r="AL433" s="285"/>
    </row>
    <row r="434" spans="1:38" s="275" customFormat="1" ht="131.4" customHeight="1" outlineLevel="1" x14ac:dyDescent="0.25">
      <c r="A434" s="311" t="s">
        <v>1075</v>
      </c>
      <c r="B434" s="331" t="s">
        <v>1415</v>
      </c>
      <c r="C434" s="330">
        <f t="shared" si="100"/>
        <v>22.260999999999999</v>
      </c>
      <c r="D434" s="314">
        <f t="shared" si="97"/>
        <v>44928.52</v>
      </c>
      <c r="E434" s="303">
        <v>0</v>
      </c>
      <c r="F434" s="307">
        <v>0</v>
      </c>
      <c r="G434" s="303">
        <v>0</v>
      </c>
      <c r="H434" s="303">
        <v>0</v>
      </c>
      <c r="I434" s="314">
        <v>0</v>
      </c>
      <c r="J434" s="335">
        <v>0</v>
      </c>
      <c r="K434" s="330">
        <v>0</v>
      </c>
      <c r="L434" s="330">
        <v>0</v>
      </c>
      <c r="M434" s="330">
        <v>0</v>
      </c>
      <c r="N434" s="330">
        <v>0</v>
      </c>
      <c r="O434" s="335">
        <v>0</v>
      </c>
      <c r="P434" s="330">
        <v>0</v>
      </c>
      <c r="Q434" s="330">
        <v>0</v>
      </c>
      <c r="R434" s="330">
        <v>0</v>
      </c>
      <c r="S434" s="330">
        <v>0</v>
      </c>
      <c r="T434" s="332">
        <v>0</v>
      </c>
      <c r="U434" s="330">
        <v>0</v>
      </c>
      <c r="V434" s="330">
        <v>0</v>
      </c>
      <c r="W434" s="330">
        <v>0</v>
      </c>
      <c r="X434" s="495">
        <v>0</v>
      </c>
      <c r="Y434" s="280">
        <v>0</v>
      </c>
      <c r="Z434" s="330">
        <v>0</v>
      </c>
      <c r="AA434" s="330">
        <v>0</v>
      </c>
      <c r="AB434" s="330">
        <v>22.260999999999999</v>
      </c>
      <c r="AC434" s="336">
        <v>44928.52</v>
      </c>
      <c r="AD434" s="279">
        <v>0</v>
      </c>
      <c r="AE434" s="330">
        <f t="shared" si="98"/>
        <v>42771.951039999993</v>
      </c>
      <c r="AF434" s="330">
        <f t="shared" si="99"/>
        <v>2156.5689600000001</v>
      </c>
      <c r="AG434" s="495">
        <v>0</v>
      </c>
      <c r="AH434" s="336">
        <v>0</v>
      </c>
      <c r="AI434" s="279">
        <v>0</v>
      </c>
      <c r="AJ434" s="330">
        <v>0</v>
      </c>
      <c r="AK434" s="330">
        <v>0</v>
      </c>
      <c r="AL434" s="285"/>
    </row>
    <row r="435" spans="1:38" s="275" customFormat="1" ht="118.95" customHeight="1" outlineLevel="1" x14ac:dyDescent="0.25">
      <c r="A435" s="311" t="s">
        <v>1077</v>
      </c>
      <c r="B435" s="331" t="s">
        <v>1076</v>
      </c>
      <c r="C435" s="330">
        <f t="shared" si="100"/>
        <v>0</v>
      </c>
      <c r="D435" s="314">
        <f t="shared" si="97"/>
        <v>15625.78</v>
      </c>
      <c r="E435" s="303">
        <v>0</v>
      </c>
      <c r="F435" s="307">
        <v>0</v>
      </c>
      <c r="G435" s="303">
        <v>0</v>
      </c>
      <c r="H435" s="303">
        <v>0</v>
      </c>
      <c r="I435" s="314">
        <v>0</v>
      </c>
      <c r="J435" s="335">
        <v>0</v>
      </c>
      <c r="K435" s="330">
        <v>0</v>
      </c>
      <c r="L435" s="330">
        <v>0</v>
      </c>
      <c r="M435" s="330">
        <v>0</v>
      </c>
      <c r="N435" s="330">
        <v>0</v>
      </c>
      <c r="O435" s="335">
        <v>0</v>
      </c>
      <c r="P435" s="330">
        <v>0</v>
      </c>
      <c r="Q435" s="330">
        <v>0</v>
      </c>
      <c r="R435" s="330">
        <v>0</v>
      </c>
      <c r="S435" s="330">
        <v>0</v>
      </c>
      <c r="T435" s="332">
        <v>0</v>
      </c>
      <c r="U435" s="330">
        <v>0</v>
      </c>
      <c r="V435" s="330">
        <v>0</v>
      </c>
      <c r="W435" s="330">
        <v>0</v>
      </c>
      <c r="X435" s="495">
        <v>0</v>
      </c>
      <c r="Y435" s="280">
        <v>0</v>
      </c>
      <c r="Z435" s="330">
        <v>0</v>
      </c>
      <c r="AA435" s="330">
        <v>0</v>
      </c>
      <c r="AB435" s="330"/>
      <c r="AC435" s="336">
        <v>15625.78</v>
      </c>
      <c r="AD435" s="279">
        <v>0</v>
      </c>
      <c r="AE435" s="330">
        <f t="shared" si="98"/>
        <v>14875.742560000001</v>
      </c>
      <c r="AF435" s="330">
        <f t="shared" si="99"/>
        <v>750.03744000000006</v>
      </c>
      <c r="AG435" s="495">
        <v>0</v>
      </c>
      <c r="AH435" s="336">
        <v>0</v>
      </c>
      <c r="AI435" s="279">
        <v>0</v>
      </c>
      <c r="AJ435" s="330">
        <v>0</v>
      </c>
      <c r="AK435" s="330">
        <v>0</v>
      </c>
      <c r="AL435" s="285"/>
    </row>
    <row r="436" spans="1:38" s="275" customFormat="1" ht="154.94999999999999" customHeight="1" outlineLevel="1" x14ac:dyDescent="0.25">
      <c r="A436" s="311" t="s">
        <v>1079</v>
      </c>
      <c r="B436" s="331" t="s">
        <v>1078</v>
      </c>
      <c r="C436" s="330">
        <f t="shared" si="100"/>
        <v>0</v>
      </c>
      <c r="D436" s="314">
        <f t="shared" si="97"/>
        <v>8889.69</v>
      </c>
      <c r="E436" s="303">
        <v>0</v>
      </c>
      <c r="F436" s="307">
        <v>0</v>
      </c>
      <c r="G436" s="303">
        <v>0</v>
      </c>
      <c r="H436" s="303">
        <v>0</v>
      </c>
      <c r="I436" s="314">
        <v>0</v>
      </c>
      <c r="J436" s="335">
        <v>0</v>
      </c>
      <c r="K436" s="330">
        <v>0</v>
      </c>
      <c r="L436" s="330">
        <v>0</v>
      </c>
      <c r="M436" s="330">
        <v>0</v>
      </c>
      <c r="N436" s="330">
        <v>0</v>
      </c>
      <c r="O436" s="335">
        <v>0</v>
      </c>
      <c r="P436" s="330">
        <v>0</v>
      </c>
      <c r="Q436" s="330">
        <v>0</v>
      </c>
      <c r="R436" s="330">
        <v>0</v>
      </c>
      <c r="S436" s="330">
        <v>0</v>
      </c>
      <c r="T436" s="332">
        <v>0</v>
      </c>
      <c r="U436" s="330">
        <v>0</v>
      </c>
      <c r="V436" s="330">
        <v>0</v>
      </c>
      <c r="W436" s="330">
        <v>0</v>
      </c>
      <c r="X436" s="495">
        <v>0</v>
      </c>
      <c r="Y436" s="280">
        <v>0</v>
      </c>
      <c r="Z436" s="330">
        <v>0</v>
      </c>
      <c r="AA436" s="330">
        <v>0</v>
      </c>
      <c r="AB436" s="330"/>
      <c r="AC436" s="336">
        <v>8889.69</v>
      </c>
      <c r="AD436" s="279">
        <v>0</v>
      </c>
      <c r="AE436" s="330">
        <f t="shared" si="98"/>
        <v>8462.98488</v>
      </c>
      <c r="AF436" s="330">
        <f t="shared" si="99"/>
        <v>426.70512000000002</v>
      </c>
      <c r="AG436" s="495">
        <v>0</v>
      </c>
      <c r="AH436" s="336">
        <v>0</v>
      </c>
      <c r="AI436" s="279">
        <v>0</v>
      </c>
      <c r="AJ436" s="330">
        <v>0</v>
      </c>
      <c r="AK436" s="330">
        <v>0</v>
      </c>
      <c r="AL436" s="285"/>
    </row>
    <row r="437" spans="1:38" s="275" customFormat="1" ht="131.4" customHeight="1" outlineLevel="1" x14ac:dyDescent="0.25">
      <c r="A437" s="311" t="s">
        <v>1080</v>
      </c>
      <c r="B437" s="331" t="s">
        <v>1416</v>
      </c>
      <c r="C437" s="330">
        <f t="shared" si="100"/>
        <v>0</v>
      </c>
      <c r="D437" s="314">
        <f t="shared" si="97"/>
        <v>2866.45</v>
      </c>
      <c r="E437" s="303">
        <v>0</v>
      </c>
      <c r="F437" s="307">
        <v>0</v>
      </c>
      <c r="G437" s="303">
        <v>0</v>
      </c>
      <c r="H437" s="303">
        <v>0</v>
      </c>
      <c r="I437" s="314">
        <v>0</v>
      </c>
      <c r="J437" s="335">
        <v>0</v>
      </c>
      <c r="K437" s="330">
        <v>0</v>
      </c>
      <c r="L437" s="330">
        <v>0</v>
      </c>
      <c r="M437" s="330">
        <v>0</v>
      </c>
      <c r="N437" s="330">
        <v>0</v>
      </c>
      <c r="O437" s="335">
        <v>0</v>
      </c>
      <c r="P437" s="330">
        <v>0</v>
      </c>
      <c r="Q437" s="330">
        <v>0</v>
      </c>
      <c r="R437" s="330">
        <v>0</v>
      </c>
      <c r="S437" s="330">
        <v>0</v>
      </c>
      <c r="T437" s="332">
        <v>0</v>
      </c>
      <c r="U437" s="330">
        <v>0</v>
      </c>
      <c r="V437" s="330">
        <v>0</v>
      </c>
      <c r="W437" s="330">
        <v>0</v>
      </c>
      <c r="X437" s="495">
        <v>0</v>
      </c>
      <c r="Y437" s="280">
        <v>0</v>
      </c>
      <c r="Z437" s="330">
        <v>0</v>
      </c>
      <c r="AA437" s="330">
        <v>0</v>
      </c>
      <c r="AB437" s="330"/>
      <c r="AC437" s="336">
        <v>2866.45</v>
      </c>
      <c r="AD437" s="279">
        <v>0</v>
      </c>
      <c r="AE437" s="330">
        <f t="shared" si="98"/>
        <v>2728.8603999999996</v>
      </c>
      <c r="AF437" s="330">
        <f t="shared" si="99"/>
        <v>137.58959999999999</v>
      </c>
      <c r="AG437" s="495">
        <v>0</v>
      </c>
      <c r="AH437" s="336">
        <v>0</v>
      </c>
      <c r="AI437" s="279">
        <v>0</v>
      </c>
      <c r="AJ437" s="330">
        <v>0</v>
      </c>
      <c r="AK437" s="330">
        <v>0</v>
      </c>
      <c r="AL437" s="285"/>
    </row>
    <row r="438" spans="1:38" s="275" customFormat="1" ht="134.4" customHeight="1" outlineLevel="1" x14ac:dyDescent="0.25">
      <c r="A438" s="311" t="s">
        <v>1082</v>
      </c>
      <c r="B438" s="331" t="s">
        <v>1081</v>
      </c>
      <c r="C438" s="330">
        <f t="shared" si="100"/>
        <v>0</v>
      </c>
      <c r="D438" s="314">
        <f t="shared" si="97"/>
        <v>6981.48</v>
      </c>
      <c r="E438" s="303">
        <v>0</v>
      </c>
      <c r="F438" s="307">
        <v>0</v>
      </c>
      <c r="G438" s="303">
        <v>0</v>
      </c>
      <c r="H438" s="303">
        <v>0</v>
      </c>
      <c r="I438" s="314">
        <v>0</v>
      </c>
      <c r="J438" s="335">
        <v>0</v>
      </c>
      <c r="K438" s="330">
        <v>0</v>
      </c>
      <c r="L438" s="330">
        <v>0</v>
      </c>
      <c r="M438" s="330">
        <v>0</v>
      </c>
      <c r="N438" s="330">
        <v>0</v>
      </c>
      <c r="O438" s="335">
        <v>0</v>
      </c>
      <c r="P438" s="330">
        <v>0</v>
      </c>
      <c r="Q438" s="330">
        <v>0</v>
      </c>
      <c r="R438" s="330">
        <v>0</v>
      </c>
      <c r="S438" s="330">
        <v>0</v>
      </c>
      <c r="T438" s="332">
        <v>0</v>
      </c>
      <c r="U438" s="330">
        <v>0</v>
      </c>
      <c r="V438" s="330">
        <v>0</v>
      </c>
      <c r="W438" s="330">
        <v>0</v>
      </c>
      <c r="X438" s="495">
        <v>0</v>
      </c>
      <c r="Y438" s="280">
        <v>0</v>
      </c>
      <c r="Z438" s="330">
        <v>0</v>
      </c>
      <c r="AA438" s="330">
        <v>0</v>
      </c>
      <c r="AB438" s="330"/>
      <c r="AC438" s="336">
        <v>6981.48</v>
      </c>
      <c r="AD438" s="279">
        <v>0</v>
      </c>
      <c r="AE438" s="330">
        <f t="shared" si="98"/>
        <v>6646.3689599999989</v>
      </c>
      <c r="AF438" s="330">
        <f t="shared" si="99"/>
        <v>335.11104</v>
      </c>
      <c r="AG438" s="495">
        <v>0</v>
      </c>
      <c r="AH438" s="336">
        <v>0</v>
      </c>
      <c r="AI438" s="279">
        <v>0</v>
      </c>
      <c r="AJ438" s="330">
        <v>0</v>
      </c>
      <c r="AK438" s="330">
        <v>0</v>
      </c>
      <c r="AL438" s="285"/>
    </row>
    <row r="439" spans="1:38" s="275" customFormat="1" ht="87" customHeight="1" outlineLevel="1" x14ac:dyDescent="0.25">
      <c r="A439" s="311" t="s">
        <v>1083</v>
      </c>
      <c r="B439" s="331" t="s">
        <v>1417</v>
      </c>
      <c r="C439" s="330">
        <f t="shared" si="100"/>
        <v>0</v>
      </c>
      <c r="D439" s="314">
        <f t="shared" si="97"/>
        <v>948.37</v>
      </c>
      <c r="E439" s="303">
        <v>0</v>
      </c>
      <c r="F439" s="307">
        <v>0</v>
      </c>
      <c r="G439" s="303">
        <v>0</v>
      </c>
      <c r="H439" s="303">
        <v>0</v>
      </c>
      <c r="I439" s="314">
        <v>0</v>
      </c>
      <c r="J439" s="335">
        <v>0</v>
      </c>
      <c r="K439" s="330">
        <v>0</v>
      </c>
      <c r="L439" s="330">
        <v>0</v>
      </c>
      <c r="M439" s="330">
        <v>0</v>
      </c>
      <c r="N439" s="330">
        <v>0</v>
      </c>
      <c r="O439" s="335">
        <v>0</v>
      </c>
      <c r="P439" s="330">
        <v>0</v>
      </c>
      <c r="Q439" s="330">
        <v>0</v>
      </c>
      <c r="R439" s="330">
        <v>0</v>
      </c>
      <c r="S439" s="330">
        <v>0</v>
      </c>
      <c r="T439" s="332">
        <v>0</v>
      </c>
      <c r="U439" s="330">
        <v>0</v>
      </c>
      <c r="V439" s="330">
        <v>0</v>
      </c>
      <c r="W439" s="330">
        <v>0</v>
      </c>
      <c r="X439" s="495">
        <v>0</v>
      </c>
      <c r="Y439" s="280">
        <v>0</v>
      </c>
      <c r="Z439" s="330">
        <v>0</v>
      </c>
      <c r="AA439" s="330">
        <v>0</v>
      </c>
      <c r="AB439" s="330"/>
      <c r="AC439" s="336">
        <v>948.37</v>
      </c>
      <c r="AD439" s="279">
        <v>0</v>
      </c>
      <c r="AE439" s="330">
        <f t="shared" si="98"/>
        <v>902.84823999999992</v>
      </c>
      <c r="AF439" s="330">
        <f t="shared" si="99"/>
        <v>45.52176</v>
      </c>
      <c r="AG439" s="495">
        <v>0</v>
      </c>
      <c r="AH439" s="336">
        <v>0</v>
      </c>
      <c r="AI439" s="279">
        <v>0</v>
      </c>
      <c r="AJ439" s="330">
        <v>0</v>
      </c>
      <c r="AK439" s="330">
        <v>0</v>
      </c>
      <c r="AL439" s="285"/>
    </row>
    <row r="440" spans="1:38" s="275" customFormat="1" ht="165" customHeight="1" outlineLevel="1" x14ac:dyDescent="0.25">
      <c r="A440" s="311" t="s">
        <v>1084</v>
      </c>
      <c r="B440" s="331" t="s">
        <v>1418</v>
      </c>
      <c r="C440" s="330">
        <f t="shared" si="100"/>
        <v>0</v>
      </c>
      <c r="D440" s="314">
        <f t="shared" si="97"/>
        <v>1413.51</v>
      </c>
      <c r="E440" s="303">
        <v>0</v>
      </c>
      <c r="F440" s="307">
        <v>0</v>
      </c>
      <c r="G440" s="303">
        <v>0</v>
      </c>
      <c r="H440" s="303">
        <v>0</v>
      </c>
      <c r="I440" s="314">
        <v>0</v>
      </c>
      <c r="J440" s="335">
        <v>0</v>
      </c>
      <c r="K440" s="330">
        <v>0</v>
      </c>
      <c r="L440" s="330">
        <v>0</v>
      </c>
      <c r="M440" s="330">
        <v>0</v>
      </c>
      <c r="N440" s="330">
        <v>0</v>
      </c>
      <c r="O440" s="335">
        <v>0</v>
      </c>
      <c r="P440" s="330">
        <v>0</v>
      </c>
      <c r="Q440" s="330">
        <v>0</v>
      </c>
      <c r="R440" s="330">
        <v>0</v>
      </c>
      <c r="S440" s="330">
        <v>0</v>
      </c>
      <c r="T440" s="332">
        <v>0</v>
      </c>
      <c r="U440" s="330">
        <v>0</v>
      </c>
      <c r="V440" s="330">
        <v>0</v>
      </c>
      <c r="W440" s="330">
        <v>0</v>
      </c>
      <c r="X440" s="495">
        <v>0</v>
      </c>
      <c r="Y440" s="280">
        <v>0</v>
      </c>
      <c r="Z440" s="330">
        <v>0</v>
      </c>
      <c r="AA440" s="330">
        <v>0</v>
      </c>
      <c r="AB440" s="330"/>
      <c r="AC440" s="336">
        <v>1413.51</v>
      </c>
      <c r="AD440" s="279">
        <v>0</v>
      </c>
      <c r="AE440" s="330">
        <f t="shared" si="98"/>
        <v>1345.6615199999999</v>
      </c>
      <c r="AF440" s="330">
        <f t="shared" si="99"/>
        <v>67.848479999999995</v>
      </c>
      <c r="AG440" s="495">
        <v>0</v>
      </c>
      <c r="AH440" s="336">
        <v>0</v>
      </c>
      <c r="AI440" s="279">
        <v>0</v>
      </c>
      <c r="AJ440" s="330">
        <v>0</v>
      </c>
      <c r="AK440" s="330">
        <v>0</v>
      </c>
      <c r="AL440" s="285"/>
    </row>
    <row r="441" spans="1:38" s="275" customFormat="1" ht="135.6" customHeight="1" outlineLevel="1" x14ac:dyDescent="0.25">
      <c r="A441" s="311" t="s">
        <v>1085</v>
      </c>
      <c r="B441" s="331" t="s">
        <v>1419</v>
      </c>
      <c r="C441" s="330">
        <f t="shared" si="100"/>
        <v>0</v>
      </c>
      <c r="D441" s="314">
        <f t="shared" si="97"/>
        <v>363.93</v>
      </c>
      <c r="E441" s="303">
        <v>0</v>
      </c>
      <c r="F441" s="307">
        <v>0</v>
      </c>
      <c r="G441" s="303">
        <v>0</v>
      </c>
      <c r="H441" s="303">
        <v>0</v>
      </c>
      <c r="I441" s="314">
        <v>0</v>
      </c>
      <c r="J441" s="335">
        <v>0</v>
      </c>
      <c r="K441" s="330">
        <v>0</v>
      </c>
      <c r="L441" s="330">
        <v>0</v>
      </c>
      <c r="M441" s="330">
        <v>0</v>
      </c>
      <c r="N441" s="330">
        <v>0</v>
      </c>
      <c r="O441" s="335">
        <v>0</v>
      </c>
      <c r="P441" s="330">
        <v>0</v>
      </c>
      <c r="Q441" s="330">
        <v>0</v>
      </c>
      <c r="R441" s="330">
        <v>0</v>
      </c>
      <c r="S441" s="330">
        <v>0</v>
      </c>
      <c r="T441" s="332">
        <v>0</v>
      </c>
      <c r="U441" s="330">
        <v>0</v>
      </c>
      <c r="V441" s="330">
        <v>0</v>
      </c>
      <c r="W441" s="330">
        <v>0</v>
      </c>
      <c r="X441" s="495">
        <v>0</v>
      </c>
      <c r="Y441" s="280">
        <v>0</v>
      </c>
      <c r="Z441" s="330">
        <v>0</v>
      </c>
      <c r="AA441" s="330">
        <v>0</v>
      </c>
      <c r="AB441" s="330"/>
      <c r="AC441" s="336">
        <v>363.93</v>
      </c>
      <c r="AD441" s="279">
        <v>0</v>
      </c>
      <c r="AE441" s="330">
        <f t="shared" si="98"/>
        <v>346.46136000000001</v>
      </c>
      <c r="AF441" s="330">
        <f t="shared" si="99"/>
        <v>17.468640000000001</v>
      </c>
      <c r="AG441" s="495">
        <v>0</v>
      </c>
      <c r="AH441" s="336">
        <v>0</v>
      </c>
      <c r="AI441" s="279">
        <v>0</v>
      </c>
      <c r="AJ441" s="330">
        <v>0</v>
      </c>
      <c r="AK441" s="330">
        <v>0</v>
      </c>
      <c r="AL441" s="285"/>
    </row>
    <row r="442" spans="1:38" s="275" customFormat="1" ht="103.2" customHeight="1" outlineLevel="1" x14ac:dyDescent="0.25">
      <c r="A442" s="311" t="s">
        <v>1086</v>
      </c>
      <c r="B442" s="331" t="s">
        <v>1420</v>
      </c>
      <c r="C442" s="330">
        <f t="shared" si="100"/>
        <v>0</v>
      </c>
      <c r="D442" s="314">
        <f t="shared" si="97"/>
        <v>542.04999999999995</v>
      </c>
      <c r="E442" s="303">
        <v>0</v>
      </c>
      <c r="F442" s="307">
        <v>0</v>
      </c>
      <c r="G442" s="303">
        <v>0</v>
      </c>
      <c r="H442" s="303">
        <v>0</v>
      </c>
      <c r="I442" s="314">
        <v>0</v>
      </c>
      <c r="J442" s="335">
        <v>0</v>
      </c>
      <c r="K442" s="330">
        <v>0</v>
      </c>
      <c r="L442" s="330">
        <v>0</v>
      </c>
      <c r="M442" s="330">
        <v>0</v>
      </c>
      <c r="N442" s="330">
        <v>0</v>
      </c>
      <c r="O442" s="335">
        <v>0</v>
      </c>
      <c r="P442" s="330">
        <v>0</v>
      </c>
      <c r="Q442" s="330">
        <v>0</v>
      </c>
      <c r="R442" s="330">
        <v>0</v>
      </c>
      <c r="S442" s="330">
        <v>0</v>
      </c>
      <c r="T442" s="332">
        <v>0</v>
      </c>
      <c r="U442" s="330">
        <v>0</v>
      </c>
      <c r="V442" s="330">
        <v>0</v>
      </c>
      <c r="W442" s="330">
        <v>0</v>
      </c>
      <c r="X442" s="495">
        <v>0</v>
      </c>
      <c r="Y442" s="280">
        <v>0</v>
      </c>
      <c r="Z442" s="330">
        <v>0</v>
      </c>
      <c r="AA442" s="330">
        <v>0</v>
      </c>
      <c r="AB442" s="330"/>
      <c r="AC442" s="336">
        <v>542.04999999999995</v>
      </c>
      <c r="AD442" s="279">
        <v>0</v>
      </c>
      <c r="AE442" s="330">
        <f t="shared" si="98"/>
        <v>516.03159999999991</v>
      </c>
      <c r="AF442" s="330">
        <f t="shared" si="99"/>
        <v>26.0184</v>
      </c>
      <c r="AG442" s="495">
        <v>0</v>
      </c>
      <c r="AH442" s="336">
        <v>0</v>
      </c>
      <c r="AI442" s="279">
        <v>0</v>
      </c>
      <c r="AJ442" s="330">
        <v>0</v>
      </c>
      <c r="AK442" s="330">
        <v>0</v>
      </c>
      <c r="AL442" s="285"/>
    </row>
    <row r="443" spans="1:38" s="275" customFormat="1" ht="106.2" customHeight="1" outlineLevel="1" x14ac:dyDescent="0.25">
      <c r="A443" s="311" t="s">
        <v>1087</v>
      </c>
      <c r="B443" s="331" t="s">
        <v>1421</v>
      </c>
      <c r="C443" s="330">
        <f t="shared" si="100"/>
        <v>0</v>
      </c>
      <c r="D443" s="314">
        <f t="shared" si="97"/>
        <v>354.85</v>
      </c>
      <c r="E443" s="303">
        <v>0</v>
      </c>
      <c r="F443" s="307">
        <v>0</v>
      </c>
      <c r="G443" s="303">
        <v>0</v>
      </c>
      <c r="H443" s="303">
        <v>0</v>
      </c>
      <c r="I443" s="314">
        <v>0</v>
      </c>
      <c r="J443" s="335">
        <v>0</v>
      </c>
      <c r="K443" s="330">
        <v>0</v>
      </c>
      <c r="L443" s="330">
        <v>0</v>
      </c>
      <c r="M443" s="330">
        <v>0</v>
      </c>
      <c r="N443" s="330">
        <v>0</v>
      </c>
      <c r="O443" s="335">
        <v>0</v>
      </c>
      <c r="P443" s="330">
        <v>0</v>
      </c>
      <c r="Q443" s="330">
        <v>0</v>
      </c>
      <c r="R443" s="330">
        <v>0</v>
      </c>
      <c r="S443" s="330">
        <v>0</v>
      </c>
      <c r="T443" s="332">
        <v>0</v>
      </c>
      <c r="U443" s="330">
        <v>0</v>
      </c>
      <c r="V443" s="330">
        <v>0</v>
      </c>
      <c r="W443" s="330">
        <v>0</v>
      </c>
      <c r="X443" s="495">
        <v>0</v>
      </c>
      <c r="Y443" s="280">
        <v>0</v>
      </c>
      <c r="Z443" s="330">
        <v>0</v>
      </c>
      <c r="AA443" s="330">
        <v>0</v>
      </c>
      <c r="AB443" s="330"/>
      <c r="AC443" s="336">
        <v>354.85</v>
      </c>
      <c r="AD443" s="279">
        <v>0</v>
      </c>
      <c r="AE443" s="330">
        <f t="shared" si="98"/>
        <v>337.81720000000001</v>
      </c>
      <c r="AF443" s="330">
        <f t="shared" si="99"/>
        <v>17.032800000000002</v>
      </c>
      <c r="AG443" s="495">
        <v>0</v>
      </c>
      <c r="AH443" s="336">
        <v>0</v>
      </c>
      <c r="AI443" s="279">
        <v>0</v>
      </c>
      <c r="AJ443" s="330">
        <v>0</v>
      </c>
      <c r="AK443" s="330">
        <v>0</v>
      </c>
      <c r="AL443" s="285"/>
    </row>
    <row r="444" spans="1:38" s="275" customFormat="1" ht="114" customHeight="1" outlineLevel="1" x14ac:dyDescent="0.25">
      <c r="A444" s="311" t="s">
        <v>1088</v>
      </c>
      <c r="B444" s="331" t="s">
        <v>1422</v>
      </c>
      <c r="C444" s="330">
        <f t="shared" si="100"/>
        <v>0</v>
      </c>
      <c r="D444" s="314">
        <f t="shared" si="97"/>
        <v>371.32</v>
      </c>
      <c r="E444" s="303">
        <v>0</v>
      </c>
      <c r="F444" s="307">
        <v>0</v>
      </c>
      <c r="G444" s="303">
        <v>0</v>
      </c>
      <c r="H444" s="303">
        <v>0</v>
      </c>
      <c r="I444" s="314">
        <v>0</v>
      </c>
      <c r="J444" s="335">
        <v>0</v>
      </c>
      <c r="K444" s="330">
        <v>0</v>
      </c>
      <c r="L444" s="330">
        <v>0</v>
      </c>
      <c r="M444" s="330">
        <v>0</v>
      </c>
      <c r="N444" s="330">
        <v>0</v>
      </c>
      <c r="O444" s="335">
        <v>0</v>
      </c>
      <c r="P444" s="330">
        <v>0</v>
      </c>
      <c r="Q444" s="330">
        <v>0</v>
      </c>
      <c r="R444" s="330">
        <v>0</v>
      </c>
      <c r="S444" s="330">
        <v>0</v>
      </c>
      <c r="T444" s="332">
        <v>0</v>
      </c>
      <c r="U444" s="330">
        <v>0</v>
      </c>
      <c r="V444" s="330">
        <v>0</v>
      </c>
      <c r="W444" s="330">
        <v>0</v>
      </c>
      <c r="X444" s="495">
        <v>0</v>
      </c>
      <c r="Y444" s="280">
        <v>0</v>
      </c>
      <c r="Z444" s="330">
        <v>0</v>
      </c>
      <c r="AA444" s="330">
        <v>0</v>
      </c>
      <c r="AB444" s="330"/>
      <c r="AC444" s="336">
        <v>371.32</v>
      </c>
      <c r="AD444" s="279"/>
      <c r="AE444" s="330">
        <f t="shared" si="98"/>
        <v>353.49663999999996</v>
      </c>
      <c r="AF444" s="330">
        <f t="shared" si="99"/>
        <v>17.823360000000001</v>
      </c>
      <c r="AG444" s="495">
        <v>0</v>
      </c>
      <c r="AH444" s="336">
        <v>0</v>
      </c>
      <c r="AI444" s="279">
        <v>0</v>
      </c>
      <c r="AJ444" s="330">
        <v>0</v>
      </c>
      <c r="AK444" s="330">
        <v>0</v>
      </c>
      <c r="AL444" s="285"/>
    </row>
    <row r="445" spans="1:38" s="275" customFormat="1" ht="111" customHeight="1" outlineLevel="1" x14ac:dyDescent="0.25">
      <c r="A445" s="311" t="s">
        <v>1089</v>
      </c>
      <c r="B445" s="331" t="s">
        <v>1423</v>
      </c>
      <c r="C445" s="330">
        <f t="shared" si="100"/>
        <v>0</v>
      </c>
      <c r="D445" s="314">
        <f t="shared" si="97"/>
        <v>248.81</v>
      </c>
      <c r="E445" s="303">
        <v>0</v>
      </c>
      <c r="F445" s="307">
        <v>0</v>
      </c>
      <c r="G445" s="303">
        <v>0</v>
      </c>
      <c r="H445" s="303">
        <v>0</v>
      </c>
      <c r="I445" s="314">
        <v>0</v>
      </c>
      <c r="J445" s="335">
        <v>0</v>
      </c>
      <c r="K445" s="330">
        <v>0</v>
      </c>
      <c r="L445" s="330">
        <v>0</v>
      </c>
      <c r="M445" s="330">
        <v>0</v>
      </c>
      <c r="N445" s="330">
        <v>0</v>
      </c>
      <c r="O445" s="335">
        <v>0</v>
      </c>
      <c r="P445" s="330">
        <v>0</v>
      </c>
      <c r="Q445" s="330">
        <v>0</v>
      </c>
      <c r="R445" s="330">
        <v>0</v>
      </c>
      <c r="S445" s="330">
        <v>0</v>
      </c>
      <c r="T445" s="332">
        <v>0</v>
      </c>
      <c r="U445" s="330">
        <v>0</v>
      </c>
      <c r="V445" s="330">
        <v>0</v>
      </c>
      <c r="W445" s="330">
        <v>0</v>
      </c>
      <c r="X445" s="495">
        <v>0</v>
      </c>
      <c r="Y445" s="280">
        <v>0</v>
      </c>
      <c r="Z445" s="330">
        <v>0</v>
      </c>
      <c r="AA445" s="330">
        <v>0</v>
      </c>
      <c r="AB445" s="330"/>
      <c r="AC445" s="336">
        <v>248.81</v>
      </c>
      <c r="AD445" s="279"/>
      <c r="AE445" s="330">
        <f t="shared" si="98"/>
        <v>236.86712</v>
      </c>
      <c r="AF445" s="330">
        <f t="shared" si="99"/>
        <v>11.942880000000001</v>
      </c>
      <c r="AG445" s="495">
        <v>0</v>
      </c>
      <c r="AH445" s="336">
        <v>0</v>
      </c>
      <c r="AI445" s="279">
        <v>0</v>
      </c>
      <c r="AJ445" s="330">
        <v>0</v>
      </c>
      <c r="AK445" s="330">
        <v>0</v>
      </c>
      <c r="AL445" s="285"/>
    </row>
    <row r="446" spans="1:38" s="275" customFormat="1" ht="113.4" customHeight="1" outlineLevel="1" x14ac:dyDescent="0.25">
      <c r="A446" s="311" t="s">
        <v>1090</v>
      </c>
      <c r="B446" s="331" t="s">
        <v>1424</v>
      </c>
      <c r="C446" s="330">
        <f t="shared" si="100"/>
        <v>0</v>
      </c>
      <c r="D446" s="314">
        <f t="shared" si="97"/>
        <v>177.43</v>
      </c>
      <c r="E446" s="303">
        <v>0</v>
      </c>
      <c r="F446" s="307">
        <v>0</v>
      </c>
      <c r="G446" s="303">
        <v>0</v>
      </c>
      <c r="H446" s="303">
        <v>0</v>
      </c>
      <c r="I446" s="314">
        <v>0</v>
      </c>
      <c r="J446" s="335">
        <v>0</v>
      </c>
      <c r="K446" s="330">
        <v>0</v>
      </c>
      <c r="L446" s="330">
        <v>0</v>
      </c>
      <c r="M446" s="330">
        <v>0</v>
      </c>
      <c r="N446" s="330">
        <v>0</v>
      </c>
      <c r="O446" s="335">
        <v>0</v>
      </c>
      <c r="P446" s="330">
        <v>0</v>
      </c>
      <c r="Q446" s="330">
        <v>0</v>
      </c>
      <c r="R446" s="330">
        <v>0</v>
      </c>
      <c r="S446" s="330">
        <v>0</v>
      </c>
      <c r="T446" s="332">
        <v>0</v>
      </c>
      <c r="U446" s="330">
        <v>0</v>
      </c>
      <c r="V446" s="330">
        <v>0</v>
      </c>
      <c r="W446" s="330">
        <v>0</v>
      </c>
      <c r="X446" s="495">
        <v>0</v>
      </c>
      <c r="Y446" s="280">
        <v>0</v>
      </c>
      <c r="Z446" s="330">
        <v>0</v>
      </c>
      <c r="AA446" s="330">
        <v>0</v>
      </c>
      <c r="AB446" s="330"/>
      <c r="AC446" s="336">
        <v>177.43</v>
      </c>
      <c r="AD446" s="279"/>
      <c r="AE446" s="330">
        <f t="shared" si="98"/>
        <v>168.91336000000001</v>
      </c>
      <c r="AF446" s="330">
        <f t="shared" si="99"/>
        <v>8.5166400000000007</v>
      </c>
      <c r="AG446" s="495">
        <v>0</v>
      </c>
      <c r="AH446" s="336">
        <v>0</v>
      </c>
      <c r="AI446" s="279">
        <v>0</v>
      </c>
      <c r="AJ446" s="330">
        <v>0</v>
      </c>
      <c r="AK446" s="330">
        <v>0</v>
      </c>
      <c r="AL446" s="285"/>
    </row>
    <row r="447" spans="1:38" s="275" customFormat="1" ht="177" customHeight="1" outlineLevel="1" x14ac:dyDescent="0.25">
      <c r="A447" s="311" t="s">
        <v>1091</v>
      </c>
      <c r="B447" s="331" t="s">
        <v>1425</v>
      </c>
      <c r="C447" s="330">
        <f t="shared" si="100"/>
        <v>0</v>
      </c>
      <c r="D447" s="314">
        <f t="shared" si="97"/>
        <v>447.79</v>
      </c>
      <c r="E447" s="303">
        <v>0</v>
      </c>
      <c r="F447" s="307">
        <v>0</v>
      </c>
      <c r="G447" s="303">
        <v>0</v>
      </c>
      <c r="H447" s="303">
        <v>0</v>
      </c>
      <c r="I447" s="314">
        <v>0</v>
      </c>
      <c r="J447" s="335">
        <v>0</v>
      </c>
      <c r="K447" s="330">
        <v>0</v>
      </c>
      <c r="L447" s="330">
        <v>0</v>
      </c>
      <c r="M447" s="330">
        <v>0</v>
      </c>
      <c r="N447" s="330">
        <v>0</v>
      </c>
      <c r="O447" s="335">
        <v>0</v>
      </c>
      <c r="P447" s="330">
        <v>0</v>
      </c>
      <c r="Q447" s="330">
        <v>0</v>
      </c>
      <c r="R447" s="330">
        <v>0</v>
      </c>
      <c r="S447" s="330">
        <v>0</v>
      </c>
      <c r="T447" s="332">
        <v>0</v>
      </c>
      <c r="U447" s="330">
        <v>0</v>
      </c>
      <c r="V447" s="330">
        <v>0</v>
      </c>
      <c r="W447" s="330">
        <v>0</v>
      </c>
      <c r="X447" s="495">
        <v>0</v>
      </c>
      <c r="Y447" s="280">
        <v>0</v>
      </c>
      <c r="Z447" s="330">
        <v>0</v>
      </c>
      <c r="AA447" s="330">
        <v>0</v>
      </c>
      <c r="AB447" s="330"/>
      <c r="AC447" s="336">
        <v>447.79</v>
      </c>
      <c r="AD447" s="279">
        <v>0</v>
      </c>
      <c r="AE447" s="330">
        <f t="shared" si="98"/>
        <v>426.29608000000002</v>
      </c>
      <c r="AF447" s="330">
        <f t="shared" si="99"/>
        <v>21.493920000000003</v>
      </c>
      <c r="AG447" s="495">
        <v>0</v>
      </c>
      <c r="AH447" s="336">
        <v>0</v>
      </c>
      <c r="AI447" s="279">
        <v>0</v>
      </c>
      <c r="AJ447" s="330">
        <v>0</v>
      </c>
      <c r="AK447" s="330">
        <v>0</v>
      </c>
      <c r="AL447" s="285"/>
    </row>
    <row r="448" spans="1:38" s="275" customFormat="1" ht="147.6" customHeight="1" outlineLevel="1" x14ac:dyDescent="0.25">
      <c r="A448" s="311" t="s">
        <v>1092</v>
      </c>
      <c r="B448" s="331" t="s">
        <v>1426</v>
      </c>
      <c r="C448" s="330">
        <f t="shared" si="100"/>
        <v>0</v>
      </c>
      <c r="D448" s="314">
        <f t="shared" si="97"/>
        <v>630.05999999999995</v>
      </c>
      <c r="E448" s="303">
        <v>0</v>
      </c>
      <c r="F448" s="307">
        <v>0</v>
      </c>
      <c r="G448" s="303">
        <v>0</v>
      </c>
      <c r="H448" s="303">
        <v>0</v>
      </c>
      <c r="I448" s="314">
        <v>0</v>
      </c>
      <c r="J448" s="335">
        <v>0</v>
      </c>
      <c r="K448" s="330">
        <v>0</v>
      </c>
      <c r="L448" s="330">
        <v>0</v>
      </c>
      <c r="M448" s="330">
        <v>0</v>
      </c>
      <c r="N448" s="330">
        <v>0</v>
      </c>
      <c r="O448" s="335">
        <v>0</v>
      </c>
      <c r="P448" s="330">
        <v>0</v>
      </c>
      <c r="Q448" s="330">
        <v>0</v>
      </c>
      <c r="R448" s="330">
        <v>0</v>
      </c>
      <c r="S448" s="330">
        <v>0</v>
      </c>
      <c r="T448" s="332">
        <v>0</v>
      </c>
      <c r="U448" s="330">
        <v>0</v>
      </c>
      <c r="V448" s="330">
        <v>0</v>
      </c>
      <c r="W448" s="330">
        <v>0</v>
      </c>
      <c r="X448" s="495">
        <v>0</v>
      </c>
      <c r="Y448" s="280">
        <v>0</v>
      </c>
      <c r="Z448" s="330">
        <v>0</v>
      </c>
      <c r="AA448" s="330">
        <v>0</v>
      </c>
      <c r="AB448" s="330"/>
      <c r="AC448" s="336">
        <v>630.05999999999995</v>
      </c>
      <c r="AD448" s="279">
        <v>0</v>
      </c>
      <c r="AE448" s="330">
        <f t="shared" si="98"/>
        <v>599.81711999999993</v>
      </c>
      <c r="AF448" s="330">
        <f t="shared" si="99"/>
        <v>30.24288</v>
      </c>
      <c r="AG448" s="495">
        <v>0</v>
      </c>
      <c r="AH448" s="336">
        <v>0</v>
      </c>
      <c r="AI448" s="279">
        <v>0</v>
      </c>
      <c r="AJ448" s="330">
        <v>0</v>
      </c>
      <c r="AK448" s="330">
        <v>0</v>
      </c>
      <c r="AL448" s="285"/>
    </row>
    <row r="449" spans="1:38" s="275" customFormat="1" ht="140.4" customHeight="1" outlineLevel="1" x14ac:dyDescent="0.25">
      <c r="A449" s="311" t="s">
        <v>1093</v>
      </c>
      <c r="B449" s="331" t="s">
        <v>1427</v>
      </c>
      <c r="C449" s="330">
        <f t="shared" si="100"/>
        <v>0</v>
      </c>
      <c r="D449" s="314">
        <f t="shared" si="97"/>
        <v>274.95</v>
      </c>
      <c r="E449" s="303">
        <v>0</v>
      </c>
      <c r="F449" s="307">
        <v>0</v>
      </c>
      <c r="G449" s="303">
        <v>0</v>
      </c>
      <c r="H449" s="303">
        <v>0</v>
      </c>
      <c r="I449" s="314">
        <v>0</v>
      </c>
      <c r="J449" s="335">
        <v>0</v>
      </c>
      <c r="K449" s="330">
        <v>0</v>
      </c>
      <c r="L449" s="330">
        <v>0</v>
      </c>
      <c r="M449" s="330">
        <v>0</v>
      </c>
      <c r="N449" s="330">
        <v>0</v>
      </c>
      <c r="O449" s="335">
        <v>0</v>
      </c>
      <c r="P449" s="330">
        <v>0</v>
      </c>
      <c r="Q449" s="330">
        <v>0</v>
      </c>
      <c r="R449" s="330">
        <v>0</v>
      </c>
      <c r="S449" s="330">
        <v>0</v>
      </c>
      <c r="T449" s="332">
        <v>0</v>
      </c>
      <c r="U449" s="330">
        <v>0</v>
      </c>
      <c r="V449" s="330">
        <v>0</v>
      </c>
      <c r="W449" s="330">
        <v>0</v>
      </c>
      <c r="X449" s="495">
        <v>0</v>
      </c>
      <c r="Y449" s="280">
        <v>0</v>
      </c>
      <c r="Z449" s="330">
        <v>0</v>
      </c>
      <c r="AA449" s="330">
        <v>0</v>
      </c>
      <c r="AB449" s="330"/>
      <c r="AC449" s="336">
        <v>274.95</v>
      </c>
      <c r="AD449" s="279">
        <v>0</v>
      </c>
      <c r="AE449" s="330">
        <f t="shared" si="98"/>
        <v>261.75239999999997</v>
      </c>
      <c r="AF449" s="330">
        <f t="shared" si="99"/>
        <v>13.1976</v>
      </c>
      <c r="AG449" s="495">
        <v>0</v>
      </c>
      <c r="AH449" s="336">
        <v>0</v>
      </c>
      <c r="AI449" s="279">
        <v>0</v>
      </c>
      <c r="AJ449" s="330">
        <v>0</v>
      </c>
      <c r="AK449" s="330">
        <v>0</v>
      </c>
      <c r="AL449" s="285"/>
    </row>
    <row r="450" spans="1:38" s="275" customFormat="1" ht="130.94999999999999" customHeight="1" outlineLevel="1" x14ac:dyDescent="0.25">
      <c r="A450" s="311" t="s">
        <v>1094</v>
      </c>
      <c r="B450" s="331" t="s">
        <v>1428</v>
      </c>
      <c r="C450" s="330">
        <f t="shared" si="100"/>
        <v>0</v>
      </c>
      <c r="D450" s="314">
        <f t="shared" si="97"/>
        <v>816.32</v>
      </c>
      <c r="E450" s="303">
        <v>0</v>
      </c>
      <c r="F450" s="307">
        <v>0</v>
      </c>
      <c r="G450" s="303">
        <v>0</v>
      </c>
      <c r="H450" s="303">
        <v>0</v>
      </c>
      <c r="I450" s="314">
        <v>0</v>
      </c>
      <c r="J450" s="335">
        <v>0</v>
      </c>
      <c r="K450" s="330">
        <v>0</v>
      </c>
      <c r="L450" s="330">
        <v>0</v>
      </c>
      <c r="M450" s="330">
        <v>0</v>
      </c>
      <c r="N450" s="330">
        <v>0</v>
      </c>
      <c r="O450" s="335">
        <v>0</v>
      </c>
      <c r="P450" s="330">
        <v>0</v>
      </c>
      <c r="Q450" s="330">
        <v>0</v>
      </c>
      <c r="R450" s="330">
        <v>0</v>
      </c>
      <c r="S450" s="330">
        <v>0</v>
      </c>
      <c r="T450" s="332">
        <v>0</v>
      </c>
      <c r="U450" s="330">
        <v>0</v>
      </c>
      <c r="V450" s="330">
        <v>0</v>
      </c>
      <c r="W450" s="330">
        <v>0</v>
      </c>
      <c r="X450" s="495">
        <v>0</v>
      </c>
      <c r="Y450" s="280">
        <v>0</v>
      </c>
      <c r="Z450" s="330">
        <v>0</v>
      </c>
      <c r="AA450" s="330">
        <v>0</v>
      </c>
      <c r="AB450" s="330"/>
      <c r="AC450" s="336">
        <v>816.32</v>
      </c>
      <c r="AD450" s="279">
        <v>0</v>
      </c>
      <c r="AE450" s="330">
        <f t="shared" si="98"/>
        <v>777.13664000000006</v>
      </c>
      <c r="AF450" s="330">
        <f t="shared" si="99"/>
        <v>39.18336</v>
      </c>
      <c r="AG450" s="495">
        <v>0</v>
      </c>
      <c r="AH450" s="336">
        <v>0</v>
      </c>
      <c r="AI450" s="279">
        <v>0</v>
      </c>
      <c r="AJ450" s="330">
        <v>0</v>
      </c>
      <c r="AK450" s="330">
        <v>0</v>
      </c>
      <c r="AL450" s="285"/>
    </row>
    <row r="451" spans="1:38" s="275" customFormat="1" ht="112.2" customHeight="1" outlineLevel="1" x14ac:dyDescent="0.25">
      <c r="A451" s="311" t="s">
        <v>1095</v>
      </c>
      <c r="B451" s="331" t="s">
        <v>1429</v>
      </c>
      <c r="C451" s="330">
        <f t="shared" si="100"/>
        <v>0</v>
      </c>
      <c r="D451" s="314">
        <f t="shared" si="97"/>
        <v>221.21</v>
      </c>
      <c r="E451" s="303">
        <v>0</v>
      </c>
      <c r="F451" s="307">
        <v>0</v>
      </c>
      <c r="G451" s="303">
        <v>0</v>
      </c>
      <c r="H451" s="303">
        <v>0</v>
      </c>
      <c r="I451" s="314">
        <v>0</v>
      </c>
      <c r="J451" s="335">
        <v>0</v>
      </c>
      <c r="K451" s="330">
        <v>0</v>
      </c>
      <c r="L451" s="330">
        <v>0</v>
      </c>
      <c r="M451" s="330">
        <v>0</v>
      </c>
      <c r="N451" s="330">
        <v>0</v>
      </c>
      <c r="O451" s="335">
        <v>0</v>
      </c>
      <c r="P451" s="330">
        <v>0</v>
      </c>
      <c r="Q451" s="330">
        <v>0</v>
      </c>
      <c r="R451" s="330">
        <v>0</v>
      </c>
      <c r="S451" s="330">
        <v>0</v>
      </c>
      <c r="T451" s="332">
        <v>0</v>
      </c>
      <c r="U451" s="330">
        <v>0</v>
      </c>
      <c r="V451" s="330">
        <v>0</v>
      </c>
      <c r="W451" s="330">
        <v>0</v>
      </c>
      <c r="X451" s="495">
        <v>0</v>
      </c>
      <c r="Y451" s="280">
        <v>0</v>
      </c>
      <c r="Z451" s="330">
        <v>0</v>
      </c>
      <c r="AA451" s="330">
        <v>0</v>
      </c>
      <c r="AB451" s="330"/>
      <c r="AC451" s="336">
        <v>221.21</v>
      </c>
      <c r="AD451" s="279">
        <v>0</v>
      </c>
      <c r="AE451" s="330">
        <f t="shared" si="98"/>
        <v>210.59191999999999</v>
      </c>
      <c r="AF451" s="330">
        <f t="shared" si="99"/>
        <v>10.618080000000001</v>
      </c>
      <c r="AG451" s="495">
        <v>0</v>
      </c>
      <c r="AH451" s="336">
        <v>0</v>
      </c>
      <c r="AI451" s="279">
        <v>0</v>
      </c>
      <c r="AJ451" s="330">
        <v>0</v>
      </c>
      <c r="AK451" s="330">
        <v>0</v>
      </c>
      <c r="AL451" s="285"/>
    </row>
    <row r="452" spans="1:38" s="275" customFormat="1" ht="105" customHeight="1" outlineLevel="1" x14ac:dyDescent="0.25">
      <c r="A452" s="311" t="s">
        <v>1096</v>
      </c>
      <c r="B452" s="331" t="s">
        <v>1430</v>
      </c>
      <c r="C452" s="330">
        <f t="shared" si="100"/>
        <v>0</v>
      </c>
      <c r="D452" s="314">
        <f t="shared" si="97"/>
        <v>64.569999999999993</v>
      </c>
      <c r="E452" s="303">
        <v>0</v>
      </c>
      <c r="F452" s="307">
        <v>0</v>
      </c>
      <c r="G452" s="303">
        <v>0</v>
      </c>
      <c r="H452" s="303">
        <v>0</v>
      </c>
      <c r="I452" s="314">
        <v>0</v>
      </c>
      <c r="J452" s="335">
        <v>0</v>
      </c>
      <c r="K452" s="330">
        <v>0</v>
      </c>
      <c r="L452" s="330">
        <v>0</v>
      </c>
      <c r="M452" s="330">
        <v>0</v>
      </c>
      <c r="N452" s="330">
        <v>0</v>
      </c>
      <c r="O452" s="335">
        <v>0</v>
      </c>
      <c r="P452" s="330">
        <v>0</v>
      </c>
      <c r="Q452" s="330">
        <v>0</v>
      </c>
      <c r="R452" s="330">
        <v>0</v>
      </c>
      <c r="S452" s="330">
        <v>0</v>
      </c>
      <c r="T452" s="332">
        <v>0</v>
      </c>
      <c r="U452" s="330">
        <v>0</v>
      </c>
      <c r="V452" s="330">
        <v>0</v>
      </c>
      <c r="W452" s="330">
        <v>0</v>
      </c>
      <c r="X452" s="495">
        <v>0</v>
      </c>
      <c r="Y452" s="280">
        <v>0</v>
      </c>
      <c r="Z452" s="330">
        <v>0</v>
      </c>
      <c r="AA452" s="330">
        <v>0</v>
      </c>
      <c r="AB452" s="330"/>
      <c r="AC452" s="336">
        <v>64.569999999999993</v>
      </c>
      <c r="AD452" s="279">
        <v>0</v>
      </c>
      <c r="AE452" s="330">
        <f t="shared" si="98"/>
        <v>61.470639999999989</v>
      </c>
      <c r="AF452" s="330">
        <f t="shared" si="99"/>
        <v>3.0993599999999999</v>
      </c>
      <c r="AG452" s="495">
        <v>0</v>
      </c>
      <c r="AH452" s="336">
        <v>0</v>
      </c>
      <c r="AI452" s="279">
        <v>0</v>
      </c>
      <c r="AJ452" s="330">
        <v>0</v>
      </c>
      <c r="AK452" s="330">
        <v>0</v>
      </c>
      <c r="AL452" s="285"/>
    </row>
    <row r="453" spans="1:38" s="275" customFormat="1" ht="125.4" customHeight="1" outlineLevel="1" x14ac:dyDescent="0.25">
      <c r="A453" s="311" t="s">
        <v>1098</v>
      </c>
      <c r="B453" s="331" t="s">
        <v>1097</v>
      </c>
      <c r="C453" s="330">
        <f t="shared" si="100"/>
        <v>0</v>
      </c>
      <c r="D453" s="314">
        <f t="shared" si="97"/>
        <v>226.3</v>
      </c>
      <c r="E453" s="303">
        <v>0</v>
      </c>
      <c r="F453" s="307">
        <v>0</v>
      </c>
      <c r="G453" s="303">
        <v>0</v>
      </c>
      <c r="H453" s="303">
        <v>0</v>
      </c>
      <c r="I453" s="314">
        <v>0</v>
      </c>
      <c r="J453" s="335">
        <v>0</v>
      </c>
      <c r="K453" s="330">
        <v>0</v>
      </c>
      <c r="L453" s="330">
        <v>0</v>
      </c>
      <c r="M453" s="330">
        <v>0</v>
      </c>
      <c r="N453" s="330">
        <v>0</v>
      </c>
      <c r="O453" s="335">
        <v>0</v>
      </c>
      <c r="P453" s="330">
        <v>0</v>
      </c>
      <c r="Q453" s="330">
        <v>0</v>
      </c>
      <c r="R453" s="330">
        <v>0</v>
      </c>
      <c r="S453" s="330">
        <v>0</v>
      </c>
      <c r="T453" s="332">
        <v>0</v>
      </c>
      <c r="U453" s="330">
        <v>0</v>
      </c>
      <c r="V453" s="330">
        <v>0</v>
      </c>
      <c r="W453" s="330">
        <v>0</v>
      </c>
      <c r="X453" s="495">
        <v>0</v>
      </c>
      <c r="Y453" s="280">
        <v>0</v>
      </c>
      <c r="Z453" s="330">
        <v>0</v>
      </c>
      <c r="AA453" s="330">
        <v>0</v>
      </c>
      <c r="AB453" s="330"/>
      <c r="AC453" s="336">
        <v>226.3</v>
      </c>
      <c r="AD453" s="279">
        <v>0</v>
      </c>
      <c r="AE453" s="330">
        <f t="shared" si="98"/>
        <v>215.4376</v>
      </c>
      <c r="AF453" s="330">
        <f t="shared" si="99"/>
        <v>10.862400000000001</v>
      </c>
      <c r="AG453" s="495">
        <v>0</v>
      </c>
      <c r="AH453" s="336">
        <v>0</v>
      </c>
      <c r="AI453" s="279">
        <v>0</v>
      </c>
      <c r="AJ453" s="330">
        <v>0</v>
      </c>
      <c r="AK453" s="330">
        <v>0</v>
      </c>
      <c r="AL453" s="285"/>
    </row>
    <row r="454" spans="1:38" s="275" customFormat="1" ht="106.95" customHeight="1" outlineLevel="1" x14ac:dyDescent="0.25">
      <c r="A454" s="311" t="s">
        <v>1099</v>
      </c>
      <c r="B454" s="331" t="s">
        <v>1431</v>
      </c>
      <c r="C454" s="330">
        <f t="shared" si="100"/>
        <v>0</v>
      </c>
      <c r="D454" s="314">
        <f t="shared" si="97"/>
        <v>302.87</v>
      </c>
      <c r="E454" s="303">
        <v>0</v>
      </c>
      <c r="F454" s="307">
        <v>0</v>
      </c>
      <c r="G454" s="303">
        <v>0</v>
      </c>
      <c r="H454" s="303">
        <v>0</v>
      </c>
      <c r="I454" s="314">
        <v>0</v>
      </c>
      <c r="J454" s="335">
        <v>0</v>
      </c>
      <c r="K454" s="330">
        <v>0</v>
      </c>
      <c r="L454" s="330">
        <v>0</v>
      </c>
      <c r="M454" s="330">
        <v>0</v>
      </c>
      <c r="N454" s="330">
        <v>0</v>
      </c>
      <c r="O454" s="335">
        <v>0</v>
      </c>
      <c r="P454" s="330">
        <v>0</v>
      </c>
      <c r="Q454" s="330">
        <v>0</v>
      </c>
      <c r="R454" s="330">
        <v>0</v>
      </c>
      <c r="S454" s="330">
        <v>0</v>
      </c>
      <c r="T454" s="332">
        <v>0</v>
      </c>
      <c r="U454" s="330">
        <v>0</v>
      </c>
      <c r="V454" s="330">
        <v>0</v>
      </c>
      <c r="W454" s="330">
        <v>0</v>
      </c>
      <c r="X454" s="495">
        <v>0</v>
      </c>
      <c r="Y454" s="280">
        <v>0</v>
      </c>
      <c r="Z454" s="330">
        <v>0</v>
      </c>
      <c r="AA454" s="330">
        <v>0</v>
      </c>
      <c r="AB454" s="330"/>
      <c r="AC454" s="336">
        <v>302.87</v>
      </c>
      <c r="AD454" s="279">
        <v>0</v>
      </c>
      <c r="AE454" s="330">
        <f t="shared" si="98"/>
        <v>288.33224000000001</v>
      </c>
      <c r="AF454" s="330">
        <f t="shared" si="99"/>
        <v>14.53776</v>
      </c>
      <c r="AG454" s="495">
        <v>0</v>
      </c>
      <c r="AH454" s="336">
        <v>0</v>
      </c>
      <c r="AI454" s="279">
        <v>0</v>
      </c>
      <c r="AJ454" s="330">
        <v>0</v>
      </c>
      <c r="AK454" s="330">
        <v>0</v>
      </c>
      <c r="AL454" s="285"/>
    </row>
    <row r="455" spans="1:38" s="275" customFormat="1" ht="145.19999999999999" customHeight="1" outlineLevel="1" x14ac:dyDescent="0.25">
      <c r="A455" s="311" t="s">
        <v>1100</v>
      </c>
      <c r="B455" s="331" t="s">
        <v>1432</v>
      </c>
      <c r="C455" s="330">
        <f t="shared" si="100"/>
        <v>0</v>
      </c>
      <c r="D455" s="314">
        <f t="shared" si="97"/>
        <v>1001.63</v>
      </c>
      <c r="E455" s="303">
        <v>0</v>
      </c>
      <c r="F455" s="307">
        <v>0</v>
      </c>
      <c r="G455" s="303">
        <v>0</v>
      </c>
      <c r="H455" s="303">
        <v>0</v>
      </c>
      <c r="I455" s="314">
        <v>0</v>
      </c>
      <c r="J455" s="335">
        <v>0</v>
      </c>
      <c r="K455" s="330">
        <v>0</v>
      </c>
      <c r="L455" s="330">
        <v>0</v>
      </c>
      <c r="M455" s="330">
        <v>0</v>
      </c>
      <c r="N455" s="330">
        <v>0</v>
      </c>
      <c r="O455" s="335">
        <v>0</v>
      </c>
      <c r="P455" s="330">
        <v>0</v>
      </c>
      <c r="Q455" s="330">
        <v>0</v>
      </c>
      <c r="R455" s="330">
        <v>0</v>
      </c>
      <c r="S455" s="330">
        <v>0</v>
      </c>
      <c r="T455" s="332">
        <v>0</v>
      </c>
      <c r="U455" s="330">
        <v>0</v>
      </c>
      <c r="V455" s="330">
        <v>0</v>
      </c>
      <c r="W455" s="330">
        <v>0</v>
      </c>
      <c r="X455" s="495">
        <v>0</v>
      </c>
      <c r="Y455" s="280">
        <v>0</v>
      </c>
      <c r="Z455" s="330">
        <v>0</v>
      </c>
      <c r="AA455" s="330">
        <v>0</v>
      </c>
      <c r="AB455" s="330"/>
      <c r="AC455" s="336">
        <v>1001.63</v>
      </c>
      <c r="AD455" s="279">
        <v>0</v>
      </c>
      <c r="AE455" s="330">
        <f t="shared" si="98"/>
        <v>953.55175999999994</v>
      </c>
      <c r="AF455" s="330">
        <f t="shared" si="99"/>
        <v>48.078240000000001</v>
      </c>
      <c r="AG455" s="495">
        <v>0</v>
      </c>
      <c r="AH455" s="336">
        <v>0</v>
      </c>
      <c r="AI455" s="279">
        <v>0</v>
      </c>
      <c r="AJ455" s="330">
        <v>0</v>
      </c>
      <c r="AK455" s="330">
        <v>0</v>
      </c>
      <c r="AL455" s="285"/>
    </row>
    <row r="456" spans="1:38" s="275" customFormat="1" ht="156" customHeight="1" outlineLevel="1" x14ac:dyDescent="0.25">
      <c r="A456" s="311" t="s">
        <v>1101</v>
      </c>
      <c r="B456" s="331" t="s">
        <v>1433</v>
      </c>
      <c r="C456" s="330">
        <f t="shared" si="100"/>
        <v>0</v>
      </c>
      <c r="D456" s="314">
        <f t="shared" si="97"/>
        <v>737.23</v>
      </c>
      <c r="E456" s="303">
        <v>0</v>
      </c>
      <c r="F456" s="307">
        <v>0</v>
      </c>
      <c r="G456" s="303">
        <v>0</v>
      </c>
      <c r="H456" s="303">
        <v>0</v>
      </c>
      <c r="I456" s="314">
        <v>0</v>
      </c>
      <c r="J456" s="335">
        <v>0</v>
      </c>
      <c r="K456" s="330">
        <v>0</v>
      </c>
      <c r="L456" s="330">
        <v>0</v>
      </c>
      <c r="M456" s="330">
        <v>0</v>
      </c>
      <c r="N456" s="330">
        <v>0</v>
      </c>
      <c r="O456" s="335">
        <v>0</v>
      </c>
      <c r="P456" s="330">
        <v>0</v>
      </c>
      <c r="Q456" s="330">
        <v>0</v>
      </c>
      <c r="R456" s="330">
        <v>0</v>
      </c>
      <c r="S456" s="330">
        <v>0</v>
      </c>
      <c r="T456" s="332">
        <v>0</v>
      </c>
      <c r="U456" s="330">
        <v>0</v>
      </c>
      <c r="V456" s="330">
        <v>0</v>
      </c>
      <c r="W456" s="330">
        <v>0</v>
      </c>
      <c r="X456" s="495">
        <v>0</v>
      </c>
      <c r="Y456" s="280">
        <v>0</v>
      </c>
      <c r="Z456" s="330">
        <v>0</v>
      </c>
      <c r="AA456" s="330">
        <v>0</v>
      </c>
      <c r="AB456" s="330"/>
      <c r="AC456" s="336">
        <v>737.23</v>
      </c>
      <c r="AD456" s="279">
        <v>0</v>
      </c>
      <c r="AE456" s="330">
        <f t="shared" si="98"/>
        <v>701.84295999999995</v>
      </c>
      <c r="AF456" s="330">
        <f t="shared" si="99"/>
        <v>35.387039999999999</v>
      </c>
      <c r="AG456" s="495">
        <v>0</v>
      </c>
      <c r="AH456" s="336">
        <v>0</v>
      </c>
      <c r="AI456" s="279">
        <v>0</v>
      </c>
      <c r="AJ456" s="330">
        <v>0</v>
      </c>
      <c r="AK456" s="330">
        <v>0</v>
      </c>
      <c r="AL456" s="285"/>
    </row>
    <row r="457" spans="1:38" s="275" customFormat="1" ht="49.5" customHeight="1" outlineLevel="1" x14ac:dyDescent="0.25">
      <c r="A457" s="311" t="s">
        <v>1102</v>
      </c>
      <c r="B457" s="331" t="s">
        <v>1434</v>
      </c>
      <c r="C457" s="330">
        <f t="shared" si="100"/>
        <v>0</v>
      </c>
      <c r="D457" s="314">
        <f t="shared" si="97"/>
        <v>1116.9100000000001</v>
      </c>
      <c r="E457" s="303">
        <v>0</v>
      </c>
      <c r="F457" s="307">
        <v>0</v>
      </c>
      <c r="G457" s="303">
        <v>0</v>
      </c>
      <c r="H457" s="303">
        <v>0</v>
      </c>
      <c r="I457" s="314">
        <v>0</v>
      </c>
      <c r="J457" s="335">
        <v>0</v>
      </c>
      <c r="K457" s="330">
        <v>0</v>
      </c>
      <c r="L457" s="330">
        <v>0</v>
      </c>
      <c r="M457" s="330">
        <v>0</v>
      </c>
      <c r="N457" s="330">
        <v>0</v>
      </c>
      <c r="O457" s="335">
        <v>0</v>
      </c>
      <c r="P457" s="330">
        <v>0</v>
      </c>
      <c r="Q457" s="330">
        <v>0</v>
      </c>
      <c r="R457" s="330">
        <v>0</v>
      </c>
      <c r="S457" s="330">
        <v>0</v>
      </c>
      <c r="T457" s="332">
        <v>0</v>
      </c>
      <c r="U457" s="330">
        <v>0</v>
      </c>
      <c r="V457" s="330">
        <v>0</v>
      </c>
      <c r="W457" s="330">
        <v>0</v>
      </c>
      <c r="X457" s="495">
        <v>0</v>
      </c>
      <c r="Y457" s="280">
        <v>0</v>
      </c>
      <c r="Z457" s="330">
        <v>0</v>
      </c>
      <c r="AA457" s="330">
        <v>0</v>
      </c>
      <c r="AB457" s="330"/>
      <c r="AC457" s="336">
        <v>1116.9100000000001</v>
      </c>
      <c r="AD457" s="279">
        <v>0</v>
      </c>
      <c r="AE457" s="330">
        <f t="shared" si="98"/>
        <v>1063.2983200000001</v>
      </c>
      <c r="AF457" s="330">
        <f t="shared" si="99"/>
        <v>53.611680000000007</v>
      </c>
      <c r="AG457" s="495">
        <v>0</v>
      </c>
      <c r="AH457" s="336">
        <v>0</v>
      </c>
      <c r="AI457" s="279">
        <v>0</v>
      </c>
      <c r="AJ457" s="330">
        <v>0</v>
      </c>
      <c r="AK457" s="330">
        <v>0</v>
      </c>
      <c r="AL457" s="285"/>
    </row>
    <row r="458" spans="1:38" s="275" customFormat="1" ht="76.2" customHeight="1" outlineLevel="1" x14ac:dyDescent="0.25">
      <c r="A458" s="311" t="s">
        <v>1104</v>
      </c>
      <c r="B458" s="331" t="s">
        <v>1103</v>
      </c>
      <c r="C458" s="330">
        <f t="shared" si="100"/>
        <v>0</v>
      </c>
      <c r="D458" s="314">
        <f t="shared" si="97"/>
        <v>2066.65</v>
      </c>
      <c r="E458" s="303">
        <v>0</v>
      </c>
      <c r="F458" s="307">
        <v>0</v>
      </c>
      <c r="G458" s="303">
        <v>0</v>
      </c>
      <c r="H458" s="303">
        <v>0</v>
      </c>
      <c r="I458" s="314">
        <v>0</v>
      </c>
      <c r="J458" s="335">
        <v>0</v>
      </c>
      <c r="K458" s="330">
        <v>0</v>
      </c>
      <c r="L458" s="330">
        <v>0</v>
      </c>
      <c r="M458" s="330">
        <v>0</v>
      </c>
      <c r="N458" s="330">
        <v>0</v>
      </c>
      <c r="O458" s="335">
        <v>0</v>
      </c>
      <c r="P458" s="330">
        <v>0</v>
      </c>
      <c r="Q458" s="330">
        <v>0</v>
      </c>
      <c r="R458" s="330">
        <v>0</v>
      </c>
      <c r="S458" s="330">
        <v>0</v>
      </c>
      <c r="T458" s="332">
        <v>0</v>
      </c>
      <c r="U458" s="330">
        <v>0</v>
      </c>
      <c r="V458" s="330">
        <v>0</v>
      </c>
      <c r="W458" s="330">
        <v>0</v>
      </c>
      <c r="X458" s="495">
        <v>0</v>
      </c>
      <c r="Y458" s="280">
        <v>0</v>
      </c>
      <c r="Z458" s="330">
        <v>0</v>
      </c>
      <c r="AA458" s="330">
        <v>0</v>
      </c>
      <c r="AB458" s="330"/>
      <c r="AC458" s="336">
        <v>2066.65</v>
      </c>
      <c r="AD458" s="279">
        <v>0</v>
      </c>
      <c r="AE458" s="330">
        <f t="shared" si="98"/>
        <v>1967.4508000000001</v>
      </c>
      <c r="AF458" s="330">
        <f t="shared" si="99"/>
        <v>99.199200000000005</v>
      </c>
      <c r="AG458" s="495">
        <v>0</v>
      </c>
      <c r="AH458" s="336">
        <v>0</v>
      </c>
      <c r="AI458" s="279">
        <v>0</v>
      </c>
      <c r="AJ458" s="330">
        <v>0</v>
      </c>
      <c r="AK458" s="330">
        <v>0</v>
      </c>
      <c r="AL458" s="285"/>
    </row>
    <row r="459" spans="1:38" s="275" customFormat="1" ht="73.2" customHeight="1" outlineLevel="1" x14ac:dyDescent="0.25">
      <c r="A459" s="311" t="s">
        <v>1106</v>
      </c>
      <c r="B459" s="331" t="s">
        <v>1105</v>
      </c>
      <c r="C459" s="330">
        <f t="shared" si="100"/>
        <v>0</v>
      </c>
      <c r="D459" s="314">
        <f t="shared" si="97"/>
        <v>495.3</v>
      </c>
      <c r="E459" s="303">
        <v>0</v>
      </c>
      <c r="F459" s="307">
        <v>0</v>
      </c>
      <c r="G459" s="303">
        <v>0</v>
      </c>
      <c r="H459" s="303">
        <v>0</v>
      </c>
      <c r="I459" s="314">
        <v>0</v>
      </c>
      <c r="J459" s="335">
        <v>0</v>
      </c>
      <c r="K459" s="330">
        <v>0</v>
      </c>
      <c r="L459" s="330">
        <v>0</v>
      </c>
      <c r="M459" s="330">
        <v>0</v>
      </c>
      <c r="N459" s="330">
        <v>0</v>
      </c>
      <c r="O459" s="335">
        <v>0</v>
      </c>
      <c r="P459" s="330">
        <v>0</v>
      </c>
      <c r="Q459" s="330">
        <v>0</v>
      </c>
      <c r="R459" s="330">
        <v>0</v>
      </c>
      <c r="S459" s="330">
        <v>0</v>
      </c>
      <c r="T459" s="332">
        <v>0</v>
      </c>
      <c r="U459" s="330">
        <v>0</v>
      </c>
      <c r="V459" s="330">
        <v>0</v>
      </c>
      <c r="W459" s="330">
        <v>0</v>
      </c>
      <c r="X459" s="495">
        <v>0</v>
      </c>
      <c r="Y459" s="280">
        <v>0</v>
      </c>
      <c r="Z459" s="330">
        <v>0</v>
      </c>
      <c r="AA459" s="330">
        <v>0</v>
      </c>
      <c r="AB459" s="330"/>
      <c r="AC459" s="336">
        <v>495.3</v>
      </c>
      <c r="AD459" s="279">
        <v>0</v>
      </c>
      <c r="AE459" s="330">
        <f t="shared" si="98"/>
        <v>471.5256</v>
      </c>
      <c r="AF459" s="330">
        <f t="shared" si="99"/>
        <v>23.7744</v>
      </c>
      <c r="AG459" s="495">
        <v>0</v>
      </c>
      <c r="AH459" s="336">
        <v>0</v>
      </c>
      <c r="AI459" s="279">
        <v>0</v>
      </c>
      <c r="AJ459" s="330">
        <v>0</v>
      </c>
      <c r="AK459" s="330">
        <v>0</v>
      </c>
      <c r="AL459" s="285"/>
    </row>
    <row r="460" spans="1:38" s="275" customFormat="1" ht="78" customHeight="1" outlineLevel="1" x14ac:dyDescent="0.25">
      <c r="A460" s="311" t="s">
        <v>1108</v>
      </c>
      <c r="B460" s="331" t="s">
        <v>1107</v>
      </c>
      <c r="C460" s="330">
        <f t="shared" si="100"/>
        <v>0</v>
      </c>
      <c r="D460" s="314">
        <f t="shared" si="97"/>
        <v>756.29</v>
      </c>
      <c r="E460" s="303">
        <v>0</v>
      </c>
      <c r="F460" s="307">
        <v>0</v>
      </c>
      <c r="G460" s="303">
        <v>0</v>
      </c>
      <c r="H460" s="303">
        <v>0</v>
      </c>
      <c r="I460" s="314">
        <v>0</v>
      </c>
      <c r="J460" s="335">
        <v>0</v>
      </c>
      <c r="K460" s="330">
        <v>0</v>
      </c>
      <c r="L460" s="330">
        <v>0</v>
      </c>
      <c r="M460" s="330">
        <v>0</v>
      </c>
      <c r="N460" s="330">
        <v>0</v>
      </c>
      <c r="O460" s="335">
        <v>0</v>
      </c>
      <c r="P460" s="330">
        <v>0</v>
      </c>
      <c r="Q460" s="330">
        <v>0</v>
      </c>
      <c r="R460" s="330">
        <v>0</v>
      </c>
      <c r="S460" s="330">
        <v>0</v>
      </c>
      <c r="T460" s="332">
        <v>0</v>
      </c>
      <c r="U460" s="330">
        <v>0</v>
      </c>
      <c r="V460" s="330">
        <v>0</v>
      </c>
      <c r="W460" s="330">
        <v>0</v>
      </c>
      <c r="X460" s="495">
        <v>0</v>
      </c>
      <c r="Y460" s="280">
        <v>0</v>
      </c>
      <c r="Z460" s="330">
        <v>0</v>
      </c>
      <c r="AA460" s="330">
        <v>0</v>
      </c>
      <c r="AB460" s="330"/>
      <c r="AC460" s="336">
        <v>756.29</v>
      </c>
      <c r="AD460" s="279">
        <v>0</v>
      </c>
      <c r="AE460" s="330">
        <f t="shared" si="98"/>
        <v>719.98807999999997</v>
      </c>
      <c r="AF460" s="330">
        <f t="shared" si="99"/>
        <v>36.301919999999996</v>
      </c>
      <c r="AG460" s="495">
        <v>0</v>
      </c>
      <c r="AH460" s="336">
        <v>0</v>
      </c>
      <c r="AI460" s="279">
        <v>0</v>
      </c>
      <c r="AJ460" s="330">
        <v>0</v>
      </c>
      <c r="AK460" s="330">
        <v>0</v>
      </c>
      <c r="AL460" s="285"/>
    </row>
    <row r="461" spans="1:38" s="275" customFormat="1" ht="84" customHeight="1" outlineLevel="1" x14ac:dyDescent="0.25">
      <c r="A461" s="311" t="s">
        <v>1110</v>
      </c>
      <c r="B461" s="331" t="s">
        <v>1109</v>
      </c>
      <c r="C461" s="330">
        <f t="shared" si="100"/>
        <v>0</v>
      </c>
      <c r="D461" s="314">
        <f t="shared" si="97"/>
        <v>2093.71</v>
      </c>
      <c r="E461" s="303">
        <v>0</v>
      </c>
      <c r="F461" s="307">
        <v>0</v>
      </c>
      <c r="G461" s="303">
        <v>0</v>
      </c>
      <c r="H461" s="303">
        <v>0</v>
      </c>
      <c r="I461" s="314">
        <v>0</v>
      </c>
      <c r="J461" s="335">
        <v>0</v>
      </c>
      <c r="K461" s="330">
        <v>0</v>
      </c>
      <c r="L461" s="330">
        <v>0</v>
      </c>
      <c r="M461" s="330">
        <v>0</v>
      </c>
      <c r="N461" s="330">
        <v>0</v>
      </c>
      <c r="O461" s="335">
        <v>0</v>
      </c>
      <c r="P461" s="330">
        <v>0</v>
      </c>
      <c r="Q461" s="330">
        <v>0</v>
      </c>
      <c r="R461" s="330">
        <v>0</v>
      </c>
      <c r="S461" s="330">
        <v>0</v>
      </c>
      <c r="T461" s="332">
        <v>0</v>
      </c>
      <c r="U461" s="330">
        <v>0</v>
      </c>
      <c r="V461" s="330">
        <v>0</v>
      </c>
      <c r="W461" s="330">
        <v>0</v>
      </c>
      <c r="X461" s="495">
        <v>0</v>
      </c>
      <c r="Y461" s="280">
        <v>0</v>
      </c>
      <c r="Z461" s="330">
        <v>0</v>
      </c>
      <c r="AA461" s="330">
        <v>0</v>
      </c>
      <c r="AB461" s="330"/>
      <c r="AC461" s="336">
        <v>2093.71</v>
      </c>
      <c r="AD461" s="279">
        <v>0</v>
      </c>
      <c r="AE461" s="330">
        <f t="shared" si="98"/>
        <v>1993.21192</v>
      </c>
      <c r="AF461" s="330">
        <f t="shared" si="99"/>
        <v>100.49808</v>
      </c>
      <c r="AG461" s="495">
        <v>0</v>
      </c>
      <c r="AH461" s="336">
        <v>0</v>
      </c>
      <c r="AI461" s="279">
        <v>0</v>
      </c>
      <c r="AJ461" s="330">
        <v>0</v>
      </c>
      <c r="AK461" s="330">
        <v>0</v>
      </c>
      <c r="AL461" s="285"/>
    </row>
    <row r="462" spans="1:38" s="275" customFormat="1" ht="82.95" customHeight="1" outlineLevel="1" x14ac:dyDescent="0.25">
      <c r="A462" s="311" t="s">
        <v>1112</v>
      </c>
      <c r="B462" s="331" t="s">
        <v>1111</v>
      </c>
      <c r="C462" s="330">
        <f t="shared" si="100"/>
        <v>0</v>
      </c>
      <c r="D462" s="314">
        <f t="shared" si="97"/>
        <v>931.46</v>
      </c>
      <c r="E462" s="303">
        <v>0</v>
      </c>
      <c r="F462" s="307">
        <v>0</v>
      </c>
      <c r="G462" s="303">
        <v>0</v>
      </c>
      <c r="H462" s="303">
        <v>0</v>
      </c>
      <c r="I462" s="314">
        <v>0</v>
      </c>
      <c r="J462" s="335">
        <v>0</v>
      </c>
      <c r="K462" s="330">
        <v>0</v>
      </c>
      <c r="L462" s="330">
        <v>0</v>
      </c>
      <c r="M462" s="330">
        <v>0</v>
      </c>
      <c r="N462" s="330">
        <v>0</v>
      </c>
      <c r="O462" s="335">
        <v>0</v>
      </c>
      <c r="P462" s="330">
        <v>0</v>
      </c>
      <c r="Q462" s="330">
        <v>0</v>
      </c>
      <c r="R462" s="330">
        <v>0</v>
      </c>
      <c r="S462" s="330">
        <v>0</v>
      </c>
      <c r="T462" s="332">
        <v>0</v>
      </c>
      <c r="U462" s="330">
        <v>0</v>
      </c>
      <c r="V462" s="330">
        <v>0</v>
      </c>
      <c r="W462" s="330">
        <v>0</v>
      </c>
      <c r="X462" s="495">
        <v>0</v>
      </c>
      <c r="Y462" s="280">
        <v>0</v>
      </c>
      <c r="Z462" s="330">
        <v>0</v>
      </c>
      <c r="AA462" s="330">
        <v>0</v>
      </c>
      <c r="AB462" s="330"/>
      <c r="AC462" s="336">
        <v>931.46</v>
      </c>
      <c r="AD462" s="279">
        <v>0</v>
      </c>
      <c r="AE462" s="330">
        <f t="shared" si="98"/>
        <v>886.74991999999997</v>
      </c>
      <c r="AF462" s="330">
        <f t="shared" si="99"/>
        <v>44.710080000000005</v>
      </c>
      <c r="AG462" s="495">
        <v>0</v>
      </c>
      <c r="AH462" s="336">
        <v>0</v>
      </c>
      <c r="AI462" s="279">
        <v>0</v>
      </c>
      <c r="AJ462" s="330">
        <v>0</v>
      </c>
      <c r="AK462" s="330">
        <v>0</v>
      </c>
      <c r="AL462" s="285"/>
    </row>
    <row r="463" spans="1:38" s="275" customFormat="1" ht="114" customHeight="1" outlineLevel="1" x14ac:dyDescent="0.25">
      <c r="A463" s="311" t="s">
        <v>1113</v>
      </c>
      <c r="B463" s="331" t="s">
        <v>1435</v>
      </c>
      <c r="C463" s="330">
        <f t="shared" si="100"/>
        <v>0</v>
      </c>
      <c r="D463" s="314">
        <f t="shared" si="97"/>
        <v>1526.84</v>
      </c>
      <c r="E463" s="303">
        <v>0</v>
      </c>
      <c r="F463" s="307">
        <v>0</v>
      </c>
      <c r="G463" s="303">
        <v>0</v>
      </c>
      <c r="H463" s="303">
        <v>0</v>
      </c>
      <c r="I463" s="314">
        <v>0</v>
      </c>
      <c r="J463" s="335">
        <v>0</v>
      </c>
      <c r="K463" s="330">
        <v>0</v>
      </c>
      <c r="L463" s="330">
        <v>0</v>
      </c>
      <c r="M463" s="330">
        <v>0</v>
      </c>
      <c r="N463" s="330">
        <v>0</v>
      </c>
      <c r="O463" s="335">
        <v>0</v>
      </c>
      <c r="P463" s="330">
        <v>0</v>
      </c>
      <c r="Q463" s="330">
        <v>0</v>
      </c>
      <c r="R463" s="330">
        <v>0</v>
      </c>
      <c r="S463" s="330">
        <v>0</v>
      </c>
      <c r="T463" s="332">
        <v>0</v>
      </c>
      <c r="U463" s="330">
        <v>0</v>
      </c>
      <c r="V463" s="330">
        <v>0</v>
      </c>
      <c r="W463" s="330">
        <v>0</v>
      </c>
      <c r="X463" s="495">
        <v>0</v>
      </c>
      <c r="Y463" s="280">
        <v>0</v>
      </c>
      <c r="Z463" s="330">
        <v>0</v>
      </c>
      <c r="AA463" s="330">
        <v>0</v>
      </c>
      <c r="AB463" s="330"/>
      <c r="AC463" s="336">
        <v>1526.84</v>
      </c>
      <c r="AD463" s="279">
        <v>0</v>
      </c>
      <c r="AE463" s="330">
        <f t="shared" si="98"/>
        <v>1453.5516799999998</v>
      </c>
      <c r="AF463" s="330">
        <f t="shared" si="99"/>
        <v>73.288319999999999</v>
      </c>
      <c r="AG463" s="495">
        <v>0</v>
      </c>
      <c r="AH463" s="336">
        <v>0</v>
      </c>
      <c r="AI463" s="279">
        <v>0</v>
      </c>
      <c r="AJ463" s="330">
        <v>0</v>
      </c>
      <c r="AK463" s="330">
        <v>0</v>
      </c>
      <c r="AL463" s="285"/>
    </row>
    <row r="464" spans="1:38" s="275" customFormat="1" ht="87" customHeight="1" outlineLevel="1" x14ac:dyDescent="0.25">
      <c r="A464" s="311" t="s">
        <v>1115</v>
      </c>
      <c r="B464" s="331" t="s">
        <v>1114</v>
      </c>
      <c r="C464" s="330">
        <f t="shared" si="100"/>
        <v>0</v>
      </c>
      <c r="D464" s="314">
        <f t="shared" si="97"/>
        <v>1533.82</v>
      </c>
      <c r="E464" s="303">
        <v>0</v>
      </c>
      <c r="F464" s="307">
        <v>0</v>
      </c>
      <c r="G464" s="303">
        <v>0</v>
      </c>
      <c r="H464" s="303">
        <v>0</v>
      </c>
      <c r="I464" s="314">
        <v>0</v>
      </c>
      <c r="J464" s="335">
        <v>0</v>
      </c>
      <c r="K464" s="330">
        <v>0</v>
      </c>
      <c r="L464" s="330">
        <v>0</v>
      </c>
      <c r="M464" s="330">
        <v>0</v>
      </c>
      <c r="N464" s="330">
        <v>0</v>
      </c>
      <c r="O464" s="335">
        <v>0</v>
      </c>
      <c r="P464" s="330">
        <v>0</v>
      </c>
      <c r="Q464" s="330">
        <v>0</v>
      </c>
      <c r="R464" s="330">
        <v>0</v>
      </c>
      <c r="S464" s="330">
        <v>0</v>
      </c>
      <c r="T464" s="332">
        <v>0</v>
      </c>
      <c r="U464" s="330">
        <v>0</v>
      </c>
      <c r="V464" s="330">
        <v>0</v>
      </c>
      <c r="W464" s="330">
        <v>0</v>
      </c>
      <c r="X464" s="495">
        <v>0</v>
      </c>
      <c r="Y464" s="280">
        <v>0</v>
      </c>
      <c r="Z464" s="330">
        <v>0</v>
      </c>
      <c r="AA464" s="330">
        <v>0</v>
      </c>
      <c r="AB464" s="330"/>
      <c r="AC464" s="336">
        <v>1533.82</v>
      </c>
      <c r="AD464" s="279">
        <v>0</v>
      </c>
      <c r="AE464" s="330">
        <f t="shared" si="98"/>
        <v>1460.1966399999999</v>
      </c>
      <c r="AF464" s="330">
        <f t="shared" si="99"/>
        <v>73.623360000000005</v>
      </c>
      <c r="AG464" s="495">
        <v>0</v>
      </c>
      <c r="AH464" s="336">
        <v>0</v>
      </c>
      <c r="AI464" s="279">
        <v>0</v>
      </c>
      <c r="AJ464" s="330">
        <v>0</v>
      </c>
      <c r="AK464" s="330">
        <v>0</v>
      </c>
      <c r="AL464" s="285"/>
    </row>
    <row r="465" spans="1:38" s="275" customFormat="1" ht="96.6" customHeight="1" outlineLevel="1" x14ac:dyDescent="0.25">
      <c r="A465" s="311" t="s">
        <v>1116</v>
      </c>
      <c r="B465" s="331" t="s">
        <v>1436</v>
      </c>
      <c r="C465" s="330">
        <f t="shared" si="100"/>
        <v>0</v>
      </c>
      <c r="D465" s="314">
        <f t="shared" si="97"/>
        <v>1416.29</v>
      </c>
      <c r="E465" s="303">
        <v>0</v>
      </c>
      <c r="F465" s="307">
        <v>0</v>
      </c>
      <c r="G465" s="303">
        <v>0</v>
      </c>
      <c r="H465" s="303">
        <v>0</v>
      </c>
      <c r="I465" s="314">
        <v>0</v>
      </c>
      <c r="J465" s="335">
        <v>0</v>
      </c>
      <c r="K465" s="330">
        <v>0</v>
      </c>
      <c r="L465" s="330">
        <v>0</v>
      </c>
      <c r="M465" s="330">
        <v>0</v>
      </c>
      <c r="N465" s="330">
        <v>0</v>
      </c>
      <c r="O465" s="335">
        <v>0</v>
      </c>
      <c r="P465" s="330">
        <v>0</v>
      </c>
      <c r="Q465" s="330">
        <v>0</v>
      </c>
      <c r="R465" s="330">
        <v>0</v>
      </c>
      <c r="S465" s="330">
        <v>0</v>
      </c>
      <c r="T465" s="332">
        <v>0</v>
      </c>
      <c r="U465" s="330">
        <v>0</v>
      </c>
      <c r="V465" s="330">
        <v>0</v>
      </c>
      <c r="W465" s="330">
        <v>0</v>
      </c>
      <c r="X465" s="495">
        <v>0</v>
      </c>
      <c r="Y465" s="280">
        <v>0</v>
      </c>
      <c r="Z465" s="330">
        <v>0</v>
      </c>
      <c r="AA465" s="330">
        <v>0</v>
      </c>
      <c r="AB465" s="330"/>
      <c r="AC465" s="336">
        <v>1416.29</v>
      </c>
      <c r="AD465" s="279">
        <v>0</v>
      </c>
      <c r="AE465" s="330">
        <f t="shared" si="98"/>
        <v>1348.30808</v>
      </c>
      <c r="AF465" s="330">
        <f t="shared" si="99"/>
        <v>67.981920000000002</v>
      </c>
      <c r="AG465" s="495">
        <v>0</v>
      </c>
      <c r="AH465" s="336">
        <v>0</v>
      </c>
      <c r="AI465" s="279">
        <v>0</v>
      </c>
      <c r="AJ465" s="330">
        <v>0</v>
      </c>
      <c r="AK465" s="330">
        <v>0</v>
      </c>
      <c r="AL465" s="285"/>
    </row>
    <row r="466" spans="1:38" s="275" customFormat="1" ht="85.95" customHeight="1" outlineLevel="1" x14ac:dyDescent="0.25">
      <c r="A466" s="311" t="s">
        <v>1118</v>
      </c>
      <c r="B466" s="331" t="s">
        <v>1117</v>
      </c>
      <c r="C466" s="330">
        <f t="shared" si="100"/>
        <v>0</v>
      </c>
      <c r="D466" s="314">
        <f t="shared" si="97"/>
        <v>2197.0300000000002</v>
      </c>
      <c r="E466" s="303">
        <v>0</v>
      </c>
      <c r="F466" s="307">
        <v>0</v>
      </c>
      <c r="G466" s="303">
        <v>0</v>
      </c>
      <c r="H466" s="303">
        <v>0</v>
      </c>
      <c r="I466" s="314">
        <v>0</v>
      </c>
      <c r="J466" s="335">
        <v>0</v>
      </c>
      <c r="K466" s="330">
        <v>0</v>
      </c>
      <c r="L466" s="330">
        <v>0</v>
      </c>
      <c r="M466" s="330">
        <v>0</v>
      </c>
      <c r="N466" s="330">
        <v>0</v>
      </c>
      <c r="O466" s="335">
        <v>0</v>
      </c>
      <c r="P466" s="330">
        <v>0</v>
      </c>
      <c r="Q466" s="330">
        <v>0</v>
      </c>
      <c r="R466" s="330">
        <v>0</v>
      </c>
      <c r="S466" s="330">
        <v>0</v>
      </c>
      <c r="T466" s="332">
        <v>0</v>
      </c>
      <c r="U466" s="330">
        <v>0</v>
      </c>
      <c r="V466" s="330">
        <v>0</v>
      </c>
      <c r="W466" s="330">
        <v>0</v>
      </c>
      <c r="X466" s="495">
        <v>0</v>
      </c>
      <c r="Y466" s="280">
        <v>0</v>
      </c>
      <c r="Z466" s="330">
        <v>0</v>
      </c>
      <c r="AA466" s="330">
        <v>0</v>
      </c>
      <c r="AB466" s="330"/>
      <c r="AC466" s="336">
        <v>2197.0300000000002</v>
      </c>
      <c r="AD466" s="279">
        <v>0</v>
      </c>
      <c r="AE466" s="330">
        <f t="shared" si="98"/>
        <v>2091.5725600000001</v>
      </c>
      <c r="AF466" s="330">
        <f t="shared" si="99"/>
        <v>105.45744000000001</v>
      </c>
      <c r="AG466" s="495">
        <v>0</v>
      </c>
      <c r="AH466" s="336">
        <v>0</v>
      </c>
      <c r="AI466" s="279">
        <v>0</v>
      </c>
      <c r="AJ466" s="330">
        <v>0</v>
      </c>
      <c r="AK466" s="330">
        <v>0</v>
      </c>
      <c r="AL466" s="285"/>
    </row>
    <row r="467" spans="1:38" s="275" customFormat="1" ht="88.2" customHeight="1" outlineLevel="1" x14ac:dyDescent="0.25">
      <c r="A467" s="311" t="s">
        <v>1120</v>
      </c>
      <c r="B467" s="331" t="s">
        <v>1119</v>
      </c>
      <c r="C467" s="330">
        <f t="shared" si="100"/>
        <v>0</v>
      </c>
      <c r="D467" s="314">
        <f t="shared" si="97"/>
        <v>728.29</v>
      </c>
      <c r="E467" s="303">
        <v>0</v>
      </c>
      <c r="F467" s="307">
        <v>0</v>
      </c>
      <c r="G467" s="303">
        <v>0</v>
      </c>
      <c r="H467" s="303">
        <v>0</v>
      </c>
      <c r="I467" s="314">
        <v>0</v>
      </c>
      <c r="J467" s="335">
        <v>0</v>
      </c>
      <c r="K467" s="330">
        <v>0</v>
      </c>
      <c r="L467" s="330">
        <v>0</v>
      </c>
      <c r="M467" s="330">
        <v>0</v>
      </c>
      <c r="N467" s="330">
        <v>0</v>
      </c>
      <c r="O467" s="335">
        <v>0</v>
      </c>
      <c r="P467" s="330">
        <v>0</v>
      </c>
      <c r="Q467" s="330">
        <v>0</v>
      </c>
      <c r="R467" s="330">
        <v>0</v>
      </c>
      <c r="S467" s="330">
        <v>0</v>
      </c>
      <c r="T467" s="332">
        <v>0</v>
      </c>
      <c r="U467" s="330">
        <v>0</v>
      </c>
      <c r="V467" s="330">
        <v>0</v>
      </c>
      <c r="W467" s="330">
        <v>0</v>
      </c>
      <c r="X467" s="495">
        <v>0</v>
      </c>
      <c r="Y467" s="280">
        <v>0</v>
      </c>
      <c r="Z467" s="330">
        <v>0</v>
      </c>
      <c r="AA467" s="330">
        <v>0</v>
      </c>
      <c r="AB467" s="330"/>
      <c r="AC467" s="336">
        <v>728.29</v>
      </c>
      <c r="AD467" s="279">
        <v>0</v>
      </c>
      <c r="AE467" s="330">
        <f t="shared" si="98"/>
        <v>693.33207999999991</v>
      </c>
      <c r="AF467" s="330">
        <f t="shared" si="99"/>
        <v>34.957920000000001</v>
      </c>
      <c r="AG467" s="495">
        <v>0</v>
      </c>
      <c r="AH467" s="336">
        <v>0</v>
      </c>
      <c r="AI467" s="279">
        <v>0</v>
      </c>
      <c r="AJ467" s="330">
        <v>0</v>
      </c>
      <c r="AK467" s="330">
        <v>0</v>
      </c>
      <c r="AL467" s="285"/>
    </row>
    <row r="468" spans="1:38" s="275" customFormat="1" ht="86.4" customHeight="1" outlineLevel="1" x14ac:dyDescent="0.25">
      <c r="A468" s="311" t="s">
        <v>1122</v>
      </c>
      <c r="B468" s="331" t="s">
        <v>1121</v>
      </c>
      <c r="C468" s="330">
        <f t="shared" si="100"/>
        <v>0</v>
      </c>
      <c r="D468" s="314">
        <f t="shared" si="97"/>
        <v>585.03</v>
      </c>
      <c r="E468" s="303">
        <v>0</v>
      </c>
      <c r="F468" s="307">
        <v>0</v>
      </c>
      <c r="G468" s="303">
        <v>0</v>
      </c>
      <c r="H468" s="303">
        <v>0</v>
      </c>
      <c r="I468" s="314">
        <v>0</v>
      </c>
      <c r="J468" s="335">
        <v>0</v>
      </c>
      <c r="K468" s="330">
        <v>0</v>
      </c>
      <c r="L468" s="330">
        <v>0</v>
      </c>
      <c r="M468" s="330">
        <v>0</v>
      </c>
      <c r="N468" s="330">
        <v>0</v>
      </c>
      <c r="O468" s="335">
        <v>0</v>
      </c>
      <c r="P468" s="330">
        <v>0</v>
      </c>
      <c r="Q468" s="330">
        <v>0</v>
      </c>
      <c r="R468" s="330">
        <v>0</v>
      </c>
      <c r="S468" s="330">
        <v>0</v>
      </c>
      <c r="T468" s="332">
        <v>0</v>
      </c>
      <c r="U468" s="330">
        <v>0</v>
      </c>
      <c r="V468" s="330">
        <v>0</v>
      </c>
      <c r="W468" s="330">
        <v>0</v>
      </c>
      <c r="X468" s="495">
        <v>0</v>
      </c>
      <c r="Y468" s="280">
        <v>0</v>
      </c>
      <c r="Z468" s="330">
        <v>0</v>
      </c>
      <c r="AA468" s="330">
        <v>0</v>
      </c>
      <c r="AB468" s="330"/>
      <c r="AC468" s="336">
        <v>585.03</v>
      </c>
      <c r="AD468" s="279">
        <v>0</v>
      </c>
      <c r="AE468" s="330">
        <f t="shared" si="98"/>
        <v>556.94855999999993</v>
      </c>
      <c r="AF468" s="330">
        <f t="shared" si="99"/>
        <v>28.081440000000001</v>
      </c>
      <c r="AG468" s="495">
        <v>0</v>
      </c>
      <c r="AH468" s="336">
        <v>0</v>
      </c>
      <c r="AI468" s="279">
        <v>0</v>
      </c>
      <c r="AJ468" s="330">
        <v>0</v>
      </c>
      <c r="AK468" s="330">
        <v>0</v>
      </c>
      <c r="AL468" s="285"/>
    </row>
    <row r="469" spans="1:38" s="275" customFormat="1" ht="94.95" customHeight="1" outlineLevel="1" x14ac:dyDescent="0.25">
      <c r="A469" s="311" t="s">
        <v>1124</v>
      </c>
      <c r="B469" s="331" t="s">
        <v>1123</v>
      </c>
      <c r="C469" s="330">
        <f t="shared" si="100"/>
        <v>0</v>
      </c>
      <c r="D469" s="314">
        <f t="shared" si="97"/>
        <v>840.06</v>
      </c>
      <c r="E469" s="303">
        <v>0</v>
      </c>
      <c r="F469" s="307">
        <v>0</v>
      </c>
      <c r="G469" s="303">
        <v>0</v>
      </c>
      <c r="H469" s="303">
        <v>0</v>
      </c>
      <c r="I469" s="314">
        <v>0</v>
      </c>
      <c r="J469" s="335">
        <v>0</v>
      </c>
      <c r="K469" s="330">
        <v>0</v>
      </c>
      <c r="L469" s="330">
        <v>0</v>
      </c>
      <c r="M469" s="330">
        <v>0</v>
      </c>
      <c r="N469" s="330">
        <v>0</v>
      </c>
      <c r="O469" s="335">
        <v>0</v>
      </c>
      <c r="P469" s="330">
        <v>0</v>
      </c>
      <c r="Q469" s="330">
        <v>0</v>
      </c>
      <c r="R469" s="330">
        <v>0</v>
      </c>
      <c r="S469" s="330">
        <v>0</v>
      </c>
      <c r="T469" s="332">
        <v>0</v>
      </c>
      <c r="U469" s="330">
        <v>0</v>
      </c>
      <c r="V469" s="330">
        <v>0</v>
      </c>
      <c r="W469" s="330">
        <v>0</v>
      </c>
      <c r="X469" s="495">
        <v>0</v>
      </c>
      <c r="Y469" s="280">
        <v>0</v>
      </c>
      <c r="Z469" s="330">
        <v>0</v>
      </c>
      <c r="AA469" s="330">
        <v>0</v>
      </c>
      <c r="AB469" s="330"/>
      <c r="AC469" s="336">
        <v>840.06</v>
      </c>
      <c r="AD469" s="279">
        <v>0</v>
      </c>
      <c r="AE469" s="330">
        <f t="shared" si="98"/>
        <v>799.73711999999989</v>
      </c>
      <c r="AF469" s="330">
        <f t="shared" si="99"/>
        <v>40.322879999999998</v>
      </c>
      <c r="AG469" s="495">
        <v>0</v>
      </c>
      <c r="AH469" s="336">
        <v>0</v>
      </c>
      <c r="AI469" s="279">
        <v>0</v>
      </c>
      <c r="AJ469" s="330">
        <v>0</v>
      </c>
      <c r="AK469" s="330">
        <v>0</v>
      </c>
      <c r="AL469" s="285"/>
    </row>
    <row r="470" spans="1:38" s="275" customFormat="1" ht="87" customHeight="1" outlineLevel="1" x14ac:dyDescent="0.25">
      <c r="A470" s="311" t="s">
        <v>1126</v>
      </c>
      <c r="B470" s="331" t="s">
        <v>1125</v>
      </c>
      <c r="C470" s="330">
        <f t="shared" si="100"/>
        <v>0</v>
      </c>
      <c r="D470" s="314">
        <f t="shared" si="97"/>
        <v>998.39</v>
      </c>
      <c r="E470" s="303">
        <v>0</v>
      </c>
      <c r="F470" s="307">
        <v>0</v>
      </c>
      <c r="G470" s="303">
        <v>0</v>
      </c>
      <c r="H470" s="303">
        <v>0</v>
      </c>
      <c r="I470" s="314">
        <v>0</v>
      </c>
      <c r="J470" s="335">
        <v>0</v>
      </c>
      <c r="K470" s="330">
        <v>0</v>
      </c>
      <c r="L470" s="330">
        <v>0</v>
      </c>
      <c r="M470" s="330">
        <v>0</v>
      </c>
      <c r="N470" s="330">
        <v>0</v>
      </c>
      <c r="O470" s="335">
        <v>0</v>
      </c>
      <c r="P470" s="330">
        <v>0</v>
      </c>
      <c r="Q470" s="330">
        <v>0</v>
      </c>
      <c r="R470" s="330">
        <v>0</v>
      </c>
      <c r="S470" s="330">
        <v>0</v>
      </c>
      <c r="T470" s="332">
        <v>0</v>
      </c>
      <c r="U470" s="330">
        <v>0</v>
      </c>
      <c r="V470" s="330">
        <v>0</v>
      </c>
      <c r="W470" s="330">
        <v>0</v>
      </c>
      <c r="X470" s="495">
        <v>0</v>
      </c>
      <c r="Y470" s="280">
        <v>0</v>
      </c>
      <c r="Z470" s="330">
        <v>0</v>
      </c>
      <c r="AA470" s="330">
        <v>0</v>
      </c>
      <c r="AB470" s="330"/>
      <c r="AC470" s="336">
        <v>998.39</v>
      </c>
      <c r="AD470" s="279">
        <v>0</v>
      </c>
      <c r="AE470" s="330">
        <f t="shared" si="98"/>
        <v>950.46727999999996</v>
      </c>
      <c r="AF470" s="330">
        <f t="shared" si="99"/>
        <v>47.922719999999998</v>
      </c>
      <c r="AG470" s="495">
        <v>0</v>
      </c>
      <c r="AH470" s="336">
        <v>0</v>
      </c>
      <c r="AI470" s="279">
        <v>0</v>
      </c>
      <c r="AJ470" s="330">
        <v>0</v>
      </c>
      <c r="AK470" s="330">
        <v>0</v>
      </c>
      <c r="AL470" s="285"/>
    </row>
    <row r="471" spans="1:38" s="275" customFormat="1" ht="93.6" customHeight="1" outlineLevel="1" x14ac:dyDescent="0.25">
      <c r="A471" s="311" t="s">
        <v>1127</v>
      </c>
      <c r="B471" s="331" t="s">
        <v>1437</v>
      </c>
      <c r="C471" s="330">
        <f t="shared" si="100"/>
        <v>0</v>
      </c>
      <c r="D471" s="314">
        <f t="shared" si="97"/>
        <v>680.88</v>
      </c>
      <c r="E471" s="303">
        <v>0</v>
      </c>
      <c r="F471" s="307">
        <v>0</v>
      </c>
      <c r="G471" s="303">
        <v>0</v>
      </c>
      <c r="H471" s="303">
        <v>0</v>
      </c>
      <c r="I471" s="314">
        <v>0</v>
      </c>
      <c r="J471" s="335">
        <v>0</v>
      </c>
      <c r="K471" s="330">
        <v>0</v>
      </c>
      <c r="L471" s="330">
        <v>0</v>
      </c>
      <c r="M471" s="330">
        <v>0</v>
      </c>
      <c r="N471" s="330">
        <v>0</v>
      </c>
      <c r="O471" s="335">
        <v>0</v>
      </c>
      <c r="P471" s="330">
        <v>0</v>
      </c>
      <c r="Q471" s="330">
        <v>0</v>
      </c>
      <c r="R471" s="330">
        <v>0</v>
      </c>
      <c r="S471" s="330">
        <v>0</v>
      </c>
      <c r="T471" s="332">
        <v>0</v>
      </c>
      <c r="U471" s="330">
        <v>0</v>
      </c>
      <c r="V471" s="330">
        <v>0</v>
      </c>
      <c r="W471" s="330">
        <v>0</v>
      </c>
      <c r="X471" s="495">
        <v>0</v>
      </c>
      <c r="Y471" s="280">
        <v>0</v>
      </c>
      <c r="Z471" s="330">
        <v>0</v>
      </c>
      <c r="AA471" s="330">
        <v>0</v>
      </c>
      <c r="AB471" s="330"/>
      <c r="AC471" s="336">
        <v>680.88</v>
      </c>
      <c r="AD471" s="279">
        <v>0</v>
      </c>
      <c r="AE471" s="330">
        <f t="shared" si="98"/>
        <v>648.19776000000002</v>
      </c>
      <c r="AF471" s="330">
        <f t="shared" si="99"/>
        <v>32.68224</v>
      </c>
      <c r="AG471" s="495">
        <v>0</v>
      </c>
      <c r="AH471" s="336">
        <v>0</v>
      </c>
      <c r="AI471" s="279">
        <v>0</v>
      </c>
      <c r="AJ471" s="330">
        <v>0</v>
      </c>
      <c r="AK471" s="330">
        <v>0</v>
      </c>
      <c r="AL471" s="285"/>
    </row>
    <row r="472" spans="1:38" s="275" customFormat="1" ht="88.2" customHeight="1" outlineLevel="1" x14ac:dyDescent="0.25">
      <c r="A472" s="311" t="s">
        <v>1128</v>
      </c>
      <c r="B472" s="331" t="s">
        <v>1438</v>
      </c>
      <c r="C472" s="330">
        <f t="shared" si="100"/>
        <v>0</v>
      </c>
      <c r="D472" s="314">
        <f t="shared" si="97"/>
        <v>1191.0999999999999</v>
      </c>
      <c r="E472" s="303">
        <v>0</v>
      </c>
      <c r="F472" s="307">
        <v>0</v>
      </c>
      <c r="G472" s="303">
        <v>0</v>
      </c>
      <c r="H472" s="303">
        <v>0</v>
      </c>
      <c r="I472" s="314">
        <v>0</v>
      </c>
      <c r="J472" s="335">
        <v>0</v>
      </c>
      <c r="K472" s="330">
        <v>0</v>
      </c>
      <c r="L472" s="330">
        <v>0</v>
      </c>
      <c r="M472" s="330">
        <v>0</v>
      </c>
      <c r="N472" s="330">
        <v>0</v>
      </c>
      <c r="O472" s="335">
        <v>0</v>
      </c>
      <c r="P472" s="330">
        <v>0</v>
      </c>
      <c r="Q472" s="330">
        <v>0</v>
      </c>
      <c r="R472" s="330">
        <v>0</v>
      </c>
      <c r="S472" s="330">
        <v>0</v>
      </c>
      <c r="T472" s="332">
        <v>0</v>
      </c>
      <c r="U472" s="330">
        <v>0</v>
      </c>
      <c r="V472" s="330">
        <v>0</v>
      </c>
      <c r="W472" s="330">
        <v>0</v>
      </c>
      <c r="X472" s="495">
        <v>0</v>
      </c>
      <c r="Y472" s="280">
        <v>0</v>
      </c>
      <c r="Z472" s="330">
        <v>0</v>
      </c>
      <c r="AA472" s="330">
        <v>0</v>
      </c>
      <c r="AB472" s="330"/>
      <c r="AC472" s="336">
        <v>1191.0999999999999</v>
      </c>
      <c r="AD472" s="279">
        <v>0</v>
      </c>
      <c r="AE472" s="330">
        <f t="shared" si="98"/>
        <v>1133.9271999999999</v>
      </c>
      <c r="AF472" s="330">
        <f t="shared" si="99"/>
        <v>57.172799999999995</v>
      </c>
      <c r="AG472" s="495">
        <v>0</v>
      </c>
      <c r="AH472" s="336">
        <v>0</v>
      </c>
      <c r="AI472" s="279">
        <v>0</v>
      </c>
      <c r="AJ472" s="330">
        <v>0</v>
      </c>
      <c r="AK472" s="330">
        <v>0</v>
      </c>
      <c r="AL472" s="285"/>
    </row>
    <row r="473" spans="1:38" s="275" customFormat="1" ht="85.95" customHeight="1" outlineLevel="1" x14ac:dyDescent="0.25">
      <c r="A473" s="311" t="s">
        <v>1129</v>
      </c>
      <c r="B473" s="331" t="s">
        <v>1439</v>
      </c>
      <c r="C473" s="330">
        <f t="shared" si="100"/>
        <v>0</v>
      </c>
      <c r="D473" s="314">
        <f t="shared" si="97"/>
        <v>841.56</v>
      </c>
      <c r="E473" s="303">
        <v>0</v>
      </c>
      <c r="F473" s="307">
        <v>0</v>
      </c>
      <c r="G473" s="303">
        <v>0</v>
      </c>
      <c r="H473" s="303">
        <v>0</v>
      </c>
      <c r="I473" s="314">
        <v>0</v>
      </c>
      <c r="J473" s="335">
        <v>0</v>
      </c>
      <c r="K473" s="330">
        <v>0</v>
      </c>
      <c r="L473" s="330">
        <v>0</v>
      </c>
      <c r="M473" s="330">
        <v>0</v>
      </c>
      <c r="N473" s="330">
        <v>0</v>
      </c>
      <c r="O473" s="335">
        <v>0</v>
      </c>
      <c r="P473" s="330">
        <v>0</v>
      </c>
      <c r="Q473" s="330">
        <v>0</v>
      </c>
      <c r="R473" s="330">
        <v>0</v>
      </c>
      <c r="S473" s="330">
        <v>0</v>
      </c>
      <c r="T473" s="332">
        <v>0</v>
      </c>
      <c r="U473" s="330">
        <v>0</v>
      </c>
      <c r="V473" s="330">
        <v>0</v>
      </c>
      <c r="W473" s="330">
        <v>0</v>
      </c>
      <c r="X473" s="495">
        <v>0</v>
      </c>
      <c r="Y473" s="280">
        <v>0</v>
      </c>
      <c r="Z473" s="330">
        <v>0</v>
      </c>
      <c r="AA473" s="330">
        <v>0</v>
      </c>
      <c r="AB473" s="330"/>
      <c r="AC473" s="336">
        <v>841.56</v>
      </c>
      <c r="AD473" s="279">
        <v>0</v>
      </c>
      <c r="AE473" s="330">
        <f t="shared" si="98"/>
        <v>801.16511999999989</v>
      </c>
      <c r="AF473" s="330">
        <f t="shared" si="99"/>
        <v>40.394880000000001</v>
      </c>
      <c r="AG473" s="495">
        <v>0</v>
      </c>
      <c r="AH473" s="336">
        <v>0</v>
      </c>
      <c r="AI473" s="279">
        <v>0</v>
      </c>
      <c r="AJ473" s="330">
        <v>0</v>
      </c>
      <c r="AK473" s="330">
        <v>0</v>
      </c>
      <c r="AL473" s="285"/>
    </row>
    <row r="474" spans="1:38" s="275" customFormat="1" ht="102" customHeight="1" outlineLevel="1" x14ac:dyDescent="0.25">
      <c r="A474" s="311" t="s">
        <v>1130</v>
      </c>
      <c r="B474" s="331" t="s">
        <v>1440</v>
      </c>
      <c r="C474" s="330">
        <f t="shared" si="100"/>
        <v>0</v>
      </c>
      <c r="D474" s="314">
        <f t="shared" si="97"/>
        <v>1504.71</v>
      </c>
      <c r="E474" s="303">
        <v>0</v>
      </c>
      <c r="F474" s="307">
        <v>0</v>
      </c>
      <c r="G474" s="303">
        <v>0</v>
      </c>
      <c r="H474" s="303">
        <v>0</v>
      </c>
      <c r="I474" s="314">
        <v>0</v>
      </c>
      <c r="J474" s="335">
        <v>0</v>
      </c>
      <c r="K474" s="330">
        <v>0</v>
      </c>
      <c r="L474" s="330">
        <v>0</v>
      </c>
      <c r="M474" s="330">
        <v>0</v>
      </c>
      <c r="N474" s="330">
        <v>0</v>
      </c>
      <c r="O474" s="335">
        <v>0</v>
      </c>
      <c r="P474" s="330">
        <v>0</v>
      </c>
      <c r="Q474" s="330">
        <v>0</v>
      </c>
      <c r="R474" s="330">
        <v>0</v>
      </c>
      <c r="S474" s="330">
        <v>0</v>
      </c>
      <c r="T474" s="332">
        <v>0</v>
      </c>
      <c r="U474" s="330">
        <v>0</v>
      </c>
      <c r="V474" s="330">
        <v>0</v>
      </c>
      <c r="W474" s="330">
        <v>0</v>
      </c>
      <c r="X474" s="495">
        <v>0</v>
      </c>
      <c r="Y474" s="280">
        <v>0</v>
      </c>
      <c r="Z474" s="330">
        <v>0</v>
      </c>
      <c r="AA474" s="330">
        <v>0</v>
      </c>
      <c r="AB474" s="330"/>
      <c r="AC474" s="336">
        <v>1504.71</v>
      </c>
      <c r="AD474" s="279">
        <v>0</v>
      </c>
      <c r="AE474" s="330">
        <f t="shared" si="98"/>
        <v>1432.4839199999999</v>
      </c>
      <c r="AF474" s="330">
        <f t="shared" si="99"/>
        <v>72.22608000000001</v>
      </c>
      <c r="AG474" s="495">
        <v>0</v>
      </c>
      <c r="AH474" s="336">
        <v>0</v>
      </c>
      <c r="AI474" s="279">
        <v>0</v>
      </c>
      <c r="AJ474" s="330">
        <v>0</v>
      </c>
      <c r="AK474" s="330">
        <v>0</v>
      </c>
      <c r="AL474" s="285"/>
    </row>
    <row r="475" spans="1:38" s="275" customFormat="1" ht="117" customHeight="1" outlineLevel="1" x14ac:dyDescent="0.25">
      <c r="A475" s="311" t="s">
        <v>1131</v>
      </c>
      <c r="B475" s="331" t="s">
        <v>1441</v>
      </c>
      <c r="C475" s="330">
        <f t="shared" si="100"/>
        <v>0</v>
      </c>
      <c r="D475" s="314">
        <f t="shared" si="97"/>
        <v>1044.4000000000001</v>
      </c>
      <c r="E475" s="303">
        <v>0</v>
      </c>
      <c r="F475" s="307">
        <v>0</v>
      </c>
      <c r="G475" s="303">
        <v>0</v>
      </c>
      <c r="H475" s="303">
        <v>0</v>
      </c>
      <c r="I475" s="314">
        <v>0</v>
      </c>
      <c r="J475" s="335">
        <v>0</v>
      </c>
      <c r="K475" s="330">
        <v>0</v>
      </c>
      <c r="L475" s="330">
        <v>0</v>
      </c>
      <c r="M475" s="330">
        <v>0</v>
      </c>
      <c r="N475" s="330">
        <v>0</v>
      </c>
      <c r="O475" s="335">
        <v>0</v>
      </c>
      <c r="P475" s="330">
        <v>0</v>
      </c>
      <c r="Q475" s="330">
        <v>0</v>
      </c>
      <c r="R475" s="330">
        <v>0</v>
      </c>
      <c r="S475" s="330">
        <v>0</v>
      </c>
      <c r="T475" s="332">
        <v>0</v>
      </c>
      <c r="U475" s="330">
        <v>0</v>
      </c>
      <c r="V475" s="330">
        <v>0</v>
      </c>
      <c r="W475" s="330">
        <v>0</v>
      </c>
      <c r="X475" s="495">
        <v>0</v>
      </c>
      <c r="Y475" s="280">
        <v>0</v>
      </c>
      <c r="Z475" s="330">
        <v>0</v>
      </c>
      <c r="AA475" s="330">
        <v>0</v>
      </c>
      <c r="AB475" s="330"/>
      <c r="AC475" s="336">
        <v>1044.4000000000001</v>
      </c>
      <c r="AD475" s="279">
        <v>0</v>
      </c>
      <c r="AE475" s="330">
        <f t="shared" si="98"/>
        <v>994.26880000000006</v>
      </c>
      <c r="AF475" s="330">
        <f t="shared" si="99"/>
        <v>50.131200000000007</v>
      </c>
      <c r="AG475" s="495">
        <v>0</v>
      </c>
      <c r="AH475" s="336">
        <v>0</v>
      </c>
      <c r="AI475" s="279">
        <v>0</v>
      </c>
      <c r="AJ475" s="330">
        <v>0</v>
      </c>
      <c r="AK475" s="330">
        <v>0</v>
      </c>
      <c r="AL475" s="285"/>
    </row>
    <row r="476" spans="1:38" s="275" customFormat="1" ht="88.2" customHeight="1" outlineLevel="1" x14ac:dyDescent="0.25">
      <c r="A476" s="311" t="s">
        <v>1132</v>
      </c>
      <c r="B476" s="331" t="s">
        <v>1442</v>
      </c>
      <c r="C476" s="330">
        <f t="shared" si="100"/>
        <v>0</v>
      </c>
      <c r="D476" s="314">
        <f t="shared" si="97"/>
        <v>2722.28</v>
      </c>
      <c r="E476" s="303">
        <v>0</v>
      </c>
      <c r="F476" s="307">
        <v>0</v>
      </c>
      <c r="G476" s="303">
        <v>0</v>
      </c>
      <c r="H476" s="303">
        <v>0</v>
      </c>
      <c r="I476" s="314">
        <v>0</v>
      </c>
      <c r="J476" s="335">
        <v>0</v>
      </c>
      <c r="K476" s="330">
        <v>0</v>
      </c>
      <c r="L476" s="330">
        <v>0</v>
      </c>
      <c r="M476" s="330">
        <v>0</v>
      </c>
      <c r="N476" s="330">
        <v>0</v>
      </c>
      <c r="O476" s="335">
        <v>0</v>
      </c>
      <c r="P476" s="330">
        <v>0</v>
      </c>
      <c r="Q476" s="330">
        <v>0</v>
      </c>
      <c r="R476" s="330">
        <v>0</v>
      </c>
      <c r="S476" s="330">
        <v>0</v>
      </c>
      <c r="T476" s="332">
        <v>0</v>
      </c>
      <c r="U476" s="330">
        <v>0</v>
      </c>
      <c r="V476" s="330">
        <v>0</v>
      </c>
      <c r="W476" s="330">
        <v>0</v>
      </c>
      <c r="X476" s="495">
        <v>0</v>
      </c>
      <c r="Y476" s="280">
        <v>0</v>
      </c>
      <c r="Z476" s="330">
        <v>0</v>
      </c>
      <c r="AA476" s="330">
        <v>0</v>
      </c>
      <c r="AB476" s="330"/>
      <c r="AC476" s="336">
        <v>2722.28</v>
      </c>
      <c r="AD476" s="279">
        <v>0</v>
      </c>
      <c r="AE476" s="330">
        <f t="shared" si="98"/>
        <v>2591.6105600000001</v>
      </c>
      <c r="AF476" s="330">
        <f t="shared" si="99"/>
        <v>130.66944000000001</v>
      </c>
      <c r="AG476" s="495">
        <v>0</v>
      </c>
      <c r="AH476" s="336">
        <v>0</v>
      </c>
      <c r="AI476" s="279">
        <v>0</v>
      </c>
      <c r="AJ476" s="330">
        <v>0</v>
      </c>
      <c r="AK476" s="330">
        <v>0</v>
      </c>
      <c r="AL476" s="285"/>
    </row>
    <row r="477" spans="1:38" s="275" customFormat="1" ht="99" customHeight="1" outlineLevel="1" x14ac:dyDescent="0.25">
      <c r="A477" s="311" t="s">
        <v>1133</v>
      </c>
      <c r="B477" s="331" t="s">
        <v>1443</v>
      </c>
      <c r="C477" s="330">
        <f t="shared" si="100"/>
        <v>0</v>
      </c>
      <c r="D477" s="314">
        <f t="shared" si="97"/>
        <v>4805.3599999999997</v>
      </c>
      <c r="E477" s="303">
        <v>0</v>
      </c>
      <c r="F477" s="307">
        <v>0</v>
      </c>
      <c r="G477" s="303">
        <v>0</v>
      </c>
      <c r="H477" s="303">
        <v>0</v>
      </c>
      <c r="I477" s="314">
        <v>0</v>
      </c>
      <c r="J477" s="335">
        <v>0</v>
      </c>
      <c r="K477" s="330">
        <v>0</v>
      </c>
      <c r="L477" s="330">
        <v>0</v>
      </c>
      <c r="M477" s="330">
        <v>0</v>
      </c>
      <c r="N477" s="330">
        <v>0</v>
      </c>
      <c r="O477" s="335">
        <v>0</v>
      </c>
      <c r="P477" s="330">
        <v>0</v>
      </c>
      <c r="Q477" s="330">
        <v>0</v>
      </c>
      <c r="R477" s="330">
        <v>0</v>
      </c>
      <c r="S477" s="330">
        <v>0</v>
      </c>
      <c r="T477" s="332">
        <v>0</v>
      </c>
      <c r="U477" s="330">
        <v>0</v>
      </c>
      <c r="V477" s="330">
        <v>0</v>
      </c>
      <c r="W477" s="330">
        <v>0</v>
      </c>
      <c r="X477" s="495">
        <v>0</v>
      </c>
      <c r="Y477" s="280">
        <v>0</v>
      </c>
      <c r="Z477" s="330">
        <v>0</v>
      </c>
      <c r="AA477" s="330">
        <v>0</v>
      </c>
      <c r="AB477" s="330"/>
      <c r="AC477" s="336">
        <v>4805.3599999999997</v>
      </c>
      <c r="AD477" s="279">
        <v>0</v>
      </c>
      <c r="AE477" s="330">
        <f t="shared" si="98"/>
        <v>4574.7027199999993</v>
      </c>
      <c r="AF477" s="330">
        <f t="shared" si="99"/>
        <v>230.65727999999999</v>
      </c>
      <c r="AG477" s="495">
        <v>0</v>
      </c>
      <c r="AH477" s="336">
        <v>0</v>
      </c>
      <c r="AI477" s="279">
        <v>0</v>
      </c>
      <c r="AJ477" s="330">
        <v>0</v>
      </c>
      <c r="AK477" s="330">
        <v>0</v>
      </c>
      <c r="AL477" s="285"/>
    </row>
    <row r="478" spans="1:38" s="275" customFormat="1" ht="90.6" customHeight="1" outlineLevel="1" x14ac:dyDescent="0.25">
      <c r="A478" s="311" t="s">
        <v>1134</v>
      </c>
      <c r="B478" s="331" t="s">
        <v>1444</v>
      </c>
      <c r="C478" s="330">
        <f t="shared" si="100"/>
        <v>0</v>
      </c>
      <c r="D478" s="314">
        <f t="shared" si="97"/>
        <v>1966.73</v>
      </c>
      <c r="E478" s="303">
        <v>0</v>
      </c>
      <c r="F478" s="307">
        <v>0</v>
      </c>
      <c r="G478" s="303">
        <v>0</v>
      </c>
      <c r="H478" s="303">
        <v>0</v>
      </c>
      <c r="I478" s="314">
        <v>0</v>
      </c>
      <c r="J478" s="335">
        <v>0</v>
      </c>
      <c r="K478" s="330">
        <v>0</v>
      </c>
      <c r="L478" s="330">
        <v>0</v>
      </c>
      <c r="M478" s="330">
        <v>0</v>
      </c>
      <c r="N478" s="330">
        <v>0</v>
      </c>
      <c r="O478" s="335">
        <v>0</v>
      </c>
      <c r="P478" s="330">
        <v>0</v>
      </c>
      <c r="Q478" s="330">
        <v>0</v>
      </c>
      <c r="R478" s="330">
        <v>0</v>
      </c>
      <c r="S478" s="330">
        <v>0</v>
      </c>
      <c r="T478" s="332">
        <v>0</v>
      </c>
      <c r="U478" s="330">
        <v>0</v>
      </c>
      <c r="V478" s="330">
        <v>0</v>
      </c>
      <c r="W478" s="330">
        <v>0</v>
      </c>
      <c r="X478" s="495">
        <v>0</v>
      </c>
      <c r="Y478" s="280">
        <v>0</v>
      </c>
      <c r="Z478" s="330">
        <v>0</v>
      </c>
      <c r="AA478" s="330">
        <v>0</v>
      </c>
      <c r="AB478" s="330"/>
      <c r="AC478" s="336">
        <v>1966.73</v>
      </c>
      <c r="AD478" s="279">
        <v>0</v>
      </c>
      <c r="AE478" s="330">
        <f t="shared" si="98"/>
        <v>1872.3269599999999</v>
      </c>
      <c r="AF478" s="330">
        <f t="shared" si="99"/>
        <v>94.403040000000004</v>
      </c>
      <c r="AG478" s="495">
        <v>0</v>
      </c>
      <c r="AH478" s="336">
        <v>0</v>
      </c>
      <c r="AI478" s="279">
        <v>0</v>
      </c>
      <c r="AJ478" s="330">
        <v>0</v>
      </c>
      <c r="AK478" s="330">
        <v>0</v>
      </c>
      <c r="AL478" s="285"/>
    </row>
    <row r="479" spans="1:38" s="275" customFormat="1" ht="111" customHeight="1" outlineLevel="1" x14ac:dyDescent="0.25">
      <c r="A479" s="311" t="s">
        <v>1135</v>
      </c>
      <c r="B479" s="331" t="s">
        <v>1445</v>
      </c>
      <c r="C479" s="330">
        <f t="shared" si="100"/>
        <v>0</v>
      </c>
      <c r="D479" s="314">
        <f t="shared" si="97"/>
        <v>203.14</v>
      </c>
      <c r="E479" s="303">
        <v>0</v>
      </c>
      <c r="F479" s="307">
        <v>0</v>
      </c>
      <c r="G479" s="303">
        <v>0</v>
      </c>
      <c r="H479" s="303">
        <v>0</v>
      </c>
      <c r="I479" s="314">
        <v>0</v>
      </c>
      <c r="J479" s="335">
        <v>0</v>
      </c>
      <c r="K479" s="330">
        <v>0</v>
      </c>
      <c r="L479" s="330">
        <v>0</v>
      </c>
      <c r="M479" s="330">
        <v>0</v>
      </c>
      <c r="N479" s="330">
        <v>0</v>
      </c>
      <c r="O479" s="335">
        <v>0</v>
      </c>
      <c r="P479" s="330">
        <v>0</v>
      </c>
      <c r="Q479" s="330">
        <v>0</v>
      </c>
      <c r="R479" s="330">
        <v>0</v>
      </c>
      <c r="S479" s="330">
        <v>0</v>
      </c>
      <c r="T479" s="332">
        <v>0</v>
      </c>
      <c r="U479" s="330">
        <v>0</v>
      </c>
      <c r="V479" s="330">
        <v>0</v>
      </c>
      <c r="W479" s="330">
        <v>0</v>
      </c>
      <c r="X479" s="495">
        <v>0</v>
      </c>
      <c r="Y479" s="280">
        <v>0</v>
      </c>
      <c r="Z479" s="330">
        <v>0</v>
      </c>
      <c r="AA479" s="330">
        <v>0</v>
      </c>
      <c r="AB479" s="330"/>
      <c r="AC479" s="336">
        <v>203.14</v>
      </c>
      <c r="AD479" s="279">
        <v>0</v>
      </c>
      <c r="AE479" s="330">
        <f t="shared" si="98"/>
        <v>193.38927999999999</v>
      </c>
      <c r="AF479" s="330">
        <f t="shared" si="99"/>
        <v>9.7507199999999994</v>
      </c>
      <c r="AG479" s="495">
        <v>0</v>
      </c>
      <c r="AH479" s="336">
        <v>0</v>
      </c>
      <c r="AI479" s="279">
        <v>0</v>
      </c>
      <c r="AJ479" s="330">
        <v>0</v>
      </c>
      <c r="AK479" s="330">
        <v>0</v>
      </c>
      <c r="AL479" s="285"/>
    </row>
    <row r="480" spans="1:38" s="275" customFormat="1" ht="72.599999999999994" customHeight="1" outlineLevel="1" x14ac:dyDescent="0.25">
      <c r="A480" s="311" t="s">
        <v>1136</v>
      </c>
      <c r="B480" s="331" t="s">
        <v>1446</v>
      </c>
      <c r="C480" s="330">
        <f t="shared" si="100"/>
        <v>0</v>
      </c>
      <c r="D480" s="314">
        <f t="shared" si="97"/>
        <v>453.11</v>
      </c>
      <c r="E480" s="303">
        <v>0</v>
      </c>
      <c r="F480" s="307">
        <v>0</v>
      </c>
      <c r="G480" s="303">
        <v>0</v>
      </c>
      <c r="H480" s="303">
        <v>0</v>
      </c>
      <c r="I480" s="314">
        <v>0</v>
      </c>
      <c r="J480" s="335">
        <v>0</v>
      </c>
      <c r="K480" s="330">
        <v>0</v>
      </c>
      <c r="L480" s="330">
        <v>0</v>
      </c>
      <c r="M480" s="330">
        <v>0</v>
      </c>
      <c r="N480" s="330">
        <v>0</v>
      </c>
      <c r="O480" s="335">
        <v>0</v>
      </c>
      <c r="P480" s="330">
        <v>0</v>
      </c>
      <c r="Q480" s="330">
        <v>0</v>
      </c>
      <c r="R480" s="330">
        <v>0</v>
      </c>
      <c r="S480" s="330">
        <v>0</v>
      </c>
      <c r="T480" s="332">
        <v>0</v>
      </c>
      <c r="U480" s="330">
        <v>0</v>
      </c>
      <c r="V480" s="330">
        <v>0</v>
      </c>
      <c r="W480" s="330">
        <v>0</v>
      </c>
      <c r="X480" s="495">
        <v>0</v>
      </c>
      <c r="Y480" s="280">
        <v>0</v>
      </c>
      <c r="Z480" s="330">
        <v>0</v>
      </c>
      <c r="AA480" s="330">
        <v>0</v>
      </c>
      <c r="AB480" s="330"/>
      <c r="AC480" s="336">
        <v>453.11</v>
      </c>
      <c r="AD480" s="279">
        <v>0</v>
      </c>
      <c r="AE480" s="330">
        <f t="shared" si="98"/>
        <v>431.36072000000001</v>
      </c>
      <c r="AF480" s="330">
        <f t="shared" si="99"/>
        <v>21.749280000000002</v>
      </c>
      <c r="AG480" s="495">
        <v>0</v>
      </c>
      <c r="AH480" s="336">
        <v>0</v>
      </c>
      <c r="AI480" s="279">
        <v>0</v>
      </c>
      <c r="AJ480" s="330">
        <v>0</v>
      </c>
      <c r="AK480" s="330">
        <v>0</v>
      </c>
      <c r="AL480" s="285"/>
    </row>
    <row r="481" spans="1:38" s="275" customFormat="1" ht="88.2" customHeight="1" outlineLevel="1" x14ac:dyDescent="0.25">
      <c r="A481" s="311" t="s">
        <v>1137</v>
      </c>
      <c r="B481" s="331" t="s">
        <v>1447</v>
      </c>
      <c r="C481" s="330">
        <f t="shared" si="100"/>
        <v>0</v>
      </c>
      <c r="D481" s="314">
        <f t="shared" si="97"/>
        <v>257.24</v>
      </c>
      <c r="E481" s="303">
        <v>0</v>
      </c>
      <c r="F481" s="307">
        <v>0</v>
      </c>
      <c r="G481" s="303">
        <v>0</v>
      </c>
      <c r="H481" s="303">
        <v>0</v>
      </c>
      <c r="I481" s="314">
        <v>0</v>
      </c>
      <c r="J481" s="335">
        <v>0</v>
      </c>
      <c r="K481" s="330">
        <v>0</v>
      </c>
      <c r="L481" s="330">
        <v>0</v>
      </c>
      <c r="M481" s="330">
        <v>0</v>
      </c>
      <c r="N481" s="330">
        <v>0</v>
      </c>
      <c r="O481" s="335">
        <v>0</v>
      </c>
      <c r="P481" s="330">
        <v>0</v>
      </c>
      <c r="Q481" s="330">
        <v>0</v>
      </c>
      <c r="R481" s="330">
        <v>0</v>
      </c>
      <c r="S481" s="330">
        <v>0</v>
      </c>
      <c r="T481" s="332">
        <v>0</v>
      </c>
      <c r="U481" s="330">
        <v>0</v>
      </c>
      <c r="V481" s="330">
        <v>0</v>
      </c>
      <c r="W481" s="330">
        <v>0</v>
      </c>
      <c r="X481" s="495">
        <v>0</v>
      </c>
      <c r="Y481" s="280">
        <v>0</v>
      </c>
      <c r="Z481" s="330">
        <v>0</v>
      </c>
      <c r="AA481" s="330">
        <v>0</v>
      </c>
      <c r="AB481" s="330"/>
      <c r="AC481" s="336">
        <v>257.24</v>
      </c>
      <c r="AD481" s="279">
        <v>0</v>
      </c>
      <c r="AE481" s="330">
        <f t="shared" si="98"/>
        <v>244.89248000000001</v>
      </c>
      <c r="AF481" s="330">
        <f t="shared" si="99"/>
        <v>12.347520000000001</v>
      </c>
      <c r="AG481" s="495">
        <v>0</v>
      </c>
      <c r="AH481" s="336">
        <v>0</v>
      </c>
      <c r="AI481" s="279">
        <v>0</v>
      </c>
      <c r="AJ481" s="330">
        <v>0</v>
      </c>
      <c r="AK481" s="330">
        <v>0</v>
      </c>
      <c r="AL481" s="285"/>
    </row>
    <row r="482" spans="1:38" s="275" customFormat="1" ht="81.599999999999994" customHeight="1" outlineLevel="1" x14ac:dyDescent="0.25">
      <c r="A482" s="311" t="s">
        <v>1138</v>
      </c>
      <c r="B482" s="331" t="s">
        <v>1448</v>
      </c>
      <c r="C482" s="330">
        <f t="shared" si="100"/>
        <v>0</v>
      </c>
      <c r="D482" s="314">
        <f t="shared" si="97"/>
        <v>229.19</v>
      </c>
      <c r="E482" s="303">
        <v>0</v>
      </c>
      <c r="F482" s="307">
        <v>0</v>
      </c>
      <c r="G482" s="303">
        <v>0</v>
      </c>
      <c r="H482" s="303">
        <v>0</v>
      </c>
      <c r="I482" s="314">
        <v>0</v>
      </c>
      <c r="J482" s="335">
        <v>0</v>
      </c>
      <c r="K482" s="330">
        <v>0</v>
      </c>
      <c r="L482" s="330">
        <v>0</v>
      </c>
      <c r="M482" s="330">
        <v>0</v>
      </c>
      <c r="N482" s="330">
        <v>0</v>
      </c>
      <c r="O482" s="335">
        <v>0</v>
      </c>
      <c r="P482" s="330">
        <v>0</v>
      </c>
      <c r="Q482" s="330">
        <v>0</v>
      </c>
      <c r="R482" s="330">
        <v>0</v>
      </c>
      <c r="S482" s="330">
        <v>0</v>
      </c>
      <c r="T482" s="332">
        <v>0</v>
      </c>
      <c r="U482" s="330">
        <v>0</v>
      </c>
      <c r="V482" s="330">
        <v>0</v>
      </c>
      <c r="W482" s="330">
        <v>0</v>
      </c>
      <c r="X482" s="495">
        <v>0</v>
      </c>
      <c r="Y482" s="280">
        <v>0</v>
      </c>
      <c r="Z482" s="330">
        <v>0</v>
      </c>
      <c r="AA482" s="330">
        <v>0</v>
      </c>
      <c r="AB482" s="330"/>
      <c r="AC482" s="336">
        <v>229.19</v>
      </c>
      <c r="AD482" s="279">
        <v>0</v>
      </c>
      <c r="AE482" s="330">
        <f t="shared" si="98"/>
        <v>218.18887999999998</v>
      </c>
      <c r="AF482" s="330">
        <f t="shared" si="99"/>
        <v>11.00112</v>
      </c>
      <c r="AG482" s="495">
        <v>0</v>
      </c>
      <c r="AH482" s="336">
        <v>0</v>
      </c>
      <c r="AI482" s="279">
        <v>0</v>
      </c>
      <c r="AJ482" s="330">
        <v>0</v>
      </c>
      <c r="AK482" s="330">
        <v>0</v>
      </c>
      <c r="AL482" s="285"/>
    </row>
    <row r="483" spans="1:38" s="275" customFormat="1" ht="73.2" customHeight="1" outlineLevel="1" x14ac:dyDescent="0.25">
      <c r="A483" s="311" t="s">
        <v>1140</v>
      </c>
      <c r="B483" s="331" t="s">
        <v>1139</v>
      </c>
      <c r="C483" s="330">
        <f t="shared" si="100"/>
        <v>0</v>
      </c>
      <c r="D483" s="314">
        <f t="shared" si="97"/>
        <v>213.02</v>
      </c>
      <c r="E483" s="303">
        <v>0</v>
      </c>
      <c r="F483" s="307">
        <v>0</v>
      </c>
      <c r="G483" s="303">
        <v>0</v>
      </c>
      <c r="H483" s="303">
        <v>0</v>
      </c>
      <c r="I483" s="314">
        <v>0</v>
      </c>
      <c r="J483" s="335">
        <v>0</v>
      </c>
      <c r="K483" s="330">
        <v>0</v>
      </c>
      <c r="L483" s="330">
        <v>0</v>
      </c>
      <c r="M483" s="330">
        <v>0</v>
      </c>
      <c r="N483" s="330">
        <v>0</v>
      </c>
      <c r="O483" s="335">
        <v>0</v>
      </c>
      <c r="P483" s="330">
        <v>0</v>
      </c>
      <c r="Q483" s="330">
        <v>0</v>
      </c>
      <c r="R483" s="330">
        <v>0</v>
      </c>
      <c r="S483" s="330">
        <v>0</v>
      </c>
      <c r="T483" s="332">
        <v>0</v>
      </c>
      <c r="U483" s="330">
        <v>0</v>
      </c>
      <c r="V483" s="330">
        <v>0</v>
      </c>
      <c r="W483" s="330">
        <v>0</v>
      </c>
      <c r="X483" s="495">
        <v>0</v>
      </c>
      <c r="Y483" s="280">
        <v>0</v>
      </c>
      <c r="Z483" s="330">
        <v>0</v>
      </c>
      <c r="AA483" s="330">
        <v>0</v>
      </c>
      <c r="AB483" s="330"/>
      <c r="AC483" s="336">
        <v>213.02</v>
      </c>
      <c r="AD483" s="279">
        <v>0</v>
      </c>
      <c r="AE483" s="330">
        <f t="shared" si="98"/>
        <v>202.79504</v>
      </c>
      <c r="AF483" s="330">
        <f t="shared" si="99"/>
        <v>10.224960000000001</v>
      </c>
      <c r="AG483" s="495">
        <v>0</v>
      </c>
      <c r="AH483" s="336">
        <v>0</v>
      </c>
      <c r="AI483" s="279">
        <v>0</v>
      </c>
      <c r="AJ483" s="330">
        <v>0</v>
      </c>
      <c r="AK483" s="330">
        <v>0</v>
      </c>
      <c r="AL483" s="285"/>
    </row>
    <row r="484" spans="1:38" s="275" customFormat="1" ht="84" customHeight="1" outlineLevel="1" x14ac:dyDescent="0.25">
      <c r="A484" s="311" t="s">
        <v>1142</v>
      </c>
      <c r="B484" s="331" t="s">
        <v>1141</v>
      </c>
      <c r="C484" s="330">
        <f t="shared" si="100"/>
        <v>0</v>
      </c>
      <c r="D484" s="314">
        <f t="shared" si="100"/>
        <v>203.13</v>
      </c>
      <c r="E484" s="303">
        <v>0</v>
      </c>
      <c r="F484" s="307">
        <v>0</v>
      </c>
      <c r="G484" s="303">
        <v>0</v>
      </c>
      <c r="H484" s="303">
        <v>0</v>
      </c>
      <c r="I484" s="314">
        <v>0</v>
      </c>
      <c r="J484" s="335">
        <v>0</v>
      </c>
      <c r="K484" s="330">
        <v>0</v>
      </c>
      <c r="L484" s="330">
        <v>0</v>
      </c>
      <c r="M484" s="330">
        <v>0</v>
      </c>
      <c r="N484" s="330">
        <v>0</v>
      </c>
      <c r="O484" s="335">
        <v>0</v>
      </c>
      <c r="P484" s="330">
        <v>0</v>
      </c>
      <c r="Q484" s="330">
        <v>0</v>
      </c>
      <c r="R484" s="330">
        <v>0</v>
      </c>
      <c r="S484" s="330">
        <v>0</v>
      </c>
      <c r="T484" s="332">
        <v>0</v>
      </c>
      <c r="U484" s="330">
        <v>0</v>
      </c>
      <c r="V484" s="330">
        <v>0</v>
      </c>
      <c r="W484" s="330">
        <v>0</v>
      </c>
      <c r="X484" s="495">
        <v>0</v>
      </c>
      <c r="Y484" s="280">
        <v>0</v>
      </c>
      <c r="Z484" s="330">
        <v>0</v>
      </c>
      <c r="AA484" s="330">
        <v>0</v>
      </c>
      <c r="AB484" s="330"/>
      <c r="AC484" s="336">
        <v>203.13</v>
      </c>
      <c r="AD484" s="279">
        <v>0</v>
      </c>
      <c r="AE484" s="330">
        <f t="shared" ref="AE484:AE528" si="101">AC484*0.952</f>
        <v>193.37975999999998</v>
      </c>
      <c r="AF484" s="330">
        <f t="shared" ref="AF484:AF528" si="102">AC484*0.048</f>
        <v>9.7502399999999998</v>
      </c>
      <c r="AG484" s="495">
        <v>0</v>
      </c>
      <c r="AH484" s="336">
        <v>0</v>
      </c>
      <c r="AI484" s="279">
        <v>0</v>
      </c>
      <c r="AJ484" s="330">
        <v>0</v>
      </c>
      <c r="AK484" s="330">
        <v>0</v>
      </c>
      <c r="AL484" s="285"/>
    </row>
    <row r="485" spans="1:38" s="275" customFormat="1" ht="76.95" customHeight="1" outlineLevel="1" x14ac:dyDescent="0.25">
      <c r="A485" s="311" t="s">
        <v>1143</v>
      </c>
      <c r="B485" s="331" t="s">
        <v>1449</v>
      </c>
      <c r="C485" s="330">
        <f t="shared" ref="C485:D522" si="103">E485+I485+N485+S485+X485+AB485+AG485</f>
        <v>0</v>
      </c>
      <c r="D485" s="314">
        <f t="shared" si="103"/>
        <v>234.35</v>
      </c>
      <c r="E485" s="303">
        <v>0</v>
      </c>
      <c r="F485" s="307">
        <v>0</v>
      </c>
      <c r="G485" s="303">
        <v>0</v>
      </c>
      <c r="H485" s="303">
        <v>0</v>
      </c>
      <c r="I485" s="314">
        <v>0</v>
      </c>
      <c r="J485" s="335">
        <v>0</v>
      </c>
      <c r="K485" s="330">
        <v>0</v>
      </c>
      <c r="L485" s="330">
        <v>0</v>
      </c>
      <c r="M485" s="330">
        <v>0</v>
      </c>
      <c r="N485" s="330">
        <v>0</v>
      </c>
      <c r="O485" s="335">
        <v>0</v>
      </c>
      <c r="P485" s="330">
        <v>0</v>
      </c>
      <c r="Q485" s="330">
        <v>0</v>
      </c>
      <c r="R485" s="330">
        <v>0</v>
      </c>
      <c r="S485" s="330">
        <v>0</v>
      </c>
      <c r="T485" s="332">
        <v>0</v>
      </c>
      <c r="U485" s="330">
        <v>0</v>
      </c>
      <c r="V485" s="330">
        <v>0</v>
      </c>
      <c r="W485" s="330">
        <v>0</v>
      </c>
      <c r="X485" s="495">
        <v>0</v>
      </c>
      <c r="Y485" s="280">
        <v>0</v>
      </c>
      <c r="Z485" s="330">
        <v>0</v>
      </c>
      <c r="AA485" s="330">
        <v>0</v>
      </c>
      <c r="AB485" s="330"/>
      <c r="AC485" s="336">
        <v>234.35</v>
      </c>
      <c r="AD485" s="279">
        <v>0</v>
      </c>
      <c r="AE485" s="330">
        <f t="shared" si="101"/>
        <v>223.10119999999998</v>
      </c>
      <c r="AF485" s="330">
        <f t="shared" si="102"/>
        <v>11.248799999999999</v>
      </c>
      <c r="AG485" s="495">
        <v>0</v>
      </c>
      <c r="AH485" s="336">
        <v>0</v>
      </c>
      <c r="AI485" s="279">
        <v>0</v>
      </c>
      <c r="AJ485" s="330">
        <v>0</v>
      </c>
      <c r="AK485" s="330">
        <v>0</v>
      </c>
      <c r="AL485" s="285"/>
    </row>
    <row r="486" spans="1:38" s="275" customFormat="1" ht="74.400000000000006" customHeight="1" outlineLevel="1" x14ac:dyDescent="0.25">
      <c r="A486" s="311" t="s">
        <v>1145</v>
      </c>
      <c r="B486" s="331" t="s">
        <v>1144</v>
      </c>
      <c r="C486" s="330">
        <f t="shared" si="103"/>
        <v>0</v>
      </c>
      <c r="D486" s="314">
        <f t="shared" si="103"/>
        <v>201.88</v>
      </c>
      <c r="E486" s="303">
        <v>0</v>
      </c>
      <c r="F486" s="307">
        <v>0</v>
      </c>
      <c r="G486" s="303">
        <v>0</v>
      </c>
      <c r="H486" s="303">
        <v>0</v>
      </c>
      <c r="I486" s="314">
        <v>0</v>
      </c>
      <c r="J486" s="335">
        <v>0</v>
      </c>
      <c r="K486" s="330">
        <v>0</v>
      </c>
      <c r="L486" s="330">
        <v>0</v>
      </c>
      <c r="M486" s="330">
        <v>0</v>
      </c>
      <c r="N486" s="330">
        <v>0</v>
      </c>
      <c r="O486" s="335">
        <v>0</v>
      </c>
      <c r="P486" s="330">
        <v>0</v>
      </c>
      <c r="Q486" s="330">
        <v>0</v>
      </c>
      <c r="R486" s="330">
        <v>0</v>
      </c>
      <c r="S486" s="330">
        <v>0</v>
      </c>
      <c r="T486" s="332">
        <v>0</v>
      </c>
      <c r="U486" s="330">
        <v>0</v>
      </c>
      <c r="V486" s="330">
        <v>0</v>
      </c>
      <c r="W486" s="330">
        <v>0</v>
      </c>
      <c r="X486" s="495">
        <v>0</v>
      </c>
      <c r="Y486" s="280">
        <v>0</v>
      </c>
      <c r="Z486" s="330">
        <v>0</v>
      </c>
      <c r="AA486" s="330">
        <v>0</v>
      </c>
      <c r="AB486" s="330"/>
      <c r="AC486" s="336">
        <v>201.88</v>
      </c>
      <c r="AD486" s="279">
        <v>0</v>
      </c>
      <c r="AE486" s="330">
        <f t="shared" si="101"/>
        <v>192.18975999999998</v>
      </c>
      <c r="AF486" s="330">
        <f t="shared" si="102"/>
        <v>9.6902399999999993</v>
      </c>
      <c r="AG486" s="495">
        <v>0</v>
      </c>
      <c r="AH486" s="336">
        <v>0</v>
      </c>
      <c r="AI486" s="279">
        <v>0</v>
      </c>
      <c r="AJ486" s="330">
        <v>0</v>
      </c>
      <c r="AK486" s="330">
        <v>0</v>
      </c>
      <c r="AL486" s="285"/>
    </row>
    <row r="487" spans="1:38" s="275" customFormat="1" ht="72" customHeight="1" outlineLevel="1" x14ac:dyDescent="0.25">
      <c r="A487" s="311" t="s">
        <v>1147</v>
      </c>
      <c r="B487" s="331" t="s">
        <v>1146</v>
      </c>
      <c r="C487" s="330">
        <f t="shared" si="103"/>
        <v>0</v>
      </c>
      <c r="D487" s="314">
        <f t="shared" si="103"/>
        <v>205.71</v>
      </c>
      <c r="E487" s="303">
        <v>0</v>
      </c>
      <c r="F487" s="307">
        <v>0</v>
      </c>
      <c r="G487" s="303">
        <v>0</v>
      </c>
      <c r="H487" s="303">
        <v>0</v>
      </c>
      <c r="I487" s="314">
        <v>0</v>
      </c>
      <c r="J487" s="335">
        <v>0</v>
      </c>
      <c r="K487" s="330">
        <v>0</v>
      </c>
      <c r="L487" s="330">
        <v>0</v>
      </c>
      <c r="M487" s="330">
        <v>0</v>
      </c>
      <c r="N487" s="330">
        <v>0</v>
      </c>
      <c r="O487" s="335">
        <v>0</v>
      </c>
      <c r="P487" s="330">
        <v>0</v>
      </c>
      <c r="Q487" s="330">
        <v>0</v>
      </c>
      <c r="R487" s="330">
        <v>0</v>
      </c>
      <c r="S487" s="330">
        <v>0</v>
      </c>
      <c r="T487" s="332">
        <v>0</v>
      </c>
      <c r="U487" s="330">
        <v>0</v>
      </c>
      <c r="V487" s="330">
        <v>0</v>
      </c>
      <c r="W487" s="330">
        <v>0</v>
      </c>
      <c r="X487" s="495">
        <v>0</v>
      </c>
      <c r="Y487" s="280">
        <v>0</v>
      </c>
      <c r="Z487" s="330">
        <v>0</v>
      </c>
      <c r="AA487" s="330">
        <v>0</v>
      </c>
      <c r="AB487" s="330"/>
      <c r="AC487" s="336">
        <v>205.71</v>
      </c>
      <c r="AD487" s="279">
        <v>0</v>
      </c>
      <c r="AE487" s="330">
        <f t="shared" si="101"/>
        <v>195.83591999999999</v>
      </c>
      <c r="AF487" s="330">
        <f t="shared" si="102"/>
        <v>9.8740800000000011</v>
      </c>
      <c r="AG487" s="495">
        <v>0</v>
      </c>
      <c r="AH487" s="336">
        <v>0</v>
      </c>
      <c r="AI487" s="279">
        <v>0</v>
      </c>
      <c r="AJ487" s="330">
        <v>0</v>
      </c>
      <c r="AK487" s="330">
        <v>0</v>
      </c>
      <c r="AL487" s="285"/>
    </row>
    <row r="488" spans="1:38" s="275" customFormat="1" ht="71.400000000000006" customHeight="1" outlineLevel="1" x14ac:dyDescent="0.25">
      <c r="A488" s="311" t="s">
        <v>1149</v>
      </c>
      <c r="B488" s="331" t="s">
        <v>1148</v>
      </c>
      <c r="C488" s="330">
        <f t="shared" si="103"/>
        <v>0</v>
      </c>
      <c r="D488" s="314">
        <f t="shared" si="103"/>
        <v>413.91</v>
      </c>
      <c r="E488" s="303">
        <v>0</v>
      </c>
      <c r="F488" s="307">
        <v>0</v>
      </c>
      <c r="G488" s="303">
        <v>0</v>
      </c>
      <c r="H488" s="303">
        <v>0</v>
      </c>
      <c r="I488" s="314">
        <v>0</v>
      </c>
      <c r="J488" s="335">
        <v>0</v>
      </c>
      <c r="K488" s="330">
        <v>0</v>
      </c>
      <c r="L488" s="330">
        <v>0</v>
      </c>
      <c r="M488" s="330">
        <v>0</v>
      </c>
      <c r="N488" s="330">
        <v>0</v>
      </c>
      <c r="O488" s="335">
        <v>0</v>
      </c>
      <c r="P488" s="330">
        <v>0</v>
      </c>
      <c r="Q488" s="330">
        <v>0</v>
      </c>
      <c r="R488" s="330">
        <v>0</v>
      </c>
      <c r="S488" s="330">
        <v>0</v>
      </c>
      <c r="T488" s="332">
        <v>0</v>
      </c>
      <c r="U488" s="330">
        <v>0</v>
      </c>
      <c r="V488" s="330">
        <v>0</v>
      </c>
      <c r="W488" s="330">
        <v>0</v>
      </c>
      <c r="X488" s="495">
        <v>0</v>
      </c>
      <c r="Y488" s="280">
        <v>0</v>
      </c>
      <c r="Z488" s="330">
        <v>0</v>
      </c>
      <c r="AA488" s="330">
        <v>0</v>
      </c>
      <c r="AB488" s="330"/>
      <c r="AC488" s="336">
        <v>413.91</v>
      </c>
      <c r="AD488" s="279">
        <v>0</v>
      </c>
      <c r="AE488" s="330">
        <f t="shared" si="101"/>
        <v>394.04232000000002</v>
      </c>
      <c r="AF488" s="330">
        <f t="shared" si="102"/>
        <v>19.86768</v>
      </c>
      <c r="AG488" s="495">
        <v>0</v>
      </c>
      <c r="AH488" s="336">
        <v>0</v>
      </c>
      <c r="AI488" s="279">
        <v>0</v>
      </c>
      <c r="AJ488" s="330">
        <v>0</v>
      </c>
      <c r="AK488" s="330">
        <v>0</v>
      </c>
      <c r="AL488" s="285"/>
    </row>
    <row r="489" spans="1:38" s="275" customFormat="1" ht="91.2" customHeight="1" outlineLevel="1" x14ac:dyDescent="0.25">
      <c r="A489" s="311" t="s">
        <v>1151</v>
      </c>
      <c r="B489" s="331" t="s">
        <v>1150</v>
      </c>
      <c r="C489" s="330">
        <f t="shared" si="103"/>
        <v>0</v>
      </c>
      <c r="D489" s="314">
        <f t="shared" si="103"/>
        <v>203.14</v>
      </c>
      <c r="E489" s="303">
        <v>0</v>
      </c>
      <c r="F489" s="307">
        <v>0</v>
      </c>
      <c r="G489" s="303">
        <v>0</v>
      </c>
      <c r="H489" s="303">
        <v>0</v>
      </c>
      <c r="I489" s="314">
        <v>0</v>
      </c>
      <c r="J489" s="335">
        <v>0</v>
      </c>
      <c r="K489" s="330">
        <v>0</v>
      </c>
      <c r="L489" s="330">
        <v>0</v>
      </c>
      <c r="M489" s="330">
        <v>0</v>
      </c>
      <c r="N489" s="330">
        <v>0</v>
      </c>
      <c r="O489" s="335">
        <v>0</v>
      </c>
      <c r="P489" s="330">
        <v>0</v>
      </c>
      <c r="Q489" s="330">
        <v>0</v>
      </c>
      <c r="R489" s="330">
        <v>0</v>
      </c>
      <c r="S489" s="330">
        <v>0</v>
      </c>
      <c r="T489" s="332">
        <v>0</v>
      </c>
      <c r="U489" s="330">
        <v>0</v>
      </c>
      <c r="V489" s="330">
        <v>0</v>
      </c>
      <c r="W489" s="330">
        <v>0</v>
      </c>
      <c r="X489" s="495">
        <v>0</v>
      </c>
      <c r="Y489" s="280">
        <v>0</v>
      </c>
      <c r="Z489" s="330">
        <v>0</v>
      </c>
      <c r="AA489" s="330">
        <v>0</v>
      </c>
      <c r="AB489" s="330"/>
      <c r="AC489" s="336">
        <v>203.14</v>
      </c>
      <c r="AD489" s="279">
        <v>0</v>
      </c>
      <c r="AE489" s="330">
        <f t="shared" si="101"/>
        <v>193.38927999999999</v>
      </c>
      <c r="AF489" s="330">
        <f t="shared" si="102"/>
        <v>9.7507199999999994</v>
      </c>
      <c r="AG489" s="495">
        <v>0</v>
      </c>
      <c r="AH489" s="336">
        <v>0</v>
      </c>
      <c r="AI489" s="279">
        <v>0</v>
      </c>
      <c r="AJ489" s="330">
        <v>0</v>
      </c>
      <c r="AK489" s="330">
        <v>0</v>
      </c>
      <c r="AL489" s="285"/>
    </row>
    <row r="490" spans="1:38" s="275" customFormat="1" ht="67.95" customHeight="1" outlineLevel="1" x14ac:dyDescent="0.25">
      <c r="A490" s="311" t="s">
        <v>1152</v>
      </c>
      <c r="B490" s="331" t="s">
        <v>1450</v>
      </c>
      <c r="C490" s="330">
        <f t="shared" si="103"/>
        <v>0</v>
      </c>
      <c r="D490" s="314">
        <f t="shared" si="103"/>
        <v>229.2</v>
      </c>
      <c r="E490" s="303">
        <v>0</v>
      </c>
      <c r="F490" s="307">
        <v>0</v>
      </c>
      <c r="G490" s="303">
        <v>0</v>
      </c>
      <c r="H490" s="303">
        <v>0</v>
      </c>
      <c r="I490" s="314">
        <v>0</v>
      </c>
      <c r="J490" s="335">
        <v>0</v>
      </c>
      <c r="K490" s="330">
        <v>0</v>
      </c>
      <c r="L490" s="330">
        <v>0</v>
      </c>
      <c r="M490" s="330">
        <v>0</v>
      </c>
      <c r="N490" s="330">
        <v>0</v>
      </c>
      <c r="O490" s="335">
        <v>0</v>
      </c>
      <c r="P490" s="330">
        <v>0</v>
      </c>
      <c r="Q490" s="330">
        <v>0</v>
      </c>
      <c r="R490" s="330">
        <v>0</v>
      </c>
      <c r="S490" s="330">
        <v>0</v>
      </c>
      <c r="T490" s="332">
        <v>0</v>
      </c>
      <c r="U490" s="330">
        <v>0</v>
      </c>
      <c r="V490" s="330">
        <v>0</v>
      </c>
      <c r="W490" s="330">
        <v>0</v>
      </c>
      <c r="X490" s="495">
        <v>0</v>
      </c>
      <c r="Y490" s="280">
        <v>0</v>
      </c>
      <c r="Z490" s="330">
        <v>0</v>
      </c>
      <c r="AA490" s="330">
        <v>0</v>
      </c>
      <c r="AB490" s="330"/>
      <c r="AC490" s="336">
        <v>229.2</v>
      </c>
      <c r="AD490" s="279">
        <v>0</v>
      </c>
      <c r="AE490" s="330">
        <f t="shared" si="101"/>
        <v>218.19839999999999</v>
      </c>
      <c r="AF490" s="330">
        <f t="shared" si="102"/>
        <v>11.0016</v>
      </c>
      <c r="AG490" s="495">
        <v>0</v>
      </c>
      <c r="AH490" s="336">
        <v>0</v>
      </c>
      <c r="AI490" s="279">
        <v>0</v>
      </c>
      <c r="AJ490" s="330">
        <v>0</v>
      </c>
      <c r="AK490" s="330">
        <v>0</v>
      </c>
      <c r="AL490" s="285"/>
    </row>
    <row r="491" spans="1:38" s="275" customFormat="1" ht="71.400000000000006" customHeight="1" outlineLevel="1" x14ac:dyDescent="0.25">
      <c r="A491" s="311" t="s">
        <v>1154</v>
      </c>
      <c r="B491" s="331" t="s">
        <v>1153</v>
      </c>
      <c r="C491" s="330">
        <f t="shared" si="103"/>
        <v>0</v>
      </c>
      <c r="D491" s="314">
        <f t="shared" si="103"/>
        <v>203.13</v>
      </c>
      <c r="E491" s="303">
        <v>0</v>
      </c>
      <c r="F491" s="307">
        <v>0</v>
      </c>
      <c r="G491" s="303">
        <v>0</v>
      </c>
      <c r="H491" s="303">
        <v>0</v>
      </c>
      <c r="I491" s="314">
        <v>0</v>
      </c>
      <c r="J491" s="335">
        <v>0</v>
      </c>
      <c r="K491" s="330">
        <v>0</v>
      </c>
      <c r="L491" s="330">
        <v>0</v>
      </c>
      <c r="M491" s="330">
        <v>0</v>
      </c>
      <c r="N491" s="330">
        <v>0</v>
      </c>
      <c r="O491" s="335">
        <v>0</v>
      </c>
      <c r="P491" s="330">
        <v>0</v>
      </c>
      <c r="Q491" s="330">
        <v>0</v>
      </c>
      <c r="R491" s="330">
        <v>0</v>
      </c>
      <c r="S491" s="330">
        <v>0</v>
      </c>
      <c r="T491" s="332">
        <v>0</v>
      </c>
      <c r="U491" s="330">
        <v>0</v>
      </c>
      <c r="V491" s="330">
        <v>0</v>
      </c>
      <c r="W491" s="330">
        <v>0</v>
      </c>
      <c r="X491" s="495">
        <v>0</v>
      </c>
      <c r="Y491" s="280">
        <v>0</v>
      </c>
      <c r="Z491" s="330">
        <v>0</v>
      </c>
      <c r="AA491" s="330">
        <v>0</v>
      </c>
      <c r="AB491" s="330"/>
      <c r="AC491" s="336">
        <v>203.13</v>
      </c>
      <c r="AD491" s="279">
        <v>0</v>
      </c>
      <c r="AE491" s="330">
        <f t="shared" si="101"/>
        <v>193.37975999999998</v>
      </c>
      <c r="AF491" s="330">
        <f t="shared" si="102"/>
        <v>9.7502399999999998</v>
      </c>
      <c r="AG491" s="495">
        <v>0</v>
      </c>
      <c r="AH491" s="336">
        <v>0</v>
      </c>
      <c r="AI491" s="279">
        <v>0</v>
      </c>
      <c r="AJ491" s="330">
        <v>0</v>
      </c>
      <c r="AK491" s="330">
        <v>0</v>
      </c>
      <c r="AL491" s="285"/>
    </row>
    <row r="492" spans="1:38" s="275" customFormat="1" ht="124.2" customHeight="1" outlineLevel="1" x14ac:dyDescent="0.25">
      <c r="A492" s="311" t="s">
        <v>1155</v>
      </c>
      <c r="B492" s="331" t="s">
        <v>1451</v>
      </c>
      <c r="C492" s="330">
        <f t="shared" si="103"/>
        <v>0</v>
      </c>
      <c r="D492" s="314">
        <f t="shared" si="103"/>
        <v>2668.52</v>
      </c>
      <c r="E492" s="303">
        <v>0</v>
      </c>
      <c r="F492" s="307">
        <v>0</v>
      </c>
      <c r="G492" s="303">
        <v>0</v>
      </c>
      <c r="H492" s="303">
        <v>0</v>
      </c>
      <c r="I492" s="314">
        <v>0</v>
      </c>
      <c r="J492" s="335">
        <v>0</v>
      </c>
      <c r="K492" s="330">
        <v>0</v>
      </c>
      <c r="L492" s="330">
        <v>0</v>
      </c>
      <c r="M492" s="330">
        <v>0</v>
      </c>
      <c r="N492" s="330">
        <v>0</v>
      </c>
      <c r="O492" s="335">
        <v>0</v>
      </c>
      <c r="P492" s="330">
        <v>0</v>
      </c>
      <c r="Q492" s="330">
        <v>0</v>
      </c>
      <c r="R492" s="330">
        <v>0</v>
      </c>
      <c r="S492" s="330">
        <v>0</v>
      </c>
      <c r="T492" s="332">
        <v>0</v>
      </c>
      <c r="U492" s="330">
        <v>0</v>
      </c>
      <c r="V492" s="330">
        <v>0</v>
      </c>
      <c r="W492" s="330">
        <v>0</v>
      </c>
      <c r="X492" s="495">
        <v>0</v>
      </c>
      <c r="Y492" s="280">
        <v>0</v>
      </c>
      <c r="Z492" s="330">
        <v>0</v>
      </c>
      <c r="AA492" s="330">
        <v>0</v>
      </c>
      <c r="AB492" s="330"/>
      <c r="AC492" s="336">
        <v>2668.52</v>
      </c>
      <c r="AD492" s="279">
        <v>0</v>
      </c>
      <c r="AE492" s="330">
        <f t="shared" si="101"/>
        <v>2540.4310399999999</v>
      </c>
      <c r="AF492" s="330">
        <f t="shared" si="102"/>
        <v>128.08896000000001</v>
      </c>
      <c r="AG492" s="495">
        <v>0</v>
      </c>
      <c r="AH492" s="336">
        <v>0</v>
      </c>
      <c r="AI492" s="279">
        <v>0</v>
      </c>
      <c r="AJ492" s="330">
        <v>0</v>
      </c>
      <c r="AK492" s="330">
        <v>0</v>
      </c>
      <c r="AL492" s="285"/>
    </row>
    <row r="493" spans="1:38" s="275" customFormat="1" ht="81.599999999999994" customHeight="1" outlineLevel="1" x14ac:dyDescent="0.25">
      <c r="A493" s="311" t="s">
        <v>1157</v>
      </c>
      <c r="B493" s="331" t="s">
        <v>1156</v>
      </c>
      <c r="C493" s="330">
        <f t="shared" si="103"/>
        <v>0</v>
      </c>
      <c r="D493" s="314">
        <f t="shared" si="103"/>
        <v>234.34</v>
      </c>
      <c r="E493" s="303">
        <v>0</v>
      </c>
      <c r="F493" s="307">
        <v>0</v>
      </c>
      <c r="G493" s="303">
        <v>0</v>
      </c>
      <c r="H493" s="303">
        <v>0</v>
      </c>
      <c r="I493" s="314">
        <v>0</v>
      </c>
      <c r="J493" s="335">
        <v>0</v>
      </c>
      <c r="K493" s="330">
        <v>0</v>
      </c>
      <c r="L493" s="330">
        <v>0</v>
      </c>
      <c r="M493" s="330">
        <v>0</v>
      </c>
      <c r="N493" s="330">
        <v>0</v>
      </c>
      <c r="O493" s="335">
        <v>0</v>
      </c>
      <c r="P493" s="330">
        <v>0</v>
      </c>
      <c r="Q493" s="330">
        <v>0</v>
      </c>
      <c r="R493" s="330">
        <v>0</v>
      </c>
      <c r="S493" s="330">
        <v>0</v>
      </c>
      <c r="T493" s="332">
        <v>0</v>
      </c>
      <c r="U493" s="330">
        <v>0</v>
      </c>
      <c r="V493" s="330">
        <v>0</v>
      </c>
      <c r="W493" s="330">
        <v>0</v>
      </c>
      <c r="X493" s="495">
        <v>0</v>
      </c>
      <c r="Y493" s="280">
        <v>0</v>
      </c>
      <c r="Z493" s="330">
        <v>0</v>
      </c>
      <c r="AA493" s="330">
        <v>0</v>
      </c>
      <c r="AB493" s="330"/>
      <c r="AC493" s="336">
        <v>234.34</v>
      </c>
      <c r="AD493" s="279">
        <v>0</v>
      </c>
      <c r="AE493" s="330">
        <f t="shared" si="101"/>
        <v>223.09168</v>
      </c>
      <c r="AF493" s="330">
        <f t="shared" si="102"/>
        <v>11.24832</v>
      </c>
      <c r="AG493" s="495">
        <v>0</v>
      </c>
      <c r="AH493" s="336">
        <v>0</v>
      </c>
      <c r="AI493" s="279">
        <v>0</v>
      </c>
      <c r="AJ493" s="330">
        <v>0</v>
      </c>
      <c r="AK493" s="330">
        <v>0</v>
      </c>
      <c r="AL493" s="285"/>
    </row>
    <row r="494" spans="1:38" s="275" customFormat="1" ht="78" customHeight="1" outlineLevel="1" x14ac:dyDescent="0.25">
      <c r="A494" s="311" t="s">
        <v>1159</v>
      </c>
      <c r="B494" s="331" t="s">
        <v>1158</v>
      </c>
      <c r="C494" s="330">
        <f t="shared" si="103"/>
        <v>0</v>
      </c>
      <c r="D494" s="314">
        <f t="shared" si="103"/>
        <v>214.14</v>
      </c>
      <c r="E494" s="303">
        <v>0</v>
      </c>
      <c r="F494" s="307">
        <v>0</v>
      </c>
      <c r="G494" s="303">
        <v>0</v>
      </c>
      <c r="H494" s="303">
        <v>0</v>
      </c>
      <c r="I494" s="314">
        <v>0</v>
      </c>
      <c r="J494" s="335">
        <v>0</v>
      </c>
      <c r="K494" s="330">
        <v>0</v>
      </c>
      <c r="L494" s="330">
        <v>0</v>
      </c>
      <c r="M494" s="330">
        <v>0</v>
      </c>
      <c r="N494" s="330">
        <v>0</v>
      </c>
      <c r="O494" s="335">
        <v>0</v>
      </c>
      <c r="P494" s="330">
        <v>0</v>
      </c>
      <c r="Q494" s="330">
        <v>0</v>
      </c>
      <c r="R494" s="330">
        <v>0</v>
      </c>
      <c r="S494" s="330">
        <v>0</v>
      </c>
      <c r="T494" s="332">
        <v>0</v>
      </c>
      <c r="U494" s="330">
        <v>0</v>
      </c>
      <c r="V494" s="330">
        <v>0</v>
      </c>
      <c r="W494" s="330">
        <v>0</v>
      </c>
      <c r="X494" s="495">
        <v>0</v>
      </c>
      <c r="Y494" s="280">
        <v>0</v>
      </c>
      <c r="Z494" s="330">
        <v>0</v>
      </c>
      <c r="AA494" s="330">
        <v>0</v>
      </c>
      <c r="AB494" s="330"/>
      <c r="AC494" s="336">
        <v>214.14</v>
      </c>
      <c r="AD494" s="279">
        <v>0</v>
      </c>
      <c r="AE494" s="330">
        <f t="shared" si="101"/>
        <v>203.86127999999997</v>
      </c>
      <c r="AF494" s="330">
        <f t="shared" si="102"/>
        <v>10.27872</v>
      </c>
      <c r="AG494" s="495">
        <v>0</v>
      </c>
      <c r="AH494" s="336">
        <v>0</v>
      </c>
      <c r="AI494" s="279">
        <v>0</v>
      </c>
      <c r="AJ494" s="330">
        <v>0</v>
      </c>
      <c r="AK494" s="330">
        <v>0</v>
      </c>
      <c r="AL494" s="285"/>
    </row>
    <row r="495" spans="1:38" s="275" customFormat="1" ht="73.2" customHeight="1" outlineLevel="1" x14ac:dyDescent="0.25">
      <c r="A495" s="311" t="s">
        <v>1160</v>
      </c>
      <c r="B495" s="331" t="s">
        <v>1452</v>
      </c>
      <c r="C495" s="330">
        <f t="shared" si="103"/>
        <v>0</v>
      </c>
      <c r="D495" s="314">
        <f t="shared" si="103"/>
        <v>234.34</v>
      </c>
      <c r="E495" s="303">
        <v>0</v>
      </c>
      <c r="F495" s="307">
        <v>0</v>
      </c>
      <c r="G495" s="303">
        <v>0</v>
      </c>
      <c r="H495" s="303">
        <v>0</v>
      </c>
      <c r="I495" s="314">
        <v>0</v>
      </c>
      <c r="J495" s="335">
        <v>0</v>
      </c>
      <c r="K495" s="330">
        <v>0</v>
      </c>
      <c r="L495" s="330">
        <v>0</v>
      </c>
      <c r="M495" s="330">
        <v>0</v>
      </c>
      <c r="N495" s="330">
        <v>0</v>
      </c>
      <c r="O495" s="335">
        <v>0</v>
      </c>
      <c r="P495" s="330">
        <v>0</v>
      </c>
      <c r="Q495" s="330">
        <v>0</v>
      </c>
      <c r="R495" s="330">
        <v>0</v>
      </c>
      <c r="S495" s="330">
        <v>0</v>
      </c>
      <c r="T495" s="332">
        <v>0</v>
      </c>
      <c r="U495" s="330">
        <v>0</v>
      </c>
      <c r="V495" s="330">
        <v>0</v>
      </c>
      <c r="W495" s="330">
        <v>0</v>
      </c>
      <c r="X495" s="495">
        <v>0</v>
      </c>
      <c r="Y495" s="280">
        <v>0</v>
      </c>
      <c r="Z495" s="330">
        <v>0</v>
      </c>
      <c r="AA495" s="330">
        <v>0</v>
      </c>
      <c r="AB495" s="330"/>
      <c r="AC495" s="336">
        <v>234.34</v>
      </c>
      <c r="AD495" s="279">
        <v>0</v>
      </c>
      <c r="AE495" s="330">
        <f t="shared" si="101"/>
        <v>223.09168</v>
      </c>
      <c r="AF495" s="330">
        <f t="shared" si="102"/>
        <v>11.24832</v>
      </c>
      <c r="AG495" s="495">
        <v>0</v>
      </c>
      <c r="AH495" s="336">
        <v>0</v>
      </c>
      <c r="AI495" s="279">
        <v>0</v>
      </c>
      <c r="AJ495" s="330">
        <v>0</v>
      </c>
      <c r="AK495" s="330">
        <v>0</v>
      </c>
      <c r="AL495" s="285"/>
    </row>
    <row r="496" spans="1:38" s="275" customFormat="1" ht="130.94999999999999" customHeight="1" outlineLevel="1" x14ac:dyDescent="0.25">
      <c r="A496" s="311" t="s">
        <v>1161</v>
      </c>
      <c r="B496" s="331" t="s">
        <v>1453</v>
      </c>
      <c r="C496" s="330">
        <f t="shared" si="103"/>
        <v>0</v>
      </c>
      <c r="D496" s="314">
        <f t="shared" si="103"/>
        <v>2301.04</v>
      </c>
      <c r="E496" s="303">
        <v>0</v>
      </c>
      <c r="F496" s="307">
        <v>0</v>
      </c>
      <c r="G496" s="303">
        <v>0</v>
      </c>
      <c r="H496" s="303">
        <v>0</v>
      </c>
      <c r="I496" s="314">
        <v>0</v>
      </c>
      <c r="J496" s="335">
        <v>0</v>
      </c>
      <c r="K496" s="330">
        <v>0</v>
      </c>
      <c r="L496" s="330">
        <v>0</v>
      </c>
      <c r="M496" s="330">
        <v>0</v>
      </c>
      <c r="N496" s="330">
        <v>0</v>
      </c>
      <c r="O496" s="335">
        <v>0</v>
      </c>
      <c r="P496" s="330">
        <v>0</v>
      </c>
      <c r="Q496" s="330">
        <v>0</v>
      </c>
      <c r="R496" s="330">
        <v>0</v>
      </c>
      <c r="S496" s="330">
        <v>0</v>
      </c>
      <c r="T496" s="332">
        <v>0</v>
      </c>
      <c r="U496" s="330">
        <v>0</v>
      </c>
      <c r="V496" s="330">
        <v>0</v>
      </c>
      <c r="W496" s="330">
        <v>0</v>
      </c>
      <c r="X496" s="495">
        <v>0</v>
      </c>
      <c r="Y496" s="280">
        <v>0</v>
      </c>
      <c r="Z496" s="330">
        <v>0</v>
      </c>
      <c r="AA496" s="330">
        <v>0</v>
      </c>
      <c r="AB496" s="330"/>
      <c r="AC496" s="336">
        <v>2301.04</v>
      </c>
      <c r="AD496" s="279">
        <v>0</v>
      </c>
      <c r="AE496" s="330">
        <f t="shared" si="101"/>
        <v>2190.5900799999999</v>
      </c>
      <c r="AF496" s="330">
        <f t="shared" si="102"/>
        <v>110.44992000000001</v>
      </c>
      <c r="AG496" s="495">
        <v>0</v>
      </c>
      <c r="AH496" s="336">
        <v>0</v>
      </c>
      <c r="AI496" s="279">
        <v>0</v>
      </c>
      <c r="AJ496" s="330">
        <v>0</v>
      </c>
      <c r="AK496" s="330">
        <v>0</v>
      </c>
      <c r="AL496" s="285"/>
    </row>
    <row r="497" spans="1:38" s="275" customFormat="1" ht="96.6" customHeight="1" outlineLevel="1" x14ac:dyDescent="0.25">
      <c r="A497" s="311" t="s">
        <v>1163</v>
      </c>
      <c r="B497" s="331" t="s">
        <v>1162</v>
      </c>
      <c r="C497" s="330">
        <f t="shared" si="103"/>
        <v>0</v>
      </c>
      <c r="D497" s="314">
        <f t="shared" si="103"/>
        <v>4069.44</v>
      </c>
      <c r="E497" s="303">
        <v>0</v>
      </c>
      <c r="F497" s="307">
        <v>0</v>
      </c>
      <c r="G497" s="303">
        <v>0</v>
      </c>
      <c r="H497" s="303">
        <v>0</v>
      </c>
      <c r="I497" s="314">
        <v>0</v>
      </c>
      <c r="J497" s="335">
        <v>0</v>
      </c>
      <c r="K497" s="330">
        <v>0</v>
      </c>
      <c r="L497" s="330">
        <v>0</v>
      </c>
      <c r="M497" s="330">
        <v>0</v>
      </c>
      <c r="N497" s="330">
        <v>0</v>
      </c>
      <c r="O497" s="335">
        <v>0</v>
      </c>
      <c r="P497" s="330">
        <v>0</v>
      </c>
      <c r="Q497" s="330">
        <v>0</v>
      </c>
      <c r="R497" s="330">
        <v>0</v>
      </c>
      <c r="S497" s="330">
        <v>0</v>
      </c>
      <c r="T497" s="332">
        <v>0</v>
      </c>
      <c r="U497" s="330">
        <v>0</v>
      </c>
      <c r="V497" s="330">
        <v>0</v>
      </c>
      <c r="W497" s="330">
        <v>0</v>
      </c>
      <c r="X497" s="495">
        <v>0</v>
      </c>
      <c r="Y497" s="280">
        <v>0</v>
      </c>
      <c r="Z497" s="330">
        <v>0</v>
      </c>
      <c r="AA497" s="330">
        <v>0</v>
      </c>
      <c r="AB497" s="330"/>
      <c r="AC497" s="336">
        <v>4069.44</v>
      </c>
      <c r="AD497" s="279">
        <v>0</v>
      </c>
      <c r="AE497" s="330">
        <f t="shared" si="101"/>
        <v>3874.1068799999998</v>
      </c>
      <c r="AF497" s="330">
        <f t="shared" si="102"/>
        <v>195.33312000000001</v>
      </c>
      <c r="AG497" s="495">
        <v>0</v>
      </c>
      <c r="AH497" s="336">
        <v>0</v>
      </c>
      <c r="AI497" s="279">
        <v>0</v>
      </c>
      <c r="AJ497" s="330">
        <v>0</v>
      </c>
      <c r="AK497" s="330">
        <v>0</v>
      </c>
      <c r="AL497" s="285"/>
    </row>
    <row r="498" spans="1:38" s="275" customFormat="1" ht="81" customHeight="1" outlineLevel="1" x14ac:dyDescent="0.25">
      <c r="A498" s="311" t="s">
        <v>1165</v>
      </c>
      <c r="B498" s="331" t="s">
        <v>1164</v>
      </c>
      <c r="C498" s="330">
        <f t="shared" si="103"/>
        <v>0</v>
      </c>
      <c r="D498" s="314">
        <f t="shared" si="103"/>
        <v>389.82</v>
      </c>
      <c r="E498" s="303">
        <v>0</v>
      </c>
      <c r="F498" s="307">
        <v>0</v>
      </c>
      <c r="G498" s="303">
        <v>0</v>
      </c>
      <c r="H498" s="303">
        <v>0</v>
      </c>
      <c r="I498" s="314">
        <v>0</v>
      </c>
      <c r="J498" s="335">
        <v>0</v>
      </c>
      <c r="K498" s="330">
        <v>0</v>
      </c>
      <c r="L498" s="330">
        <v>0</v>
      </c>
      <c r="M498" s="330">
        <v>0</v>
      </c>
      <c r="N498" s="330">
        <v>0</v>
      </c>
      <c r="O498" s="335">
        <v>0</v>
      </c>
      <c r="P498" s="330">
        <v>0</v>
      </c>
      <c r="Q498" s="330">
        <v>0</v>
      </c>
      <c r="R498" s="330">
        <v>0</v>
      </c>
      <c r="S498" s="330">
        <v>0</v>
      </c>
      <c r="T498" s="332">
        <v>0</v>
      </c>
      <c r="U498" s="330">
        <v>0</v>
      </c>
      <c r="V498" s="330">
        <v>0</v>
      </c>
      <c r="W498" s="330">
        <v>0</v>
      </c>
      <c r="X498" s="495">
        <v>0</v>
      </c>
      <c r="Y498" s="280">
        <v>0</v>
      </c>
      <c r="Z498" s="330">
        <v>0</v>
      </c>
      <c r="AA498" s="330">
        <v>0</v>
      </c>
      <c r="AB498" s="330"/>
      <c r="AC498" s="336">
        <v>389.82</v>
      </c>
      <c r="AD498" s="279">
        <v>0</v>
      </c>
      <c r="AE498" s="330">
        <f t="shared" si="101"/>
        <v>371.10863999999998</v>
      </c>
      <c r="AF498" s="330">
        <f t="shared" si="102"/>
        <v>18.711359999999999</v>
      </c>
      <c r="AG498" s="495">
        <v>0</v>
      </c>
      <c r="AH498" s="336">
        <v>0</v>
      </c>
      <c r="AI498" s="279">
        <v>0</v>
      </c>
      <c r="AJ498" s="330">
        <v>0</v>
      </c>
      <c r="AK498" s="330">
        <v>0</v>
      </c>
      <c r="AL498" s="285"/>
    </row>
    <row r="499" spans="1:38" s="275" customFormat="1" ht="87" customHeight="1" outlineLevel="1" x14ac:dyDescent="0.25">
      <c r="A499" s="311" t="s">
        <v>1167</v>
      </c>
      <c r="B499" s="331" t="s">
        <v>1166</v>
      </c>
      <c r="C499" s="330">
        <f t="shared" si="103"/>
        <v>0</v>
      </c>
      <c r="D499" s="314">
        <f t="shared" si="103"/>
        <v>668.27</v>
      </c>
      <c r="E499" s="303">
        <v>0</v>
      </c>
      <c r="F499" s="307">
        <v>0</v>
      </c>
      <c r="G499" s="303">
        <v>0</v>
      </c>
      <c r="H499" s="303">
        <v>0</v>
      </c>
      <c r="I499" s="314">
        <v>0</v>
      </c>
      <c r="J499" s="335">
        <v>0</v>
      </c>
      <c r="K499" s="330">
        <v>0</v>
      </c>
      <c r="L499" s="330">
        <v>0</v>
      </c>
      <c r="M499" s="330">
        <v>0</v>
      </c>
      <c r="N499" s="330">
        <v>0</v>
      </c>
      <c r="O499" s="335">
        <v>0</v>
      </c>
      <c r="P499" s="330">
        <v>0</v>
      </c>
      <c r="Q499" s="330">
        <v>0</v>
      </c>
      <c r="R499" s="330">
        <v>0</v>
      </c>
      <c r="S499" s="330">
        <v>0</v>
      </c>
      <c r="T499" s="332">
        <v>0</v>
      </c>
      <c r="U499" s="330">
        <v>0</v>
      </c>
      <c r="V499" s="330">
        <v>0</v>
      </c>
      <c r="W499" s="330">
        <v>0</v>
      </c>
      <c r="X499" s="495">
        <v>0</v>
      </c>
      <c r="Y499" s="280">
        <v>0</v>
      </c>
      <c r="Z499" s="330">
        <v>0</v>
      </c>
      <c r="AA499" s="330">
        <v>0</v>
      </c>
      <c r="AB499" s="330"/>
      <c r="AC499" s="336">
        <v>668.27</v>
      </c>
      <c r="AD499" s="279">
        <v>0</v>
      </c>
      <c r="AE499" s="330">
        <f t="shared" si="101"/>
        <v>636.19304</v>
      </c>
      <c r="AF499" s="330">
        <f t="shared" si="102"/>
        <v>32.07696</v>
      </c>
      <c r="AG499" s="495">
        <v>0</v>
      </c>
      <c r="AH499" s="336">
        <v>0</v>
      </c>
      <c r="AI499" s="279">
        <v>0</v>
      </c>
      <c r="AJ499" s="330">
        <v>0</v>
      </c>
      <c r="AK499" s="330">
        <v>0</v>
      </c>
      <c r="AL499" s="285"/>
    </row>
    <row r="500" spans="1:38" s="275" customFormat="1" ht="109.95" customHeight="1" outlineLevel="1" x14ac:dyDescent="0.25">
      <c r="A500" s="311" t="s">
        <v>1168</v>
      </c>
      <c r="B500" s="331" t="s">
        <v>1454</v>
      </c>
      <c r="C500" s="330">
        <f t="shared" si="103"/>
        <v>0</v>
      </c>
      <c r="D500" s="314">
        <f t="shared" si="103"/>
        <v>501.2</v>
      </c>
      <c r="E500" s="303">
        <v>0</v>
      </c>
      <c r="F500" s="307">
        <v>0</v>
      </c>
      <c r="G500" s="303">
        <v>0</v>
      </c>
      <c r="H500" s="303">
        <v>0</v>
      </c>
      <c r="I500" s="314">
        <v>0</v>
      </c>
      <c r="J500" s="335">
        <v>0</v>
      </c>
      <c r="K500" s="330">
        <v>0</v>
      </c>
      <c r="L500" s="330">
        <v>0</v>
      </c>
      <c r="M500" s="330">
        <v>0</v>
      </c>
      <c r="N500" s="330">
        <v>0</v>
      </c>
      <c r="O500" s="335">
        <v>0</v>
      </c>
      <c r="P500" s="330">
        <v>0</v>
      </c>
      <c r="Q500" s="330">
        <v>0</v>
      </c>
      <c r="R500" s="330">
        <v>0</v>
      </c>
      <c r="S500" s="330">
        <v>0</v>
      </c>
      <c r="T500" s="332">
        <v>0</v>
      </c>
      <c r="U500" s="330">
        <v>0</v>
      </c>
      <c r="V500" s="330">
        <v>0</v>
      </c>
      <c r="W500" s="330">
        <v>0</v>
      </c>
      <c r="X500" s="495">
        <v>0</v>
      </c>
      <c r="Y500" s="280">
        <v>0</v>
      </c>
      <c r="Z500" s="330">
        <v>0</v>
      </c>
      <c r="AA500" s="330">
        <v>0</v>
      </c>
      <c r="AB500" s="330"/>
      <c r="AC500" s="336">
        <v>501.2</v>
      </c>
      <c r="AD500" s="279">
        <v>0</v>
      </c>
      <c r="AE500" s="330">
        <f t="shared" si="101"/>
        <v>477.14239999999995</v>
      </c>
      <c r="AF500" s="330">
        <f t="shared" si="102"/>
        <v>24.057600000000001</v>
      </c>
      <c r="AG500" s="495">
        <v>0</v>
      </c>
      <c r="AH500" s="336">
        <v>0</v>
      </c>
      <c r="AI500" s="279">
        <v>0</v>
      </c>
      <c r="AJ500" s="330">
        <v>0</v>
      </c>
      <c r="AK500" s="330">
        <v>0</v>
      </c>
      <c r="AL500" s="285"/>
    </row>
    <row r="501" spans="1:38" s="275" customFormat="1" ht="100.95" customHeight="1" outlineLevel="1" x14ac:dyDescent="0.25">
      <c r="A501" s="311" t="s">
        <v>1169</v>
      </c>
      <c r="B501" s="331" t="s">
        <v>1455</v>
      </c>
      <c r="C501" s="330">
        <f t="shared" si="103"/>
        <v>0</v>
      </c>
      <c r="D501" s="314">
        <f t="shared" si="103"/>
        <v>1002.41</v>
      </c>
      <c r="E501" s="303">
        <v>0</v>
      </c>
      <c r="F501" s="307">
        <v>0</v>
      </c>
      <c r="G501" s="303">
        <v>0</v>
      </c>
      <c r="H501" s="303">
        <v>0</v>
      </c>
      <c r="I501" s="314">
        <v>0</v>
      </c>
      <c r="J501" s="335">
        <v>0</v>
      </c>
      <c r="K501" s="330">
        <v>0</v>
      </c>
      <c r="L501" s="330">
        <v>0</v>
      </c>
      <c r="M501" s="330">
        <v>0</v>
      </c>
      <c r="N501" s="330">
        <v>0</v>
      </c>
      <c r="O501" s="335">
        <v>0</v>
      </c>
      <c r="P501" s="330">
        <v>0</v>
      </c>
      <c r="Q501" s="330">
        <v>0</v>
      </c>
      <c r="R501" s="330">
        <v>0</v>
      </c>
      <c r="S501" s="330">
        <v>0</v>
      </c>
      <c r="T501" s="332">
        <v>0</v>
      </c>
      <c r="U501" s="330">
        <v>0</v>
      </c>
      <c r="V501" s="330">
        <v>0</v>
      </c>
      <c r="W501" s="330">
        <v>0</v>
      </c>
      <c r="X501" s="495">
        <v>0</v>
      </c>
      <c r="Y501" s="280">
        <v>0</v>
      </c>
      <c r="Z501" s="330">
        <v>0</v>
      </c>
      <c r="AA501" s="330">
        <v>0</v>
      </c>
      <c r="AB501" s="330"/>
      <c r="AC501" s="336">
        <v>1002.41</v>
      </c>
      <c r="AD501" s="279">
        <v>0</v>
      </c>
      <c r="AE501" s="330">
        <f t="shared" si="101"/>
        <v>954.29431999999997</v>
      </c>
      <c r="AF501" s="330">
        <f t="shared" si="102"/>
        <v>48.115679999999998</v>
      </c>
      <c r="AG501" s="495">
        <v>0</v>
      </c>
      <c r="AH501" s="336">
        <v>0</v>
      </c>
      <c r="AI501" s="279">
        <v>0</v>
      </c>
      <c r="AJ501" s="330">
        <v>0</v>
      </c>
      <c r="AK501" s="330">
        <v>0</v>
      </c>
      <c r="AL501" s="285"/>
    </row>
    <row r="502" spans="1:38" s="275" customFormat="1" ht="89.4" customHeight="1" outlineLevel="1" x14ac:dyDescent="0.25">
      <c r="A502" s="311" t="s">
        <v>1171</v>
      </c>
      <c r="B502" s="331" t="s">
        <v>1170</v>
      </c>
      <c r="C502" s="330">
        <f t="shared" si="103"/>
        <v>0</v>
      </c>
      <c r="D502" s="314">
        <f t="shared" si="103"/>
        <v>581.41</v>
      </c>
      <c r="E502" s="303">
        <v>0</v>
      </c>
      <c r="F502" s="307">
        <v>0</v>
      </c>
      <c r="G502" s="303">
        <v>0</v>
      </c>
      <c r="H502" s="303">
        <v>0</v>
      </c>
      <c r="I502" s="314">
        <v>0</v>
      </c>
      <c r="J502" s="335">
        <v>0</v>
      </c>
      <c r="K502" s="330">
        <v>0</v>
      </c>
      <c r="L502" s="330">
        <v>0</v>
      </c>
      <c r="M502" s="330">
        <v>0</v>
      </c>
      <c r="N502" s="330">
        <v>0</v>
      </c>
      <c r="O502" s="335">
        <v>0</v>
      </c>
      <c r="P502" s="330">
        <v>0</v>
      </c>
      <c r="Q502" s="330">
        <v>0</v>
      </c>
      <c r="R502" s="330">
        <v>0</v>
      </c>
      <c r="S502" s="330">
        <v>0</v>
      </c>
      <c r="T502" s="332">
        <v>0</v>
      </c>
      <c r="U502" s="330">
        <v>0</v>
      </c>
      <c r="V502" s="330">
        <v>0</v>
      </c>
      <c r="W502" s="330">
        <v>0</v>
      </c>
      <c r="X502" s="495">
        <v>0</v>
      </c>
      <c r="Y502" s="280">
        <v>0</v>
      </c>
      <c r="Z502" s="330">
        <v>0</v>
      </c>
      <c r="AA502" s="330">
        <v>0</v>
      </c>
      <c r="AB502" s="330"/>
      <c r="AC502" s="336">
        <v>581.41</v>
      </c>
      <c r="AD502" s="279">
        <v>0</v>
      </c>
      <c r="AE502" s="330">
        <f t="shared" si="101"/>
        <v>553.50231999999994</v>
      </c>
      <c r="AF502" s="330">
        <f t="shared" si="102"/>
        <v>27.907679999999999</v>
      </c>
      <c r="AG502" s="495">
        <v>0</v>
      </c>
      <c r="AH502" s="336">
        <v>0</v>
      </c>
      <c r="AI502" s="279">
        <v>0</v>
      </c>
      <c r="AJ502" s="330">
        <v>0</v>
      </c>
      <c r="AK502" s="330">
        <v>0</v>
      </c>
      <c r="AL502" s="285"/>
    </row>
    <row r="503" spans="1:38" s="275" customFormat="1" ht="96.6" customHeight="1" outlineLevel="1" x14ac:dyDescent="0.25">
      <c r="A503" s="311" t="s">
        <v>1172</v>
      </c>
      <c r="B503" s="331" t="s">
        <v>1456</v>
      </c>
      <c r="C503" s="330">
        <f t="shared" si="103"/>
        <v>0</v>
      </c>
      <c r="D503" s="314">
        <f t="shared" si="103"/>
        <v>278.45</v>
      </c>
      <c r="E503" s="303">
        <v>0</v>
      </c>
      <c r="F503" s="307">
        <v>0</v>
      </c>
      <c r="G503" s="303">
        <v>0</v>
      </c>
      <c r="H503" s="303">
        <v>0</v>
      </c>
      <c r="I503" s="314">
        <v>0</v>
      </c>
      <c r="J503" s="335">
        <v>0</v>
      </c>
      <c r="K503" s="330">
        <v>0</v>
      </c>
      <c r="L503" s="330">
        <v>0</v>
      </c>
      <c r="M503" s="330">
        <v>0</v>
      </c>
      <c r="N503" s="330">
        <v>0</v>
      </c>
      <c r="O503" s="335">
        <v>0</v>
      </c>
      <c r="P503" s="330">
        <v>0</v>
      </c>
      <c r="Q503" s="330">
        <v>0</v>
      </c>
      <c r="R503" s="330">
        <v>0</v>
      </c>
      <c r="S503" s="330">
        <v>0</v>
      </c>
      <c r="T503" s="332">
        <v>0</v>
      </c>
      <c r="U503" s="330">
        <v>0</v>
      </c>
      <c r="V503" s="330">
        <v>0</v>
      </c>
      <c r="W503" s="330">
        <v>0</v>
      </c>
      <c r="X503" s="495">
        <v>0</v>
      </c>
      <c r="Y503" s="280">
        <v>0</v>
      </c>
      <c r="Z503" s="330">
        <v>0</v>
      </c>
      <c r="AA503" s="330">
        <v>0</v>
      </c>
      <c r="AB503" s="330"/>
      <c r="AC503" s="336">
        <v>278.45</v>
      </c>
      <c r="AD503" s="279">
        <v>0</v>
      </c>
      <c r="AE503" s="330">
        <f t="shared" si="101"/>
        <v>265.08439999999996</v>
      </c>
      <c r="AF503" s="330">
        <f t="shared" si="102"/>
        <v>13.365600000000001</v>
      </c>
      <c r="AG503" s="495">
        <v>0</v>
      </c>
      <c r="AH503" s="336">
        <v>0</v>
      </c>
      <c r="AI503" s="279">
        <v>0</v>
      </c>
      <c r="AJ503" s="330">
        <v>0</v>
      </c>
      <c r="AK503" s="330">
        <v>0</v>
      </c>
      <c r="AL503" s="285"/>
    </row>
    <row r="504" spans="1:38" s="275" customFormat="1" ht="92.4" customHeight="1" outlineLevel="1" x14ac:dyDescent="0.25">
      <c r="A504" s="311" t="s">
        <v>1174</v>
      </c>
      <c r="B504" s="331" t="s">
        <v>1173</v>
      </c>
      <c r="C504" s="330">
        <f t="shared" si="103"/>
        <v>0</v>
      </c>
      <c r="D504" s="314">
        <f t="shared" si="103"/>
        <v>278.45</v>
      </c>
      <c r="E504" s="303">
        <v>0</v>
      </c>
      <c r="F504" s="307">
        <v>0</v>
      </c>
      <c r="G504" s="303">
        <v>0</v>
      </c>
      <c r="H504" s="303">
        <v>0</v>
      </c>
      <c r="I504" s="314">
        <v>0</v>
      </c>
      <c r="J504" s="335">
        <v>0</v>
      </c>
      <c r="K504" s="330">
        <v>0</v>
      </c>
      <c r="L504" s="330">
        <v>0</v>
      </c>
      <c r="M504" s="330">
        <v>0</v>
      </c>
      <c r="N504" s="330">
        <v>0</v>
      </c>
      <c r="O504" s="335">
        <v>0</v>
      </c>
      <c r="P504" s="330">
        <v>0</v>
      </c>
      <c r="Q504" s="330">
        <v>0</v>
      </c>
      <c r="R504" s="330">
        <v>0</v>
      </c>
      <c r="S504" s="330">
        <v>0</v>
      </c>
      <c r="T504" s="332">
        <v>0</v>
      </c>
      <c r="U504" s="330">
        <v>0</v>
      </c>
      <c r="V504" s="330">
        <v>0</v>
      </c>
      <c r="W504" s="330">
        <v>0</v>
      </c>
      <c r="X504" s="495">
        <v>0</v>
      </c>
      <c r="Y504" s="280">
        <v>0</v>
      </c>
      <c r="Z504" s="330">
        <v>0</v>
      </c>
      <c r="AA504" s="330">
        <v>0</v>
      </c>
      <c r="AB504" s="330"/>
      <c r="AC504" s="336">
        <v>278.45</v>
      </c>
      <c r="AD504" s="279">
        <v>0</v>
      </c>
      <c r="AE504" s="330">
        <f t="shared" si="101"/>
        <v>265.08439999999996</v>
      </c>
      <c r="AF504" s="330">
        <f t="shared" si="102"/>
        <v>13.365600000000001</v>
      </c>
      <c r="AG504" s="495">
        <v>0</v>
      </c>
      <c r="AH504" s="336">
        <v>0</v>
      </c>
      <c r="AI504" s="279">
        <v>0</v>
      </c>
      <c r="AJ504" s="330">
        <v>0</v>
      </c>
      <c r="AK504" s="330">
        <v>0</v>
      </c>
      <c r="AL504" s="285"/>
    </row>
    <row r="505" spans="1:38" s="275" customFormat="1" ht="106.95" customHeight="1" outlineLevel="1" x14ac:dyDescent="0.25">
      <c r="A505" s="311" t="s">
        <v>1175</v>
      </c>
      <c r="B505" s="331" t="s">
        <v>1457</v>
      </c>
      <c r="C505" s="330">
        <f t="shared" si="103"/>
        <v>0</v>
      </c>
      <c r="D505" s="314">
        <f t="shared" si="103"/>
        <v>150.36000000000001</v>
      </c>
      <c r="E505" s="303">
        <v>0</v>
      </c>
      <c r="F505" s="307">
        <v>0</v>
      </c>
      <c r="G505" s="303">
        <v>0</v>
      </c>
      <c r="H505" s="303">
        <v>0</v>
      </c>
      <c r="I505" s="314">
        <v>0</v>
      </c>
      <c r="J505" s="335">
        <v>0</v>
      </c>
      <c r="K505" s="330">
        <v>0</v>
      </c>
      <c r="L505" s="330">
        <v>0</v>
      </c>
      <c r="M505" s="330">
        <v>0</v>
      </c>
      <c r="N505" s="330">
        <v>0</v>
      </c>
      <c r="O505" s="335">
        <v>0</v>
      </c>
      <c r="P505" s="330">
        <v>0</v>
      </c>
      <c r="Q505" s="330">
        <v>0</v>
      </c>
      <c r="R505" s="330">
        <v>0</v>
      </c>
      <c r="S505" s="330">
        <v>0</v>
      </c>
      <c r="T505" s="332">
        <v>0</v>
      </c>
      <c r="U505" s="330">
        <v>0</v>
      </c>
      <c r="V505" s="330">
        <v>0</v>
      </c>
      <c r="W505" s="330">
        <v>0</v>
      </c>
      <c r="X505" s="495">
        <v>0</v>
      </c>
      <c r="Y505" s="280">
        <v>0</v>
      </c>
      <c r="Z505" s="330">
        <v>0</v>
      </c>
      <c r="AA505" s="330">
        <v>0</v>
      </c>
      <c r="AB505" s="330"/>
      <c r="AC505" s="336">
        <v>150.36000000000001</v>
      </c>
      <c r="AD505" s="279">
        <v>0</v>
      </c>
      <c r="AE505" s="330">
        <f t="shared" si="101"/>
        <v>143.14272</v>
      </c>
      <c r="AF505" s="330">
        <f t="shared" si="102"/>
        <v>7.2172800000000006</v>
      </c>
      <c r="AG505" s="495">
        <v>0</v>
      </c>
      <c r="AH505" s="336">
        <v>0</v>
      </c>
      <c r="AI505" s="279">
        <v>0</v>
      </c>
      <c r="AJ505" s="330">
        <v>0</v>
      </c>
      <c r="AK505" s="330">
        <v>0</v>
      </c>
      <c r="AL505" s="285"/>
    </row>
    <row r="506" spans="1:38" s="275" customFormat="1" ht="86.4" customHeight="1" outlineLevel="1" x14ac:dyDescent="0.25">
      <c r="A506" s="311" t="s">
        <v>1177</v>
      </c>
      <c r="B506" s="331" t="s">
        <v>1176</v>
      </c>
      <c r="C506" s="330">
        <f t="shared" si="103"/>
        <v>0</v>
      </c>
      <c r="D506" s="314">
        <f t="shared" si="103"/>
        <v>278.45</v>
      </c>
      <c r="E506" s="303">
        <v>0</v>
      </c>
      <c r="F506" s="307">
        <v>0</v>
      </c>
      <c r="G506" s="303">
        <v>0</v>
      </c>
      <c r="H506" s="303">
        <v>0</v>
      </c>
      <c r="I506" s="314">
        <v>0</v>
      </c>
      <c r="J506" s="335">
        <v>0</v>
      </c>
      <c r="K506" s="330">
        <v>0</v>
      </c>
      <c r="L506" s="330">
        <v>0</v>
      </c>
      <c r="M506" s="330">
        <v>0</v>
      </c>
      <c r="N506" s="330">
        <v>0</v>
      </c>
      <c r="O506" s="335">
        <v>0</v>
      </c>
      <c r="P506" s="330">
        <v>0</v>
      </c>
      <c r="Q506" s="330">
        <v>0</v>
      </c>
      <c r="R506" s="330">
        <v>0</v>
      </c>
      <c r="S506" s="330">
        <v>0</v>
      </c>
      <c r="T506" s="332">
        <v>0</v>
      </c>
      <c r="U506" s="330">
        <v>0</v>
      </c>
      <c r="V506" s="330">
        <v>0</v>
      </c>
      <c r="W506" s="330">
        <v>0</v>
      </c>
      <c r="X506" s="495">
        <v>0</v>
      </c>
      <c r="Y506" s="280">
        <v>0</v>
      </c>
      <c r="Z506" s="330">
        <v>0</v>
      </c>
      <c r="AA506" s="330">
        <v>0</v>
      </c>
      <c r="AB506" s="330"/>
      <c r="AC506" s="336">
        <v>278.45</v>
      </c>
      <c r="AD506" s="279">
        <v>0</v>
      </c>
      <c r="AE506" s="330">
        <f t="shared" si="101"/>
        <v>265.08439999999996</v>
      </c>
      <c r="AF506" s="330">
        <f t="shared" si="102"/>
        <v>13.365600000000001</v>
      </c>
      <c r="AG506" s="495">
        <v>0</v>
      </c>
      <c r="AH506" s="336">
        <v>0</v>
      </c>
      <c r="AI506" s="279">
        <v>0</v>
      </c>
      <c r="AJ506" s="330">
        <v>0</v>
      </c>
      <c r="AK506" s="330">
        <v>0</v>
      </c>
      <c r="AL506" s="285"/>
    </row>
    <row r="507" spans="1:38" s="275" customFormat="1" ht="81" customHeight="1" outlineLevel="1" x14ac:dyDescent="0.25">
      <c r="A507" s="311" t="s">
        <v>1179</v>
      </c>
      <c r="B507" s="331" t="s">
        <v>1178</v>
      </c>
      <c r="C507" s="330">
        <f t="shared" si="103"/>
        <v>0</v>
      </c>
      <c r="D507" s="314">
        <f t="shared" si="103"/>
        <v>278.45</v>
      </c>
      <c r="E507" s="303">
        <v>0</v>
      </c>
      <c r="F507" s="307">
        <v>0</v>
      </c>
      <c r="G507" s="303">
        <v>0</v>
      </c>
      <c r="H507" s="303">
        <v>0</v>
      </c>
      <c r="I507" s="314">
        <v>0</v>
      </c>
      <c r="J507" s="335">
        <v>0</v>
      </c>
      <c r="K507" s="330">
        <v>0</v>
      </c>
      <c r="L507" s="330">
        <v>0</v>
      </c>
      <c r="M507" s="330">
        <v>0</v>
      </c>
      <c r="N507" s="330">
        <v>0</v>
      </c>
      <c r="O507" s="335">
        <v>0</v>
      </c>
      <c r="P507" s="330">
        <v>0</v>
      </c>
      <c r="Q507" s="330">
        <v>0</v>
      </c>
      <c r="R507" s="330">
        <v>0</v>
      </c>
      <c r="S507" s="330">
        <v>0</v>
      </c>
      <c r="T507" s="332">
        <v>0</v>
      </c>
      <c r="U507" s="330">
        <v>0</v>
      </c>
      <c r="V507" s="330">
        <v>0</v>
      </c>
      <c r="W507" s="330">
        <v>0</v>
      </c>
      <c r="X507" s="495">
        <v>0</v>
      </c>
      <c r="Y507" s="280">
        <v>0</v>
      </c>
      <c r="Z507" s="330">
        <v>0</v>
      </c>
      <c r="AA507" s="330">
        <v>0</v>
      </c>
      <c r="AB507" s="330"/>
      <c r="AC507" s="336">
        <v>278.45</v>
      </c>
      <c r="AD507" s="279">
        <v>0</v>
      </c>
      <c r="AE507" s="330">
        <f t="shared" si="101"/>
        <v>265.08439999999996</v>
      </c>
      <c r="AF507" s="330">
        <f t="shared" si="102"/>
        <v>13.365600000000001</v>
      </c>
      <c r="AG507" s="495">
        <v>0</v>
      </c>
      <c r="AH507" s="336">
        <v>0</v>
      </c>
      <c r="AI507" s="279">
        <v>0</v>
      </c>
      <c r="AJ507" s="330">
        <v>0</v>
      </c>
      <c r="AK507" s="330">
        <v>0</v>
      </c>
      <c r="AL507" s="285"/>
    </row>
    <row r="508" spans="1:38" s="275" customFormat="1" ht="108.6" customHeight="1" outlineLevel="1" x14ac:dyDescent="0.25">
      <c r="A508" s="311" t="s">
        <v>1180</v>
      </c>
      <c r="B508" s="331" t="s">
        <v>1458</v>
      </c>
      <c r="C508" s="330">
        <f t="shared" si="103"/>
        <v>0</v>
      </c>
      <c r="D508" s="314">
        <f t="shared" si="103"/>
        <v>156.91999999999999</v>
      </c>
      <c r="E508" s="303">
        <v>0</v>
      </c>
      <c r="F508" s="307">
        <v>0</v>
      </c>
      <c r="G508" s="303">
        <v>0</v>
      </c>
      <c r="H508" s="303">
        <v>0</v>
      </c>
      <c r="I508" s="314">
        <v>0</v>
      </c>
      <c r="J508" s="335">
        <v>0</v>
      </c>
      <c r="K508" s="330">
        <v>0</v>
      </c>
      <c r="L508" s="330">
        <v>0</v>
      </c>
      <c r="M508" s="330">
        <v>0</v>
      </c>
      <c r="N508" s="330">
        <v>0</v>
      </c>
      <c r="O508" s="335">
        <v>0</v>
      </c>
      <c r="P508" s="330">
        <v>0</v>
      </c>
      <c r="Q508" s="330">
        <v>0</v>
      </c>
      <c r="R508" s="330">
        <v>0</v>
      </c>
      <c r="S508" s="330">
        <v>0</v>
      </c>
      <c r="T508" s="332">
        <v>0</v>
      </c>
      <c r="U508" s="330">
        <v>0</v>
      </c>
      <c r="V508" s="330">
        <v>0</v>
      </c>
      <c r="W508" s="330">
        <v>0</v>
      </c>
      <c r="X508" s="495">
        <v>0</v>
      </c>
      <c r="Y508" s="280">
        <v>0</v>
      </c>
      <c r="Z508" s="330">
        <v>0</v>
      </c>
      <c r="AA508" s="330">
        <v>0</v>
      </c>
      <c r="AB508" s="330"/>
      <c r="AC508" s="336">
        <v>156.91999999999999</v>
      </c>
      <c r="AD508" s="279">
        <v>0</v>
      </c>
      <c r="AE508" s="330">
        <f t="shared" si="101"/>
        <v>149.38783999999998</v>
      </c>
      <c r="AF508" s="330">
        <f t="shared" si="102"/>
        <v>7.5321599999999993</v>
      </c>
      <c r="AG508" s="495">
        <v>0</v>
      </c>
      <c r="AH508" s="336">
        <v>0</v>
      </c>
      <c r="AI508" s="279">
        <v>0</v>
      </c>
      <c r="AJ508" s="330">
        <v>0</v>
      </c>
      <c r="AK508" s="330">
        <v>0</v>
      </c>
      <c r="AL508" s="285"/>
    </row>
    <row r="509" spans="1:38" s="275" customFormat="1" ht="111.6" customHeight="1" outlineLevel="1" x14ac:dyDescent="0.25">
      <c r="A509" s="311" t="s">
        <v>1181</v>
      </c>
      <c r="B509" s="331" t="s">
        <v>1459</v>
      </c>
      <c r="C509" s="330">
        <f t="shared" si="103"/>
        <v>0</v>
      </c>
      <c r="D509" s="314">
        <f t="shared" si="103"/>
        <v>129.08000000000001</v>
      </c>
      <c r="E509" s="303">
        <v>0</v>
      </c>
      <c r="F509" s="307">
        <v>0</v>
      </c>
      <c r="G509" s="303">
        <v>0</v>
      </c>
      <c r="H509" s="303">
        <v>0</v>
      </c>
      <c r="I509" s="314">
        <v>0</v>
      </c>
      <c r="J509" s="335">
        <v>0</v>
      </c>
      <c r="K509" s="330">
        <v>0</v>
      </c>
      <c r="L509" s="330">
        <v>0</v>
      </c>
      <c r="M509" s="330">
        <v>0</v>
      </c>
      <c r="N509" s="330">
        <v>0</v>
      </c>
      <c r="O509" s="335">
        <v>0</v>
      </c>
      <c r="P509" s="330">
        <v>0</v>
      </c>
      <c r="Q509" s="330">
        <v>0</v>
      </c>
      <c r="R509" s="330">
        <v>0</v>
      </c>
      <c r="S509" s="330">
        <v>0</v>
      </c>
      <c r="T509" s="332">
        <v>0</v>
      </c>
      <c r="U509" s="330">
        <v>0</v>
      </c>
      <c r="V509" s="330">
        <v>0</v>
      </c>
      <c r="W509" s="330">
        <v>0</v>
      </c>
      <c r="X509" s="495">
        <v>0</v>
      </c>
      <c r="Y509" s="280">
        <v>0</v>
      </c>
      <c r="Z509" s="330">
        <v>0</v>
      </c>
      <c r="AA509" s="330">
        <v>0</v>
      </c>
      <c r="AB509" s="330"/>
      <c r="AC509" s="336">
        <v>129.08000000000001</v>
      </c>
      <c r="AD509" s="279">
        <v>0</v>
      </c>
      <c r="AE509" s="330">
        <f t="shared" si="101"/>
        <v>122.88416000000001</v>
      </c>
      <c r="AF509" s="330">
        <f t="shared" si="102"/>
        <v>6.1958400000000005</v>
      </c>
      <c r="AG509" s="495">
        <v>0</v>
      </c>
      <c r="AH509" s="336">
        <v>0</v>
      </c>
      <c r="AI509" s="279">
        <v>0</v>
      </c>
      <c r="AJ509" s="330">
        <v>0</v>
      </c>
      <c r="AK509" s="330">
        <v>0</v>
      </c>
      <c r="AL509" s="285"/>
    </row>
    <row r="510" spans="1:38" s="275" customFormat="1" ht="87" customHeight="1" outlineLevel="1" x14ac:dyDescent="0.25">
      <c r="A510" s="311" t="s">
        <v>1183</v>
      </c>
      <c r="B510" s="331" t="s">
        <v>1182</v>
      </c>
      <c r="C510" s="330">
        <f t="shared" si="103"/>
        <v>0</v>
      </c>
      <c r="D510" s="314">
        <f t="shared" si="103"/>
        <v>82.14</v>
      </c>
      <c r="E510" s="303">
        <v>0</v>
      </c>
      <c r="F510" s="307">
        <v>0</v>
      </c>
      <c r="G510" s="303">
        <v>0</v>
      </c>
      <c r="H510" s="303">
        <v>0</v>
      </c>
      <c r="I510" s="314">
        <v>0</v>
      </c>
      <c r="J510" s="335">
        <v>0</v>
      </c>
      <c r="K510" s="330">
        <v>0</v>
      </c>
      <c r="L510" s="330">
        <v>0</v>
      </c>
      <c r="M510" s="330">
        <v>0</v>
      </c>
      <c r="N510" s="330">
        <v>0</v>
      </c>
      <c r="O510" s="335">
        <v>0</v>
      </c>
      <c r="P510" s="330">
        <v>0</v>
      </c>
      <c r="Q510" s="330">
        <v>0</v>
      </c>
      <c r="R510" s="330">
        <v>0</v>
      </c>
      <c r="S510" s="330">
        <v>0</v>
      </c>
      <c r="T510" s="332">
        <v>0</v>
      </c>
      <c r="U510" s="330">
        <v>0</v>
      </c>
      <c r="V510" s="330">
        <v>0</v>
      </c>
      <c r="W510" s="330">
        <v>0</v>
      </c>
      <c r="X510" s="495">
        <v>0</v>
      </c>
      <c r="Y510" s="280">
        <v>0</v>
      </c>
      <c r="Z510" s="330">
        <v>0</v>
      </c>
      <c r="AA510" s="330">
        <v>0</v>
      </c>
      <c r="AB510" s="330"/>
      <c r="AC510" s="336">
        <v>82.14</v>
      </c>
      <c r="AD510" s="279">
        <v>0</v>
      </c>
      <c r="AE510" s="330">
        <f t="shared" si="101"/>
        <v>78.197279999999992</v>
      </c>
      <c r="AF510" s="330">
        <f t="shared" si="102"/>
        <v>3.94272</v>
      </c>
      <c r="AG510" s="495">
        <v>0</v>
      </c>
      <c r="AH510" s="336">
        <v>0</v>
      </c>
      <c r="AI510" s="279">
        <v>0</v>
      </c>
      <c r="AJ510" s="330">
        <v>0</v>
      </c>
      <c r="AK510" s="330">
        <v>0</v>
      </c>
      <c r="AL510" s="285"/>
    </row>
    <row r="511" spans="1:38" s="275" customFormat="1" ht="113.4" customHeight="1" outlineLevel="1" x14ac:dyDescent="0.25">
      <c r="A511" s="311" t="s">
        <v>1184</v>
      </c>
      <c r="B511" s="331" t="s">
        <v>1460</v>
      </c>
      <c r="C511" s="330">
        <f t="shared" si="103"/>
        <v>0</v>
      </c>
      <c r="D511" s="314">
        <f t="shared" si="103"/>
        <v>61.33</v>
      </c>
      <c r="E511" s="303">
        <v>0</v>
      </c>
      <c r="F511" s="307">
        <v>0</v>
      </c>
      <c r="G511" s="303">
        <v>0</v>
      </c>
      <c r="H511" s="303">
        <v>0</v>
      </c>
      <c r="I511" s="314">
        <v>0</v>
      </c>
      <c r="J511" s="335">
        <v>0</v>
      </c>
      <c r="K511" s="330">
        <v>0</v>
      </c>
      <c r="L511" s="330">
        <v>0</v>
      </c>
      <c r="M511" s="330">
        <v>0</v>
      </c>
      <c r="N511" s="330">
        <v>0</v>
      </c>
      <c r="O511" s="335">
        <v>0</v>
      </c>
      <c r="P511" s="330">
        <v>0</v>
      </c>
      <c r="Q511" s="330">
        <v>0</v>
      </c>
      <c r="R511" s="330">
        <v>0</v>
      </c>
      <c r="S511" s="330">
        <v>0</v>
      </c>
      <c r="T511" s="332">
        <v>0</v>
      </c>
      <c r="U511" s="330">
        <v>0</v>
      </c>
      <c r="V511" s="330">
        <v>0</v>
      </c>
      <c r="W511" s="330">
        <v>0</v>
      </c>
      <c r="X511" s="495">
        <v>0</v>
      </c>
      <c r="Y511" s="280">
        <v>0</v>
      </c>
      <c r="Z511" s="330">
        <v>0</v>
      </c>
      <c r="AA511" s="330">
        <v>0</v>
      </c>
      <c r="AB511" s="330"/>
      <c r="AC511" s="336">
        <v>61.33</v>
      </c>
      <c r="AD511" s="279">
        <v>0</v>
      </c>
      <c r="AE511" s="330">
        <f t="shared" si="101"/>
        <v>58.386159999999997</v>
      </c>
      <c r="AF511" s="330">
        <f t="shared" si="102"/>
        <v>2.9438399999999998</v>
      </c>
      <c r="AG511" s="495">
        <v>0</v>
      </c>
      <c r="AH511" s="336">
        <v>0</v>
      </c>
      <c r="AI511" s="279">
        <v>0</v>
      </c>
      <c r="AJ511" s="330">
        <v>0</v>
      </c>
      <c r="AK511" s="330">
        <v>0</v>
      </c>
      <c r="AL511" s="285"/>
    </row>
    <row r="512" spans="1:38" s="275" customFormat="1" ht="142.19999999999999" customHeight="1" outlineLevel="1" x14ac:dyDescent="0.25">
      <c r="A512" s="311" t="s">
        <v>1185</v>
      </c>
      <c r="B512" s="331" t="s">
        <v>1461</v>
      </c>
      <c r="C512" s="330">
        <f t="shared" si="103"/>
        <v>0</v>
      </c>
      <c r="D512" s="314">
        <f t="shared" si="103"/>
        <v>184.66</v>
      </c>
      <c r="E512" s="303">
        <v>0</v>
      </c>
      <c r="F512" s="307">
        <v>0</v>
      </c>
      <c r="G512" s="303">
        <v>0</v>
      </c>
      <c r="H512" s="303">
        <v>0</v>
      </c>
      <c r="I512" s="314">
        <v>0</v>
      </c>
      <c r="J512" s="335">
        <v>0</v>
      </c>
      <c r="K512" s="330">
        <v>0</v>
      </c>
      <c r="L512" s="330">
        <v>0</v>
      </c>
      <c r="M512" s="330">
        <v>0</v>
      </c>
      <c r="N512" s="330">
        <v>0</v>
      </c>
      <c r="O512" s="335">
        <v>0</v>
      </c>
      <c r="P512" s="330">
        <v>0</v>
      </c>
      <c r="Q512" s="330">
        <v>0</v>
      </c>
      <c r="R512" s="330">
        <v>0</v>
      </c>
      <c r="S512" s="330">
        <v>0</v>
      </c>
      <c r="T512" s="332">
        <v>0</v>
      </c>
      <c r="U512" s="330">
        <v>0</v>
      </c>
      <c r="V512" s="330">
        <v>0</v>
      </c>
      <c r="W512" s="330">
        <v>0</v>
      </c>
      <c r="X512" s="495">
        <v>0</v>
      </c>
      <c r="Y512" s="280">
        <v>0</v>
      </c>
      <c r="Z512" s="330">
        <v>0</v>
      </c>
      <c r="AA512" s="330">
        <v>0</v>
      </c>
      <c r="AB512" s="330"/>
      <c r="AC512" s="336">
        <v>184.66</v>
      </c>
      <c r="AD512" s="279">
        <v>0</v>
      </c>
      <c r="AE512" s="330">
        <f t="shared" si="101"/>
        <v>175.79631999999998</v>
      </c>
      <c r="AF512" s="330">
        <f t="shared" si="102"/>
        <v>8.8636800000000004</v>
      </c>
      <c r="AG512" s="495">
        <v>0</v>
      </c>
      <c r="AH512" s="336">
        <v>0</v>
      </c>
      <c r="AI512" s="279">
        <v>0</v>
      </c>
      <c r="AJ512" s="330">
        <v>0</v>
      </c>
      <c r="AK512" s="330">
        <v>0</v>
      </c>
      <c r="AL512" s="285"/>
    </row>
    <row r="513" spans="1:38" s="275" customFormat="1" ht="150.6" customHeight="1" outlineLevel="1" x14ac:dyDescent="0.25">
      <c r="A513" s="311" t="s">
        <v>1321</v>
      </c>
      <c r="B513" s="331" t="s">
        <v>1462</v>
      </c>
      <c r="C513" s="330">
        <f t="shared" si="103"/>
        <v>0</v>
      </c>
      <c r="D513" s="314">
        <f t="shared" si="103"/>
        <v>184.66</v>
      </c>
      <c r="E513" s="303">
        <v>0</v>
      </c>
      <c r="F513" s="307">
        <v>0</v>
      </c>
      <c r="G513" s="303">
        <v>0</v>
      </c>
      <c r="H513" s="303">
        <v>0</v>
      </c>
      <c r="I513" s="314">
        <v>0</v>
      </c>
      <c r="J513" s="335">
        <v>0</v>
      </c>
      <c r="K513" s="330">
        <v>0</v>
      </c>
      <c r="L513" s="330">
        <v>0</v>
      </c>
      <c r="M513" s="330">
        <v>0</v>
      </c>
      <c r="N513" s="330">
        <v>0</v>
      </c>
      <c r="O513" s="335">
        <v>0</v>
      </c>
      <c r="P513" s="330">
        <v>0</v>
      </c>
      <c r="Q513" s="330">
        <v>0</v>
      </c>
      <c r="R513" s="330">
        <v>0</v>
      </c>
      <c r="S513" s="330">
        <v>0</v>
      </c>
      <c r="T513" s="332">
        <v>0</v>
      </c>
      <c r="U513" s="330">
        <v>0</v>
      </c>
      <c r="V513" s="330">
        <v>0</v>
      </c>
      <c r="W513" s="330">
        <v>0</v>
      </c>
      <c r="X513" s="495">
        <v>0</v>
      </c>
      <c r="Y513" s="280">
        <v>0</v>
      </c>
      <c r="Z513" s="330">
        <v>0</v>
      </c>
      <c r="AA513" s="330">
        <v>0</v>
      </c>
      <c r="AB513" s="330"/>
      <c r="AC513" s="336">
        <v>184.66</v>
      </c>
      <c r="AD513" s="279">
        <v>0</v>
      </c>
      <c r="AE513" s="330">
        <f t="shared" si="101"/>
        <v>175.79631999999998</v>
      </c>
      <c r="AF513" s="330">
        <f t="shared" si="102"/>
        <v>8.8636800000000004</v>
      </c>
      <c r="AG513" s="495">
        <v>0</v>
      </c>
      <c r="AH513" s="336">
        <v>0</v>
      </c>
      <c r="AI513" s="279">
        <v>0</v>
      </c>
      <c r="AJ513" s="330">
        <v>0</v>
      </c>
      <c r="AK513" s="330">
        <v>0</v>
      </c>
      <c r="AL513" s="285"/>
    </row>
    <row r="514" spans="1:38" s="275" customFormat="1" ht="142.94999999999999" customHeight="1" outlineLevel="1" x14ac:dyDescent="0.25">
      <c r="A514" s="311" t="s">
        <v>1186</v>
      </c>
      <c r="B514" s="331" t="s">
        <v>1463</v>
      </c>
      <c r="C514" s="330">
        <f t="shared" si="103"/>
        <v>0</v>
      </c>
      <c r="D514" s="314">
        <f t="shared" si="103"/>
        <v>184.66</v>
      </c>
      <c r="E514" s="303">
        <v>0</v>
      </c>
      <c r="F514" s="307">
        <v>0</v>
      </c>
      <c r="G514" s="303">
        <v>0</v>
      </c>
      <c r="H514" s="303">
        <v>0</v>
      </c>
      <c r="I514" s="314">
        <v>0</v>
      </c>
      <c r="J514" s="335">
        <v>0</v>
      </c>
      <c r="K514" s="330">
        <v>0</v>
      </c>
      <c r="L514" s="330">
        <v>0</v>
      </c>
      <c r="M514" s="330">
        <v>0</v>
      </c>
      <c r="N514" s="330">
        <v>0</v>
      </c>
      <c r="O514" s="335">
        <v>0</v>
      </c>
      <c r="P514" s="330">
        <v>0</v>
      </c>
      <c r="Q514" s="330">
        <v>0</v>
      </c>
      <c r="R514" s="330">
        <v>0</v>
      </c>
      <c r="S514" s="330">
        <v>0</v>
      </c>
      <c r="T514" s="332">
        <v>0</v>
      </c>
      <c r="U514" s="330">
        <v>0</v>
      </c>
      <c r="V514" s="330">
        <v>0</v>
      </c>
      <c r="W514" s="330">
        <v>0</v>
      </c>
      <c r="X514" s="495">
        <v>0</v>
      </c>
      <c r="Y514" s="280">
        <v>0</v>
      </c>
      <c r="Z514" s="330">
        <v>0</v>
      </c>
      <c r="AA514" s="330">
        <v>0</v>
      </c>
      <c r="AB514" s="330"/>
      <c r="AC514" s="336">
        <v>184.66</v>
      </c>
      <c r="AD514" s="279">
        <v>0</v>
      </c>
      <c r="AE514" s="330">
        <f t="shared" si="101"/>
        <v>175.79631999999998</v>
      </c>
      <c r="AF514" s="330">
        <f t="shared" si="102"/>
        <v>8.8636800000000004</v>
      </c>
      <c r="AG514" s="495">
        <v>0</v>
      </c>
      <c r="AH514" s="336">
        <v>0</v>
      </c>
      <c r="AI514" s="279">
        <v>0</v>
      </c>
      <c r="AJ514" s="330">
        <v>0</v>
      </c>
      <c r="AK514" s="330">
        <v>0</v>
      </c>
      <c r="AL514" s="285"/>
    </row>
    <row r="515" spans="1:38" s="275" customFormat="1" ht="237" customHeight="1" outlineLevel="1" x14ac:dyDescent="0.25">
      <c r="A515" s="311" t="s">
        <v>1187</v>
      </c>
      <c r="B515" s="331" t="s">
        <v>1464</v>
      </c>
      <c r="C515" s="330">
        <f t="shared" si="103"/>
        <v>0</v>
      </c>
      <c r="D515" s="314">
        <f t="shared" si="103"/>
        <v>184.66</v>
      </c>
      <c r="E515" s="303">
        <v>0</v>
      </c>
      <c r="F515" s="307">
        <v>0</v>
      </c>
      <c r="G515" s="303">
        <v>0</v>
      </c>
      <c r="H515" s="303">
        <v>0</v>
      </c>
      <c r="I515" s="314">
        <v>0</v>
      </c>
      <c r="J515" s="335">
        <v>0</v>
      </c>
      <c r="K515" s="330">
        <v>0</v>
      </c>
      <c r="L515" s="330">
        <v>0</v>
      </c>
      <c r="M515" s="330">
        <v>0</v>
      </c>
      <c r="N515" s="330">
        <v>0</v>
      </c>
      <c r="O515" s="335">
        <v>0</v>
      </c>
      <c r="P515" s="330">
        <v>0</v>
      </c>
      <c r="Q515" s="330">
        <v>0</v>
      </c>
      <c r="R515" s="330">
        <v>0</v>
      </c>
      <c r="S515" s="330">
        <v>0</v>
      </c>
      <c r="T515" s="332">
        <v>0</v>
      </c>
      <c r="U515" s="330">
        <v>0</v>
      </c>
      <c r="V515" s="330">
        <v>0</v>
      </c>
      <c r="W515" s="330">
        <v>0</v>
      </c>
      <c r="X515" s="495">
        <v>0</v>
      </c>
      <c r="Y515" s="280">
        <v>0</v>
      </c>
      <c r="Z515" s="330">
        <v>0</v>
      </c>
      <c r="AA515" s="330">
        <v>0</v>
      </c>
      <c r="AB515" s="330"/>
      <c r="AC515" s="336">
        <v>184.66</v>
      </c>
      <c r="AD515" s="279">
        <v>0</v>
      </c>
      <c r="AE515" s="330">
        <f t="shared" si="101"/>
        <v>175.79631999999998</v>
      </c>
      <c r="AF515" s="330">
        <f t="shared" si="102"/>
        <v>8.8636800000000004</v>
      </c>
      <c r="AG515" s="495">
        <v>0</v>
      </c>
      <c r="AH515" s="336">
        <v>0</v>
      </c>
      <c r="AI515" s="279">
        <v>0</v>
      </c>
      <c r="AJ515" s="330">
        <v>0</v>
      </c>
      <c r="AK515" s="330">
        <v>0</v>
      </c>
      <c r="AL515" s="285"/>
    </row>
    <row r="516" spans="1:38" s="275" customFormat="1" ht="66.599999999999994" customHeight="1" outlineLevel="1" x14ac:dyDescent="0.25">
      <c r="A516" s="311" t="s">
        <v>1189</v>
      </c>
      <c r="B516" s="331" t="s">
        <v>1188</v>
      </c>
      <c r="C516" s="330">
        <f t="shared" si="103"/>
        <v>51.8</v>
      </c>
      <c r="D516" s="314">
        <f t="shared" si="103"/>
        <v>126772.14</v>
      </c>
      <c r="E516" s="303">
        <v>0</v>
      </c>
      <c r="F516" s="307">
        <v>0</v>
      </c>
      <c r="G516" s="303">
        <v>0</v>
      </c>
      <c r="H516" s="303">
        <v>0</v>
      </c>
      <c r="I516" s="314">
        <v>0</v>
      </c>
      <c r="J516" s="335">
        <v>0</v>
      </c>
      <c r="K516" s="330">
        <v>0</v>
      </c>
      <c r="L516" s="330">
        <v>0</v>
      </c>
      <c r="M516" s="330">
        <v>0</v>
      </c>
      <c r="N516" s="330">
        <v>0</v>
      </c>
      <c r="O516" s="335">
        <v>0</v>
      </c>
      <c r="P516" s="330">
        <v>0</v>
      </c>
      <c r="Q516" s="330">
        <v>0</v>
      </c>
      <c r="R516" s="330">
        <v>0</v>
      </c>
      <c r="S516" s="330">
        <v>0</v>
      </c>
      <c r="T516" s="332">
        <v>0</v>
      </c>
      <c r="U516" s="330">
        <v>0</v>
      </c>
      <c r="V516" s="330">
        <v>0</v>
      </c>
      <c r="W516" s="330">
        <v>0</v>
      </c>
      <c r="X516" s="495">
        <v>0</v>
      </c>
      <c r="Y516" s="280">
        <v>0</v>
      </c>
      <c r="Z516" s="330">
        <v>0</v>
      </c>
      <c r="AA516" s="330">
        <v>0</v>
      </c>
      <c r="AB516" s="330">
        <v>0</v>
      </c>
      <c r="AC516" s="336">
        <v>0</v>
      </c>
      <c r="AD516" s="279">
        <v>0</v>
      </c>
      <c r="AE516" s="330">
        <f t="shared" si="101"/>
        <v>0</v>
      </c>
      <c r="AF516" s="330">
        <f t="shared" si="102"/>
        <v>0</v>
      </c>
      <c r="AG516" s="495">
        <v>51.8</v>
      </c>
      <c r="AH516" s="336">
        <f>AI516+AJ516+AK516</f>
        <v>126772.14</v>
      </c>
      <c r="AI516" s="279">
        <v>0</v>
      </c>
      <c r="AJ516" s="330">
        <v>121574.48</v>
      </c>
      <c r="AK516" s="330">
        <v>5197.66</v>
      </c>
      <c r="AL516" s="285"/>
    </row>
    <row r="517" spans="1:38" s="275" customFormat="1" ht="117.6" customHeight="1" outlineLevel="1" x14ac:dyDescent="0.25">
      <c r="A517" s="311" t="s">
        <v>1191</v>
      </c>
      <c r="B517" s="331" t="s">
        <v>1190</v>
      </c>
      <c r="C517" s="330">
        <f t="shared" si="103"/>
        <v>12.87</v>
      </c>
      <c r="D517" s="314">
        <f t="shared" si="103"/>
        <v>28779.260000000002</v>
      </c>
      <c r="E517" s="303">
        <v>0</v>
      </c>
      <c r="F517" s="307">
        <v>0</v>
      </c>
      <c r="G517" s="303">
        <v>0</v>
      </c>
      <c r="H517" s="303">
        <v>0</v>
      </c>
      <c r="I517" s="314">
        <v>0</v>
      </c>
      <c r="J517" s="335">
        <v>0</v>
      </c>
      <c r="K517" s="330">
        <v>0</v>
      </c>
      <c r="L517" s="330">
        <v>0</v>
      </c>
      <c r="M517" s="330">
        <v>0</v>
      </c>
      <c r="N517" s="330">
        <v>0</v>
      </c>
      <c r="O517" s="335">
        <v>0</v>
      </c>
      <c r="P517" s="330">
        <v>0</v>
      </c>
      <c r="Q517" s="330">
        <v>0</v>
      </c>
      <c r="R517" s="330">
        <v>0</v>
      </c>
      <c r="S517" s="330">
        <v>0</v>
      </c>
      <c r="T517" s="332">
        <v>0</v>
      </c>
      <c r="U517" s="330">
        <v>0</v>
      </c>
      <c r="V517" s="330">
        <v>0</v>
      </c>
      <c r="W517" s="330">
        <v>0</v>
      </c>
      <c r="X517" s="495">
        <v>0</v>
      </c>
      <c r="Y517" s="280">
        <v>0</v>
      </c>
      <c r="Z517" s="330">
        <v>0</v>
      </c>
      <c r="AA517" s="330">
        <v>0</v>
      </c>
      <c r="AB517" s="330">
        <v>0</v>
      </c>
      <c r="AC517" s="336">
        <v>0</v>
      </c>
      <c r="AD517" s="279">
        <v>0</v>
      </c>
      <c r="AE517" s="330">
        <f t="shared" si="101"/>
        <v>0</v>
      </c>
      <c r="AF517" s="330">
        <f t="shared" si="102"/>
        <v>0</v>
      </c>
      <c r="AG517" s="495">
        <v>12.87</v>
      </c>
      <c r="AH517" s="336">
        <f>AI517+AJ517+AK517</f>
        <v>28779.260000000002</v>
      </c>
      <c r="AI517" s="279">
        <v>0</v>
      </c>
      <c r="AJ517" s="330">
        <v>27599.31</v>
      </c>
      <c r="AK517" s="330">
        <v>1179.95</v>
      </c>
      <c r="AL517" s="285"/>
    </row>
    <row r="518" spans="1:38" s="275" customFormat="1" ht="122.4" customHeight="1" outlineLevel="1" x14ac:dyDescent="0.25">
      <c r="A518" s="311" t="s">
        <v>1193</v>
      </c>
      <c r="B518" s="331" t="s">
        <v>1192</v>
      </c>
      <c r="C518" s="330">
        <f t="shared" si="103"/>
        <v>4.96</v>
      </c>
      <c r="D518" s="314">
        <f t="shared" si="103"/>
        <v>10315.4</v>
      </c>
      <c r="E518" s="303">
        <v>0</v>
      </c>
      <c r="F518" s="307">
        <v>0</v>
      </c>
      <c r="G518" s="303">
        <v>0</v>
      </c>
      <c r="H518" s="303">
        <v>0</v>
      </c>
      <c r="I518" s="314">
        <v>0</v>
      </c>
      <c r="J518" s="335">
        <v>0</v>
      </c>
      <c r="K518" s="330">
        <v>0</v>
      </c>
      <c r="L518" s="330">
        <v>0</v>
      </c>
      <c r="M518" s="330">
        <v>0</v>
      </c>
      <c r="N518" s="330">
        <v>0</v>
      </c>
      <c r="O518" s="335">
        <v>0</v>
      </c>
      <c r="P518" s="330">
        <v>0</v>
      </c>
      <c r="Q518" s="330">
        <v>0</v>
      </c>
      <c r="R518" s="330">
        <v>0</v>
      </c>
      <c r="S518" s="330">
        <v>0</v>
      </c>
      <c r="T518" s="332">
        <v>0</v>
      </c>
      <c r="U518" s="330">
        <v>0</v>
      </c>
      <c r="V518" s="330">
        <v>0</v>
      </c>
      <c r="W518" s="330">
        <v>0</v>
      </c>
      <c r="X518" s="495">
        <v>0</v>
      </c>
      <c r="Y518" s="280">
        <v>0</v>
      </c>
      <c r="Z518" s="330">
        <v>0</v>
      </c>
      <c r="AA518" s="330">
        <v>0</v>
      </c>
      <c r="AB518" s="330">
        <v>0</v>
      </c>
      <c r="AC518" s="336">
        <v>0</v>
      </c>
      <c r="AD518" s="279">
        <v>0</v>
      </c>
      <c r="AE518" s="330">
        <f t="shared" si="101"/>
        <v>0</v>
      </c>
      <c r="AF518" s="330">
        <f t="shared" si="102"/>
        <v>0</v>
      </c>
      <c r="AG518" s="495">
        <v>4.96</v>
      </c>
      <c r="AH518" s="336">
        <f>AI518+AJ518+AK518</f>
        <v>10315.4</v>
      </c>
      <c r="AI518" s="279">
        <v>0</v>
      </c>
      <c r="AJ518" s="330">
        <v>9892.4699999999993</v>
      </c>
      <c r="AK518" s="330">
        <v>422.93</v>
      </c>
      <c r="AL518" s="285"/>
    </row>
    <row r="519" spans="1:38" s="275" customFormat="1" ht="88.95" customHeight="1" outlineLevel="1" x14ac:dyDescent="0.25">
      <c r="A519" s="311" t="s">
        <v>1195</v>
      </c>
      <c r="B519" s="331" t="s">
        <v>1194</v>
      </c>
      <c r="C519" s="330">
        <f t="shared" si="103"/>
        <v>34.299999999999997</v>
      </c>
      <c r="D519" s="314">
        <f t="shared" si="103"/>
        <v>96926.77</v>
      </c>
      <c r="E519" s="303">
        <v>0</v>
      </c>
      <c r="F519" s="307">
        <v>0</v>
      </c>
      <c r="G519" s="303">
        <v>0</v>
      </c>
      <c r="H519" s="303">
        <v>0</v>
      </c>
      <c r="I519" s="314">
        <v>0</v>
      </c>
      <c r="J519" s="335">
        <v>0</v>
      </c>
      <c r="K519" s="330">
        <v>0</v>
      </c>
      <c r="L519" s="330">
        <v>0</v>
      </c>
      <c r="M519" s="330">
        <v>0</v>
      </c>
      <c r="N519" s="330">
        <v>0</v>
      </c>
      <c r="O519" s="335">
        <v>0</v>
      </c>
      <c r="P519" s="330">
        <v>0</v>
      </c>
      <c r="Q519" s="330">
        <v>0</v>
      </c>
      <c r="R519" s="330">
        <v>0</v>
      </c>
      <c r="S519" s="330">
        <v>0</v>
      </c>
      <c r="T519" s="332">
        <v>0</v>
      </c>
      <c r="U519" s="330">
        <v>0</v>
      </c>
      <c r="V519" s="330">
        <v>0</v>
      </c>
      <c r="W519" s="330">
        <v>0</v>
      </c>
      <c r="X519" s="495">
        <v>0</v>
      </c>
      <c r="Y519" s="280">
        <v>0</v>
      </c>
      <c r="Z519" s="330">
        <v>0</v>
      </c>
      <c r="AA519" s="330">
        <v>0</v>
      </c>
      <c r="AB519" s="330">
        <v>0</v>
      </c>
      <c r="AC519" s="336">
        <v>0</v>
      </c>
      <c r="AD519" s="279">
        <v>0</v>
      </c>
      <c r="AE519" s="330">
        <f t="shared" si="101"/>
        <v>0</v>
      </c>
      <c r="AF519" s="330">
        <f t="shared" si="102"/>
        <v>0</v>
      </c>
      <c r="AG519" s="495">
        <v>34.299999999999997</v>
      </c>
      <c r="AH519" s="336">
        <f t="shared" ref="AH519:AH532" si="104">AI519+AJ519+AK519</f>
        <v>96926.77</v>
      </c>
      <c r="AI519" s="279">
        <v>0</v>
      </c>
      <c r="AJ519" s="330">
        <v>92952.77</v>
      </c>
      <c r="AK519" s="330">
        <v>3974</v>
      </c>
      <c r="AL519" s="285"/>
    </row>
    <row r="520" spans="1:38" s="275" customFormat="1" ht="87" customHeight="1" outlineLevel="1" x14ac:dyDescent="0.25">
      <c r="A520" s="311" t="s">
        <v>1197</v>
      </c>
      <c r="B520" s="331" t="s">
        <v>1196</v>
      </c>
      <c r="C520" s="330">
        <f t="shared" si="103"/>
        <v>4.3899999999999997</v>
      </c>
      <c r="D520" s="314">
        <f t="shared" si="103"/>
        <v>11581.25</v>
      </c>
      <c r="E520" s="303">
        <v>0</v>
      </c>
      <c r="F520" s="307">
        <v>0</v>
      </c>
      <c r="G520" s="303">
        <v>0</v>
      </c>
      <c r="H520" s="303">
        <v>0</v>
      </c>
      <c r="I520" s="314">
        <v>0</v>
      </c>
      <c r="J520" s="335">
        <v>0</v>
      </c>
      <c r="K520" s="330">
        <v>0</v>
      </c>
      <c r="L520" s="330">
        <v>0</v>
      </c>
      <c r="M520" s="330">
        <v>0</v>
      </c>
      <c r="N520" s="330">
        <v>0</v>
      </c>
      <c r="O520" s="335">
        <v>0</v>
      </c>
      <c r="P520" s="330">
        <v>0</v>
      </c>
      <c r="Q520" s="330">
        <v>0</v>
      </c>
      <c r="R520" s="330">
        <v>0</v>
      </c>
      <c r="S520" s="330">
        <v>0</v>
      </c>
      <c r="T520" s="332">
        <v>0</v>
      </c>
      <c r="U520" s="330">
        <v>0</v>
      </c>
      <c r="V520" s="330">
        <v>0</v>
      </c>
      <c r="W520" s="330">
        <v>0</v>
      </c>
      <c r="X520" s="495">
        <v>0</v>
      </c>
      <c r="Y520" s="280">
        <v>0</v>
      </c>
      <c r="Z520" s="330">
        <v>0</v>
      </c>
      <c r="AA520" s="330">
        <v>0</v>
      </c>
      <c r="AB520" s="330">
        <v>0</v>
      </c>
      <c r="AC520" s="336">
        <v>0</v>
      </c>
      <c r="AD520" s="279">
        <v>0</v>
      </c>
      <c r="AE520" s="330">
        <f t="shared" si="101"/>
        <v>0</v>
      </c>
      <c r="AF520" s="330">
        <f t="shared" si="102"/>
        <v>0</v>
      </c>
      <c r="AG520" s="495">
        <v>4.3899999999999997</v>
      </c>
      <c r="AH520" s="336">
        <f t="shared" si="104"/>
        <v>11581.25</v>
      </c>
      <c r="AI520" s="279">
        <v>0</v>
      </c>
      <c r="AJ520" s="330">
        <v>11106.42</v>
      </c>
      <c r="AK520" s="330">
        <v>474.83</v>
      </c>
      <c r="AL520" s="285"/>
    </row>
    <row r="521" spans="1:38" s="275" customFormat="1" ht="90.6" customHeight="1" outlineLevel="1" x14ac:dyDescent="0.25">
      <c r="A521" s="311" t="s">
        <v>1199</v>
      </c>
      <c r="B521" s="331" t="s">
        <v>1198</v>
      </c>
      <c r="C521" s="330">
        <f>E521+I521+N521+S521+X521+AB521+AG521</f>
        <v>4.3899999999999997</v>
      </c>
      <c r="D521" s="314">
        <f t="shared" si="103"/>
        <v>11687.900000000001</v>
      </c>
      <c r="E521" s="303">
        <v>0</v>
      </c>
      <c r="F521" s="307">
        <v>0</v>
      </c>
      <c r="G521" s="303">
        <v>0</v>
      </c>
      <c r="H521" s="303">
        <v>0</v>
      </c>
      <c r="I521" s="314">
        <v>0</v>
      </c>
      <c r="J521" s="335">
        <v>0</v>
      </c>
      <c r="K521" s="330">
        <v>0</v>
      </c>
      <c r="L521" s="330">
        <v>0</v>
      </c>
      <c r="M521" s="330">
        <v>0</v>
      </c>
      <c r="N521" s="330">
        <v>0</v>
      </c>
      <c r="O521" s="335">
        <v>0</v>
      </c>
      <c r="P521" s="330">
        <v>0</v>
      </c>
      <c r="Q521" s="330">
        <v>0</v>
      </c>
      <c r="R521" s="330">
        <v>0</v>
      </c>
      <c r="S521" s="330">
        <v>0</v>
      </c>
      <c r="T521" s="332">
        <v>0</v>
      </c>
      <c r="U521" s="330">
        <v>0</v>
      </c>
      <c r="V521" s="330">
        <v>0</v>
      </c>
      <c r="W521" s="330">
        <v>0</v>
      </c>
      <c r="X521" s="495">
        <v>0</v>
      </c>
      <c r="Y521" s="280">
        <v>0</v>
      </c>
      <c r="Z521" s="330">
        <v>0</v>
      </c>
      <c r="AA521" s="330">
        <v>0</v>
      </c>
      <c r="AB521" s="330">
        <v>0</v>
      </c>
      <c r="AC521" s="336">
        <v>0</v>
      </c>
      <c r="AD521" s="279">
        <v>0</v>
      </c>
      <c r="AE521" s="330">
        <f t="shared" si="101"/>
        <v>0</v>
      </c>
      <c r="AF521" s="330">
        <f t="shared" si="102"/>
        <v>0</v>
      </c>
      <c r="AG521" s="495">
        <v>4.3899999999999997</v>
      </c>
      <c r="AH521" s="336">
        <f t="shared" si="104"/>
        <v>11687.900000000001</v>
      </c>
      <c r="AI521" s="279">
        <v>0</v>
      </c>
      <c r="AJ521" s="330">
        <v>11208.7</v>
      </c>
      <c r="AK521" s="330">
        <v>479.2</v>
      </c>
      <c r="AL521" s="285"/>
    </row>
    <row r="522" spans="1:38" s="275" customFormat="1" ht="81.599999999999994" customHeight="1" outlineLevel="1" x14ac:dyDescent="0.25">
      <c r="A522" s="311" t="s">
        <v>1201</v>
      </c>
      <c r="B522" s="331" t="s">
        <v>1200</v>
      </c>
      <c r="C522" s="330">
        <f t="shared" si="103"/>
        <v>1.31</v>
      </c>
      <c r="D522" s="314">
        <f t="shared" si="103"/>
        <v>3657.68</v>
      </c>
      <c r="E522" s="303">
        <v>0</v>
      </c>
      <c r="F522" s="307">
        <v>0</v>
      </c>
      <c r="G522" s="303">
        <v>0</v>
      </c>
      <c r="H522" s="303">
        <v>0</v>
      </c>
      <c r="I522" s="314">
        <v>0</v>
      </c>
      <c r="J522" s="335">
        <v>0</v>
      </c>
      <c r="K522" s="330">
        <v>0</v>
      </c>
      <c r="L522" s="330">
        <v>0</v>
      </c>
      <c r="M522" s="330">
        <v>0</v>
      </c>
      <c r="N522" s="330">
        <v>0</v>
      </c>
      <c r="O522" s="335">
        <v>0</v>
      </c>
      <c r="P522" s="330">
        <v>0</v>
      </c>
      <c r="Q522" s="330">
        <v>0</v>
      </c>
      <c r="R522" s="330">
        <v>0</v>
      </c>
      <c r="S522" s="330">
        <v>0</v>
      </c>
      <c r="T522" s="332">
        <v>0</v>
      </c>
      <c r="U522" s="330">
        <v>0</v>
      </c>
      <c r="V522" s="330">
        <v>0</v>
      </c>
      <c r="W522" s="330">
        <v>0</v>
      </c>
      <c r="X522" s="495">
        <v>0</v>
      </c>
      <c r="Y522" s="280">
        <v>0</v>
      </c>
      <c r="Z522" s="330">
        <v>0</v>
      </c>
      <c r="AA522" s="330">
        <v>0</v>
      </c>
      <c r="AB522" s="330">
        <v>0</v>
      </c>
      <c r="AC522" s="336">
        <v>0</v>
      </c>
      <c r="AD522" s="279">
        <v>0</v>
      </c>
      <c r="AE522" s="330">
        <f t="shared" si="101"/>
        <v>0</v>
      </c>
      <c r="AF522" s="330">
        <f t="shared" si="102"/>
        <v>0</v>
      </c>
      <c r="AG522" s="495">
        <v>1.31</v>
      </c>
      <c r="AH522" s="336">
        <f t="shared" si="104"/>
        <v>3657.68</v>
      </c>
      <c r="AI522" s="279">
        <v>0</v>
      </c>
      <c r="AJ522" s="330">
        <v>3507.71</v>
      </c>
      <c r="AK522" s="330">
        <v>149.97</v>
      </c>
      <c r="AL522" s="285"/>
    </row>
    <row r="523" spans="1:38" s="275" customFormat="1" ht="92.4" customHeight="1" outlineLevel="1" x14ac:dyDescent="0.25">
      <c r="A523" s="311" t="s">
        <v>1203</v>
      </c>
      <c r="B523" s="331" t="s">
        <v>1202</v>
      </c>
      <c r="C523" s="330">
        <f>E523+I523+N523+S523+X523+AB523+AG523</f>
        <v>34.700000000000003</v>
      </c>
      <c r="D523" s="314">
        <f t="shared" ref="D523:D572" si="105">F523+J523+O523+T523+Y523+AC523+AH523</f>
        <v>88408.01999999999</v>
      </c>
      <c r="E523" s="303">
        <v>0</v>
      </c>
      <c r="F523" s="307">
        <v>0</v>
      </c>
      <c r="G523" s="303">
        <v>0</v>
      </c>
      <c r="H523" s="303">
        <v>0</v>
      </c>
      <c r="I523" s="314">
        <v>0</v>
      </c>
      <c r="J523" s="335">
        <v>0</v>
      </c>
      <c r="K523" s="330">
        <v>0</v>
      </c>
      <c r="L523" s="330">
        <v>0</v>
      </c>
      <c r="M523" s="330">
        <v>0</v>
      </c>
      <c r="N523" s="330">
        <v>0</v>
      </c>
      <c r="O523" s="335">
        <v>0</v>
      </c>
      <c r="P523" s="330">
        <v>0</v>
      </c>
      <c r="Q523" s="330">
        <v>0</v>
      </c>
      <c r="R523" s="330">
        <v>0</v>
      </c>
      <c r="S523" s="330">
        <v>0</v>
      </c>
      <c r="T523" s="332">
        <v>0</v>
      </c>
      <c r="U523" s="330">
        <v>0</v>
      </c>
      <c r="V523" s="330">
        <v>0</v>
      </c>
      <c r="W523" s="330">
        <v>0</v>
      </c>
      <c r="X523" s="495">
        <v>0</v>
      </c>
      <c r="Y523" s="280">
        <v>0</v>
      </c>
      <c r="Z523" s="330">
        <v>0</v>
      </c>
      <c r="AA523" s="330">
        <v>0</v>
      </c>
      <c r="AB523" s="330">
        <v>0</v>
      </c>
      <c r="AC523" s="336">
        <v>0</v>
      </c>
      <c r="AD523" s="279">
        <v>0</v>
      </c>
      <c r="AE523" s="330">
        <f t="shared" si="101"/>
        <v>0</v>
      </c>
      <c r="AF523" s="330">
        <f t="shared" si="102"/>
        <v>0</v>
      </c>
      <c r="AG523" s="495">
        <v>34.700000000000003</v>
      </c>
      <c r="AH523" s="336">
        <f t="shared" si="104"/>
        <v>88408.01999999999</v>
      </c>
      <c r="AI523" s="279">
        <v>0</v>
      </c>
      <c r="AJ523" s="330">
        <v>84783.29</v>
      </c>
      <c r="AK523" s="330">
        <v>3624.73</v>
      </c>
      <c r="AL523" s="285"/>
    </row>
    <row r="524" spans="1:38" s="275" customFormat="1" ht="89.4" customHeight="1" outlineLevel="1" x14ac:dyDescent="0.25">
      <c r="A524" s="311" t="s">
        <v>1205</v>
      </c>
      <c r="B524" s="331" t="s">
        <v>1204</v>
      </c>
      <c r="C524" s="330">
        <f t="shared" ref="C524:C572" si="106">E524+I524+N524+S524+X524+AB524+AG524</f>
        <v>6.1029999999999998</v>
      </c>
      <c r="D524" s="314">
        <f t="shared" si="105"/>
        <v>15225.94</v>
      </c>
      <c r="E524" s="303">
        <v>0</v>
      </c>
      <c r="F524" s="307">
        <v>0</v>
      </c>
      <c r="G524" s="303">
        <v>0</v>
      </c>
      <c r="H524" s="303">
        <v>0</v>
      </c>
      <c r="I524" s="314">
        <v>0</v>
      </c>
      <c r="J524" s="335">
        <v>0</v>
      </c>
      <c r="K524" s="330">
        <v>0</v>
      </c>
      <c r="L524" s="330">
        <v>0</v>
      </c>
      <c r="M524" s="330">
        <v>0</v>
      </c>
      <c r="N524" s="330">
        <v>0</v>
      </c>
      <c r="O524" s="335">
        <v>0</v>
      </c>
      <c r="P524" s="330">
        <v>0</v>
      </c>
      <c r="Q524" s="330">
        <v>0</v>
      </c>
      <c r="R524" s="330">
        <v>0</v>
      </c>
      <c r="S524" s="330">
        <v>0</v>
      </c>
      <c r="T524" s="332">
        <v>0</v>
      </c>
      <c r="U524" s="330">
        <v>0</v>
      </c>
      <c r="V524" s="330">
        <v>0</v>
      </c>
      <c r="W524" s="330">
        <v>0</v>
      </c>
      <c r="X524" s="495">
        <v>0</v>
      </c>
      <c r="Y524" s="280">
        <v>0</v>
      </c>
      <c r="Z524" s="330">
        <v>0</v>
      </c>
      <c r="AA524" s="330">
        <v>0</v>
      </c>
      <c r="AB524" s="330">
        <v>0</v>
      </c>
      <c r="AC524" s="336">
        <v>0</v>
      </c>
      <c r="AD524" s="279">
        <v>0</v>
      </c>
      <c r="AE524" s="330">
        <f t="shared" si="101"/>
        <v>0</v>
      </c>
      <c r="AF524" s="330">
        <f t="shared" si="102"/>
        <v>0</v>
      </c>
      <c r="AG524" s="495">
        <v>6.1029999999999998</v>
      </c>
      <c r="AH524" s="336">
        <f t="shared" si="104"/>
        <v>15225.94</v>
      </c>
      <c r="AI524" s="279">
        <v>0</v>
      </c>
      <c r="AJ524" s="330">
        <v>14601.68</v>
      </c>
      <c r="AK524" s="330">
        <v>624.26</v>
      </c>
      <c r="AL524" s="285"/>
    </row>
    <row r="525" spans="1:38" s="275" customFormat="1" ht="108" customHeight="1" outlineLevel="1" x14ac:dyDescent="0.25">
      <c r="A525" s="311" t="s">
        <v>1207</v>
      </c>
      <c r="B525" s="331" t="s">
        <v>1206</v>
      </c>
      <c r="C525" s="330">
        <f t="shared" si="106"/>
        <v>31.52</v>
      </c>
      <c r="D525" s="314">
        <f t="shared" si="105"/>
        <v>72736.45</v>
      </c>
      <c r="E525" s="303">
        <v>0</v>
      </c>
      <c r="F525" s="307">
        <v>0</v>
      </c>
      <c r="G525" s="303">
        <v>0</v>
      </c>
      <c r="H525" s="303">
        <v>0</v>
      </c>
      <c r="I525" s="314">
        <v>0</v>
      </c>
      <c r="J525" s="335">
        <v>0</v>
      </c>
      <c r="K525" s="330">
        <v>0</v>
      </c>
      <c r="L525" s="330">
        <v>0</v>
      </c>
      <c r="M525" s="330">
        <v>0</v>
      </c>
      <c r="N525" s="330">
        <v>0</v>
      </c>
      <c r="O525" s="335">
        <v>0</v>
      </c>
      <c r="P525" s="330">
        <v>0</v>
      </c>
      <c r="Q525" s="330">
        <v>0</v>
      </c>
      <c r="R525" s="330">
        <v>0</v>
      </c>
      <c r="S525" s="330">
        <v>0</v>
      </c>
      <c r="T525" s="332">
        <v>0</v>
      </c>
      <c r="U525" s="330">
        <v>0</v>
      </c>
      <c r="V525" s="330">
        <v>0</v>
      </c>
      <c r="W525" s="330">
        <v>0</v>
      </c>
      <c r="X525" s="495">
        <v>0</v>
      </c>
      <c r="Y525" s="280">
        <v>0</v>
      </c>
      <c r="Z525" s="330">
        <v>0</v>
      </c>
      <c r="AA525" s="330">
        <v>0</v>
      </c>
      <c r="AB525" s="330">
        <v>0</v>
      </c>
      <c r="AC525" s="336">
        <v>0</v>
      </c>
      <c r="AD525" s="279">
        <v>0</v>
      </c>
      <c r="AE525" s="330">
        <f t="shared" si="101"/>
        <v>0</v>
      </c>
      <c r="AF525" s="330">
        <f t="shared" si="102"/>
        <v>0</v>
      </c>
      <c r="AG525" s="495">
        <v>31.52</v>
      </c>
      <c r="AH525" s="336">
        <f t="shared" si="104"/>
        <v>72736.45</v>
      </c>
      <c r="AI525" s="279">
        <v>0</v>
      </c>
      <c r="AJ525" s="330">
        <v>69754.259999999995</v>
      </c>
      <c r="AK525" s="330">
        <v>2982.19</v>
      </c>
      <c r="AL525" s="285"/>
    </row>
    <row r="526" spans="1:38" s="275" customFormat="1" ht="102.6" customHeight="1" outlineLevel="1" x14ac:dyDescent="0.25">
      <c r="A526" s="311" t="s">
        <v>1209</v>
      </c>
      <c r="B526" s="331" t="s">
        <v>1208</v>
      </c>
      <c r="C526" s="330">
        <f t="shared" si="106"/>
        <v>2.0499999999999998</v>
      </c>
      <c r="D526" s="314">
        <f t="shared" si="105"/>
        <v>5438.06</v>
      </c>
      <c r="E526" s="303">
        <v>0</v>
      </c>
      <c r="F526" s="307">
        <v>0</v>
      </c>
      <c r="G526" s="303">
        <v>0</v>
      </c>
      <c r="H526" s="303">
        <v>0</v>
      </c>
      <c r="I526" s="314">
        <v>0</v>
      </c>
      <c r="J526" s="335">
        <v>0</v>
      </c>
      <c r="K526" s="330">
        <v>0</v>
      </c>
      <c r="L526" s="330">
        <v>0</v>
      </c>
      <c r="M526" s="330">
        <v>0</v>
      </c>
      <c r="N526" s="330">
        <v>0</v>
      </c>
      <c r="O526" s="335">
        <v>0</v>
      </c>
      <c r="P526" s="330">
        <v>0</v>
      </c>
      <c r="Q526" s="330">
        <v>0</v>
      </c>
      <c r="R526" s="330">
        <v>0</v>
      </c>
      <c r="S526" s="330">
        <v>0</v>
      </c>
      <c r="T526" s="332">
        <v>0</v>
      </c>
      <c r="U526" s="330">
        <v>0</v>
      </c>
      <c r="V526" s="330">
        <v>0</v>
      </c>
      <c r="W526" s="330">
        <v>0</v>
      </c>
      <c r="X526" s="495">
        <v>0</v>
      </c>
      <c r="Y526" s="280">
        <v>0</v>
      </c>
      <c r="Z526" s="330">
        <v>0</v>
      </c>
      <c r="AA526" s="330">
        <v>0</v>
      </c>
      <c r="AB526" s="330">
        <v>0</v>
      </c>
      <c r="AC526" s="336">
        <v>0</v>
      </c>
      <c r="AD526" s="279">
        <v>0</v>
      </c>
      <c r="AE526" s="330">
        <f t="shared" si="101"/>
        <v>0</v>
      </c>
      <c r="AF526" s="330">
        <f t="shared" si="102"/>
        <v>0</v>
      </c>
      <c r="AG526" s="495">
        <v>2.0499999999999998</v>
      </c>
      <c r="AH526" s="336">
        <f t="shared" si="104"/>
        <v>5438.06</v>
      </c>
      <c r="AI526" s="279">
        <v>0</v>
      </c>
      <c r="AJ526" s="330">
        <v>5215.1000000000004</v>
      </c>
      <c r="AK526" s="330">
        <v>222.96</v>
      </c>
      <c r="AL526" s="285"/>
    </row>
    <row r="527" spans="1:38" s="275" customFormat="1" ht="105" customHeight="1" outlineLevel="1" x14ac:dyDescent="0.25">
      <c r="A527" s="311" t="s">
        <v>1211</v>
      </c>
      <c r="B527" s="331" t="s">
        <v>1210</v>
      </c>
      <c r="C527" s="330">
        <f t="shared" si="106"/>
        <v>5.6</v>
      </c>
      <c r="D527" s="314">
        <f t="shared" si="105"/>
        <v>16343.84</v>
      </c>
      <c r="E527" s="303">
        <v>0</v>
      </c>
      <c r="F527" s="307">
        <v>0</v>
      </c>
      <c r="G527" s="303">
        <v>0</v>
      </c>
      <c r="H527" s="303">
        <v>0</v>
      </c>
      <c r="I527" s="314">
        <v>0</v>
      </c>
      <c r="J527" s="335">
        <v>0</v>
      </c>
      <c r="K527" s="330">
        <v>0</v>
      </c>
      <c r="L527" s="330">
        <v>0</v>
      </c>
      <c r="M527" s="330">
        <v>0</v>
      </c>
      <c r="N527" s="330">
        <v>0</v>
      </c>
      <c r="O527" s="335">
        <v>0</v>
      </c>
      <c r="P527" s="330">
        <v>0</v>
      </c>
      <c r="Q527" s="330">
        <v>0</v>
      </c>
      <c r="R527" s="330">
        <v>0</v>
      </c>
      <c r="S527" s="330">
        <v>0</v>
      </c>
      <c r="T527" s="332">
        <v>0</v>
      </c>
      <c r="U527" s="330">
        <v>0</v>
      </c>
      <c r="V527" s="330">
        <v>0</v>
      </c>
      <c r="W527" s="330">
        <v>0</v>
      </c>
      <c r="X527" s="495">
        <v>0</v>
      </c>
      <c r="Y527" s="280">
        <v>0</v>
      </c>
      <c r="Z527" s="330">
        <v>0</v>
      </c>
      <c r="AA527" s="330">
        <v>0</v>
      </c>
      <c r="AB527" s="330">
        <v>0</v>
      </c>
      <c r="AC527" s="336">
        <v>0</v>
      </c>
      <c r="AD527" s="279">
        <v>0</v>
      </c>
      <c r="AE527" s="330">
        <f t="shared" si="101"/>
        <v>0</v>
      </c>
      <c r="AF527" s="330">
        <f t="shared" si="102"/>
        <v>0</v>
      </c>
      <c r="AG527" s="495">
        <v>5.6</v>
      </c>
      <c r="AH527" s="336">
        <f t="shared" si="104"/>
        <v>16343.84</v>
      </c>
      <c r="AI527" s="279">
        <v>0</v>
      </c>
      <c r="AJ527" s="330">
        <v>15673.56</v>
      </c>
      <c r="AK527" s="330">
        <v>670.28</v>
      </c>
      <c r="AL527" s="285"/>
    </row>
    <row r="528" spans="1:38" s="275" customFormat="1" ht="107.4" customHeight="1" outlineLevel="1" x14ac:dyDescent="0.25">
      <c r="A528" s="311" t="s">
        <v>1322</v>
      </c>
      <c r="B528" s="331" t="s">
        <v>1212</v>
      </c>
      <c r="C528" s="330">
        <f t="shared" si="106"/>
        <v>16.84</v>
      </c>
      <c r="D528" s="314">
        <f t="shared" si="105"/>
        <v>38549.82</v>
      </c>
      <c r="E528" s="303">
        <v>0</v>
      </c>
      <c r="F528" s="307">
        <v>0</v>
      </c>
      <c r="G528" s="303">
        <v>0</v>
      </c>
      <c r="H528" s="303">
        <v>0</v>
      </c>
      <c r="I528" s="314">
        <v>0</v>
      </c>
      <c r="J528" s="335">
        <v>0</v>
      </c>
      <c r="K528" s="330">
        <v>0</v>
      </c>
      <c r="L528" s="330">
        <v>0</v>
      </c>
      <c r="M528" s="330">
        <v>0</v>
      </c>
      <c r="N528" s="330">
        <v>0</v>
      </c>
      <c r="O528" s="335">
        <v>0</v>
      </c>
      <c r="P528" s="330">
        <v>0</v>
      </c>
      <c r="Q528" s="330">
        <v>0</v>
      </c>
      <c r="R528" s="330">
        <v>0</v>
      </c>
      <c r="S528" s="330">
        <v>0</v>
      </c>
      <c r="T528" s="332">
        <v>0</v>
      </c>
      <c r="U528" s="330">
        <v>0</v>
      </c>
      <c r="V528" s="330">
        <v>0</v>
      </c>
      <c r="W528" s="330">
        <v>0</v>
      </c>
      <c r="X528" s="495">
        <v>0</v>
      </c>
      <c r="Y528" s="280">
        <v>0</v>
      </c>
      <c r="Z528" s="330">
        <v>0</v>
      </c>
      <c r="AA528" s="330">
        <v>0</v>
      </c>
      <c r="AB528" s="330">
        <v>0</v>
      </c>
      <c r="AC528" s="336">
        <v>0</v>
      </c>
      <c r="AD528" s="279">
        <v>0</v>
      </c>
      <c r="AE528" s="330">
        <f t="shared" si="101"/>
        <v>0</v>
      </c>
      <c r="AF528" s="330">
        <f t="shared" si="102"/>
        <v>0</v>
      </c>
      <c r="AG528" s="495">
        <v>16.84</v>
      </c>
      <c r="AH528" s="336">
        <f>AI528+AJ528+AK528</f>
        <v>38549.82</v>
      </c>
      <c r="AI528" s="279">
        <v>0</v>
      </c>
      <c r="AJ528" s="330">
        <v>36968.839999999997</v>
      </c>
      <c r="AK528" s="330">
        <v>1580.98</v>
      </c>
      <c r="AL528" s="285"/>
    </row>
    <row r="529" spans="1:38" s="267" customFormat="1" ht="85.2" customHeight="1" outlineLevel="1" x14ac:dyDescent="0.25">
      <c r="A529" s="311" t="s">
        <v>1323</v>
      </c>
      <c r="B529" s="331" t="s">
        <v>1213</v>
      </c>
      <c r="C529" s="330">
        <f t="shared" si="106"/>
        <v>7.3</v>
      </c>
      <c r="D529" s="314">
        <f t="shared" si="105"/>
        <v>14978.849999999999</v>
      </c>
      <c r="E529" s="303">
        <v>0</v>
      </c>
      <c r="F529" s="307">
        <v>0</v>
      </c>
      <c r="G529" s="303">
        <v>0</v>
      </c>
      <c r="H529" s="303">
        <v>0</v>
      </c>
      <c r="I529" s="314">
        <v>0</v>
      </c>
      <c r="J529" s="335">
        <v>0</v>
      </c>
      <c r="K529" s="330">
        <v>0</v>
      </c>
      <c r="L529" s="330">
        <v>0</v>
      </c>
      <c r="M529" s="330">
        <v>0</v>
      </c>
      <c r="N529" s="330">
        <v>0</v>
      </c>
      <c r="O529" s="335">
        <v>0</v>
      </c>
      <c r="P529" s="330">
        <v>0</v>
      </c>
      <c r="Q529" s="330">
        <v>0</v>
      </c>
      <c r="R529" s="330">
        <v>0</v>
      </c>
      <c r="S529" s="330">
        <v>0</v>
      </c>
      <c r="T529" s="332">
        <v>0</v>
      </c>
      <c r="U529" s="330">
        <v>0</v>
      </c>
      <c r="V529" s="330">
        <v>0</v>
      </c>
      <c r="W529" s="330">
        <v>0</v>
      </c>
      <c r="X529" s="495">
        <v>0</v>
      </c>
      <c r="Y529" s="280">
        <v>0</v>
      </c>
      <c r="Z529" s="330">
        <v>0</v>
      </c>
      <c r="AA529" s="330">
        <v>0</v>
      </c>
      <c r="AB529" s="330">
        <v>0</v>
      </c>
      <c r="AC529" s="336">
        <f>AE529+AF529</f>
        <v>0</v>
      </c>
      <c r="AD529" s="279">
        <v>0</v>
      </c>
      <c r="AE529" s="330">
        <v>0</v>
      </c>
      <c r="AF529" s="330">
        <v>0</v>
      </c>
      <c r="AG529" s="495">
        <v>7.3</v>
      </c>
      <c r="AH529" s="336">
        <f t="shared" si="104"/>
        <v>14978.849999999999</v>
      </c>
      <c r="AI529" s="279">
        <v>0</v>
      </c>
      <c r="AJ529" s="330">
        <v>14364.72</v>
      </c>
      <c r="AK529" s="330">
        <v>614.13</v>
      </c>
      <c r="AL529" s="316"/>
    </row>
    <row r="530" spans="1:38" s="267" customFormat="1" ht="78.599999999999994" customHeight="1" outlineLevel="1" x14ac:dyDescent="0.25">
      <c r="A530" s="311" t="s">
        <v>1324</v>
      </c>
      <c r="B530" s="331" t="s">
        <v>1214</v>
      </c>
      <c r="C530" s="330">
        <f t="shared" si="106"/>
        <v>4.79</v>
      </c>
      <c r="D530" s="314">
        <f t="shared" si="105"/>
        <v>10587.55</v>
      </c>
      <c r="E530" s="303">
        <v>0</v>
      </c>
      <c r="F530" s="307">
        <v>0</v>
      </c>
      <c r="G530" s="303">
        <v>0</v>
      </c>
      <c r="H530" s="303">
        <v>0</v>
      </c>
      <c r="I530" s="314">
        <v>0</v>
      </c>
      <c r="J530" s="335">
        <v>0</v>
      </c>
      <c r="K530" s="330">
        <v>0</v>
      </c>
      <c r="L530" s="330">
        <v>0</v>
      </c>
      <c r="M530" s="330">
        <v>0</v>
      </c>
      <c r="N530" s="330">
        <v>0</v>
      </c>
      <c r="O530" s="335">
        <v>0</v>
      </c>
      <c r="P530" s="330">
        <v>0</v>
      </c>
      <c r="Q530" s="330">
        <v>0</v>
      </c>
      <c r="R530" s="330">
        <v>0</v>
      </c>
      <c r="S530" s="330">
        <v>0</v>
      </c>
      <c r="T530" s="332">
        <v>0</v>
      </c>
      <c r="U530" s="330">
        <v>0</v>
      </c>
      <c r="V530" s="330">
        <v>0</v>
      </c>
      <c r="W530" s="330">
        <v>0</v>
      </c>
      <c r="X530" s="495">
        <v>0</v>
      </c>
      <c r="Y530" s="280">
        <v>0</v>
      </c>
      <c r="Z530" s="330">
        <v>0</v>
      </c>
      <c r="AA530" s="330">
        <v>0</v>
      </c>
      <c r="AB530" s="330">
        <v>0</v>
      </c>
      <c r="AC530" s="336">
        <f t="shared" ref="AC530:AC531" si="107">AE530+AF530</f>
        <v>0</v>
      </c>
      <c r="AD530" s="279">
        <v>0</v>
      </c>
      <c r="AE530" s="330">
        <v>0</v>
      </c>
      <c r="AF530" s="330">
        <v>0</v>
      </c>
      <c r="AG530" s="495">
        <v>4.79</v>
      </c>
      <c r="AH530" s="336">
        <f t="shared" si="104"/>
        <v>10587.55</v>
      </c>
      <c r="AI530" s="279">
        <v>0</v>
      </c>
      <c r="AJ530" s="330">
        <v>10153.459999999999</v>
      </c>
      <c r="AK530" s="330">
        <v>434.09</v>
      </c>
      <c r="AL530" s="316"/>
    </row>
    <row r="531" spans="1:38" s="267" customFormat="1" ht="172.95" customHeight="1" outlineLevel="1" x14ac:dyDescent="0.25">
      <c r="A531" s="311" t="s">
        <v>1325</v>
      </c>
      <c r="B531" s="331" t="s">
        <v>1215</v>
      </c>
      <c r="C531" s="330">
        <f t="shared" si="106"/>
        <v>38.11</v>
      </c>
      <c r="D531" s="314">
        <f t="shared" si="105"/>
        <v>57824.57</v>
      </c>
      <c r="E531" s="303">
        <v>0</v>
      </c>
      <c r="F531" s="312">
        <v>0</v>
      </c>
      <c r="G531" s="303">
        <v>0</v>
      </c>
      <c r="H531" s="303">
        <v>0</v>
      </c>
      <c r="I531" s="314">
        <v>0</v>
      </c>
      <c r="J531" s="332">
        <v>0</v>
      </c>
      <c r="K531" s="330">
        <v>0</v>
      </c>
      <c r="L531" s="330">
        <v>0</v>
      </c>
      <c r="M531" s="330">
        <v>0</v>
      </c>
      <c r="N531" s="330">
        <v>0</v>
      </c>
      <c r="O531" s="332">
        <v>0</v>
      </c>
      <c r="P531" s="330">
        <v>0</v>
      </c>
      <c r="Q531" s="330">
        <v>0</v>
      </c>
      <c r="R531" s="330">
        <v>0</v>
      </c>
      <c r="S531" s="330">
        <v>0</v>
      </c>
      <c r="T531" s="332">
        <v>0</v>
      </c>
      <c r="U531" s="330">
        <v>0</v>
      </c>
      <c r="V531" s="330">
        <v>0</v>
      </c>
      <c r="W531" s="330">
        <v>0</v>
      </c>
      <c r="X531" s="495">
        <v>0</v>
      </c>
      <c r="Y531" s="280">
        <v>0</v>
      </c>
      <c r="Z531" s="330">
        <v>0</v>
      </c>
      <c r="AA531" s="330">
        <v>0</v>
      </c>
      <c r="AB531" s="330">
        <v>0</v>
      </c>
      <c r="AC531" s="280">
        <f t="shared" si="107"/>
        <v>0</v>
      </c>
      <c r="AD531" s="279">
        <v>0</v>
      </c>
      <c r="AE531" s="330">
        <v>0</v>
      </c>
      <c r="AF531" s="330">
        <v>0</v>
      </c>
      <c r="AG531" s="495">
        <v>38.11</v>
      </c>
      <c r="AH531" s="280">
        <f t="shared" si="104"/>
        <v>57824.57</v>
      </c>
      <c r="AI531" s="279">
        <v>0</v>
      </c>
      <c r="AJ531" s="330">
        <f>55454.24-0.5</f>
        <v>55453.74</v>
      </c>
      <c r="AK531" s="330">
        <v>2370.83</v>
      </c>
      <c r="AL531" s="316"/>
    </row>
    <row r="532" spans="1:38" s="275" customFormat="1" ht="109.2" customHeight="1" outlineLevel="1" x14ac:dyDescent="0.25">
      <c r="A532" s="311" t="s">
        <v>1326</v>
      </c>
      <c r="B532" s="331" t="s">
        <v>1216</v>
      </c>
      <c r="C532" s="330">
        <f t="shared" si="106"/>
        <v>0</v>
      </c>
      <c r="D532" s="314">
        <f t="shared" si="105"/>
        <v>274</v>
      </c>
      <c r="E532" s="303">
        <v>0</v>
      </c>
      <c r="F532" s="307">
        <v>0</v>
      </c>
      <c r="G532" s="303">
        <v>0</v>
      </c>
      <c r="H532" s="303">
        <v>0</v>
      </c>
      <c r="I532" s="314">
        <v>0</v>
      </c>
      <c r="J532" s="335">
        <v>0</v>
      </c>
      <c r="K532" s="330">
        <v>0</v>
      </c>
      <c r="L532" s="330">
        <v>0</v>
      </c>
      <c r="M532" s="330">
        <v>0</v>
      </c>
      <c r="N532" s="330">
        <v>0</v>
      </c>
      <c r="O532" s="335">
        <v>0</v>
      </c>
      <c r="P532" s="330">
        <v>0</v>
      </c>
      <c r="Q532" s="330">
        <v>0</v>
      </c>
      <c r="R532" s="330">
        <v>0</v>
      </c>
      <c r="S532" s="330">
        <v>0</v>
      </c>
      <c r="T532" s="332">
        <v>0</v>
      </c>
      <c r="U532" s="330">
        <v>0</v>
      </c>
      <c r="V532" s="330">
        <v>0</v>
      </c>
      <c r="W532" s="330">
        <v>0</v>
      </c>
      <c r="X532" s="495">
        <v>0</v>
      </c>
      <c r="Y532" s="280">
        <v>0</v>
      </c>
      <c r="Z532" s="330">
        <v>0</v>
      </c>
      <c r="AA532" s="330">
        <v>0</v>
      </c>
      <c r="AB532" s="330">
        <v>0</v>
      </c>
      <c r="AC532" s="336">
        <f>AF532</f>
        <v>274</v>
      </c>
      <c r="AD532" s="279">
        <v>0</v>
      </c>
      <c r="AE532" s="330">
        <v>0</v>
      </c>
      <c r="AF532" s="330">
        <v>274</v>
      </c>
      <c r="AG532" s="495"/>
      <c r="AH532" s="336">
        <f t="shared" si="104"/>
        <v>0</v>
      </c>
      <c r="AI532" s="279">
        <v>0</v>
      </c>
      <c r="AJ532" s="330">
        <v>0</v>
      </c>
      <c r="AK532" s="330">
        <v>0</v>
      </c>
      <c r="AL532" s="285"/>
    </row>
    <row r="533" spans="1:38" s="275" customFormat="1" ht="133.19999999999999" customHeight="1" outlineLevel="1" x14ac:dyDescent="0.25">
      <c r="A533" s="311" t="s">
        <v>1327</v>
      </c>
      <c r="B533" s="331" t="s">
        <v>1217</v>
      </c>
      <c r="C533" s="330">
        <f t="shared" si="106"/>
        <v>0</v>
      </c>
      <c r="D533" s="314">
        <f t="shared" si="105"/>
        <v>289.12</v>
      </c>
      <c r="E533" s="303">
        <v>0</v>
      </c>
      <c r="F533" s="307">
        <v>0</v>
      </c>
      <c r="G533" s="303">
        <v>0</v>
      </c>
      <c r="H533" s="303">
        <v>0</v>
      </c>
      <c r="I533" s="314">
        <v>0</v>
      </c>
      <c r="J533" s="335">
        <v>0</v>
      </c>
      <c r="K533" s="330">
        <v>0</v>
      </c>
      <c r="L533" s="330">
        <v>0</v>
      </c>
      <c r="M533" s="330">
        <v>0</v>
      </c>
      <c r="N533" s="330">
        <v>0</v>
      </c>
      <c r="O533" s="335">
        <v>0</v>
      </c>
      <c r="P533" s="330">
        <v>0</v>
      </c>
      <c r="Q533" s="330">
        <v>0</v>
      </c>
      <c r="R533" s="330">
        <v>0</v>
      </c>
      <c r="S533" s="330">
        <v>0</v>
      </c>
      <c r="T533" s="332">
        <v>0</v>
      </c>
      <c r="U533" s="330">
        <v>0</v>
      </c>
      <c r="V533" s="330">
        <v>0</v>
      </c>
      <c r="W533" s="330">
        <v>0</v>
      </c>
      <c r="X533" s="495">
        <v>0</v>
      </c>
      <c r="Y533" s="280">
        <v>0</v>
      </c>
      <c r="Z533" s="330">
        <v>0</v>
      </c>
      <c r="AA533" s="330">
        <v>0</v>
      </c>
      <c r="AB533" s="330">
        <v>0</v>
      </c>
      <c r="AC533" s="336">
        <v>0</v>
      </c>
      <c r="AD533" s="279">
        <v>0</v>
      </c>
      <c r="AE533" s="330">
        <v>0</v>
      </c>
      <c r="AF533" s="330">
        <v>0</v>
      </c>
      <c r="AG533" s="495"/>
      <c r="AH533" s="336">
        <f>AI533+AJ533+AK533</f>
        <v>289.12</v>
      </c>
      <c r="AI533" s="279">
        <v>0</v>
      </c>
      <c r="AJ533" s="330">
        <v>277.26</v>
      </c>
      <c r="AK533" s="330">
        <v>11.86</v>
      </c>
      <c r="AL533" s="285"/>
    </row>
    <row r="534" spans="1:38" s="275" customFormat="1" ht="105.6" customHeight="1" outlineLevel="1" x14ac:dyDescent="0.25">
      <c r="A534" s="311" t="s">
        <v>1328</v>
      </c>
      <c r="B534" s="331" t="s">
        <v>1218</v>
      </c>
      <c r="C534" s="330">
        <f t="shared" si="106"/>
        <v>0</v>
      </c>
      <c r="D534" s="314">
        <f t="shared" si="105"/>
        <v>319.03999999999996</v>
      </c>
      <c r="E534" s="303">
        <v>0</v>
      </c>
      <c r="F534" s="307">
        <v>0</v>
      </c>
      <c r="G534" s="303">
        <v>0</v>
      </c>
      <c r="H534" s="303">
        <v>0</v>
      </c>
      <c r="I534" s="314">
        <v>0</v>
      </c>
      <c r="J534" s="335">
        <v>0</v>
      </c>
      <c r="K534" s="330">
        <v>0</v>
      </c>
      <c r="L534" s="330">
        <v>0</v>
      </c>
      <c r="M534" s="330">
        <v>0</v>
      </c>
      <c r="N534" s="330">
        <v>0</v>
      </c>
      <c r="O534" s="335">
        <v>0</v>
      </c>
      <c r="P534" s="330">
        <v>0</v>
      </c>
      <c r="Q534" s="330">
        <v>0</v>
      </c>
      <c r="R534" s="330">
        <v>0</v>
      </c>
      <c r="S534" s="330">
        <v>0</v>
      </c>
      <c r="T534" s="332">
        <v>0</v>
      </c>
      <c r="U534" s="330">
        <v>0</v>
      </c>
      <c r="V534" s="330">
        <v>0</v>
      </c>
      <c r="W534" s="330">
        <v>0</v>
      </c>
      <c r="X534" s="495">
        <v>0</v>
      </c>
      <c r="Y534" s="280">
        <v>0</v>
      </c>
      <c r="Z534" s="330">
        <v>0</v>
      </c>
      <c r="AA534" s="330">
        <v>0</v>
      </c>
      <c r="AB534" s="330">
        <v>0</v>
      </c>
      <c r="AC534" s="336">
        <v>0</v>
      </c>
      <c r="AD534" s="279">
        <v>0</v>
      </c>
      <c r="AE534" s="330">
        <v>0</v>
      </c>
      <c r="AF534" s="330">
        <v>0</v>
      </c>
      <c r="AG534" s="495"/>
      <c r="AH534" s="336">
        <f t="shared" ref="AH534:AH541" si="108">AI534+AJ534+AK534</f>
        <v>319.03999999999996</v>
      </c>
      <c r="AI534" s="279">
        <v>0</v>
      </c>
      <c r="AJ534" s="330">
        <v>305.95999999999998</v>
      </c>
      <c r="AK534" s="330">
        <v>13.08</v>
      </c>
      <c r="AL534" s="285"/>
    </row>
    <row r="535" spans="1:38" s="275" customFormat="1" ht="94.95" customHeight="1" outlineLevel="1" x14ac:dyDescent="0.25">
      <c r="A535" s="311" t="s">
        <v>1329</v>
      </c>
      <c r="B535" s="331" t="s">
        <v>1219</v>
      </c>
      <c r="C535" s="330">
        <f t="shared" si="106"/>
        <v>0</v>
      </c>
      <c r="D535" s="314">
        <f t="shared" si="105"/>
        <v>1174.0500000000002</v>
      </c>
      <c r="E535" s="303">
        <v>0</v>
      </c>
      <c r="F535" s="307">
        <v>0</v>
      </c>
      <c r="G535" s="303">
        <v>0</v>
      </c>
      <c r="H535" s="303">
        <v>0</v>
      </c>
      <c r="I535" s="314">
        <v>0</v>
      </c>
      <c r="J535" s="335">
        <v>0</v>
      </c>
      <c r="K535" s="330">
        <v>0</v>
      </c>
      <c r="L535" s="330">
        <v>0</v>
      </c>
      <c r="M535" s="330">
        <v>0</v>
      </c>
      <c r="N535" s="330">
        <v>0</v>
      </c>
      <c r="O535" s="335">
        <v>0</v>
      </c>
      <c r="P535" s="330">
        <v>0</v>
      </c>
      <c r="Q535" s="330">
        <v>0</v>
      </c>
      <c r="R535" s="330">
        <v>0</v>
      </c>
      <c r="S535" s="330">
        <v>0</v>
      </c>
      <c r="T535" s="332">
        <v>0</v>
      </c>
      <c r="U535" s="330">
        <v>0</v>
      </c>
      <c r="V535" s="330">
        <v>0</v>
      </c>
      <c r="W535" s="330">
        <v>0</v>
      </c>
      <c r="X535" s="495">
        <v>0</v>
      </c>
      <c r="Y535" s="280">
        <v>0</v>
      </c>
      <c r="Z535" s="330">
        <v>0</v>
      </c>
      <c r="AA535" s="330">
        <v>0</v>
      </c>
      <c r="AB535" s="330">
        <v>0</v>
      </c>
      <c r="AC535" s="336">
        <v>0</v>
      </c>
      <c r="AD535" s="279">
        <v>0</v>
      </c>
      <c r="AE535" s="330">
        <v>0</v>
      </c>
      <c r="AF535" s="330">
        <v>0</v>
      </c>
      <c r="AG535" s="495"/>
      <c r="AH535" s="336">
        <f t="shared" si="108"/>
        <v>1174.0500000000002</v>
      </c>
      <c r="AI535" s="279">
        <v>0</v>
      </c>
      <c r="AJ535" s="330">
        <v>1125.9100000000001</v>
      </c>
      <c r="AK535" s="330">
        <v>48.14</v>
      </c>
      <c r="AL535" s="285"/>
    </row>
    <row r="536" spans="1:38" s="275" customFormat="1" ht="92.4" customHeight="1" outlineLevel="1" x14ac:dyDescent="0.25">
      <c r="A536" s="311" t="s">
        <v>1330</v>
      </c>
      <c r="B536" s="331" t="s">
        <v>1220</v>
      </c>
      <c r="C536" s="330">
        <f t="shared" si="106"/>
        <v>0</v>
      </c>
      <c r="D536" s="314">
        <f t="shared" si="105"/>
        <v>155.36000000000001</v>
      </c>
      <c r="E536" s="303">
        <v>0</v>
      </c>
      <c r="F536" s="307">
        <v>0</v>
      </c>
      <c r="G536" s="303">
        <v>0</v>
      </c>
      <c r="H536" s="303">
        <v>0</v>
      </c>
      <c r="I536" s="314">
        <v>0</v>
      </c>
      <c r="J536" s="335">
        <v>0</v>
      </c>
      <c r="K536" s="330">
        <v>0</v>
      </c>
      <c r="L536" s="330">
        <v>0</v>
      </c>
      <c r="M536" s="330">
        <v>0</v>
      </c>
      <c r="N536" s="330">
        <v>0</v>
      </c>
      <c r="O536" s="335">
        <v>0</v>
      </c>
      <c r="P536" s="330">
        <v>0</v>
      </c>
      <c r="Q536" s="330">
        <v>0</v>
      </c>
      <c r="R536" s="330">
        <v>0</v>
      </c>
      <c r="S536" s="330">
        <v>0</v>
      </c>
      <c r="T536" s="332">
        <v>0</v>
      </c>
      <c r="U536" s="330">
        <v>0</v>
      </c>
      <c r="V536" s="330">
        <v>0</v>
      </c>
      <c r="W536" s="330">
        <v>0</v>
      </c>
      <c r="X536" s="495">
        <v>0</v>
      </c>
      <c r="Y536" s="280">
        <v>0</v>
      </c>
      <c r="Z536" s="330">
        <v>0</v>
      </c>
      <c r="AA536" s="330">
        <v>0</v>
      </c>
      <c r="AB536" s="330">
        <v>0</v>
      </c>
      <c r="AC536" s="336">
        <v>0</v>
      </c>
      <c r="AD536" s="279">
        <v>0</v>
      </c>
      <c r="AE536" s="330">
        <v>0</v>
      </c>
      <c r="AF536" s="330">
        <v>0</v>
      </c>
      <c r="AG536" s="495"/>
      <c r="AH536" s="336">
        <f t="shared" si="108"/>
        <v>155.36000000000001</v>
      </c>
      <c r="AI536" s="279">
        <v>0</v>
      </c>
      <c r="AJ536" s="330">
        <v>148.99</v>
      </c>
      <c r="AK536" s="330">
        <v>6.37</v>
      </c>
      <c r="AL536" s="285"/>
    </row>
    <row r="537" spans="1:38" s="275" customFormat="1" ht="111" customHeight="1" outlineLevel="1" x14ac:dyDescent="0.25">
      <c r="A537" s="311" t="s">
        <v>1331</v>
      </c>
      <c r="B537" s="331" t="s">
        <v>1221</v>
      </c>
      <c r="C537" s="330">
        <f t="shared" si="106"/>
        <v>0</v>
      </c>
      <c r="D537" s="314">
        <f t="shared" si="105"/>
        <v>4142.16</v>
      </c>
      <c r="E537" s="303">
        <v>0</v>
      </c>
      <c r="F537" s="307">
        <v>0</v>
      </c>
      <c r="G537" s="303">
        <v>0</v>
      </c>
      <c r="H537" s="303">
        <v>0</v>
      </c>
      <c r="I537" s="314">
        <v>0</v>
      </c>
      <c r="J537" s="335">
        <v>0</v>
      </c>
      <c r="K537" s="330">
        <v>0</v>
      </c>
      <c r="L537" s="330">
        <v>0</v>
      </c>
      <c r="M537" s="330">
        <v>0</v>
      </c>
      <c r="N537" s="330">
        <v>0</v>
      </c>
      <c r="O537" s="335">
        <v>0</v>
      </c>
      <c r="P537" s="330">
        <v>0</v>
      </c>
      <c r="Q537" s="330">
        <v>0</v>
      </c>
      <c r="R537" s="330">
        <v>0</v>
      </c>
      <c r="S537" s="330">
        <v>0</v>
      </c>
      <c r="T537" s="332">
        <v>0</v>
      </c>
      <c r="U537" s="330">
        <v>0</v>
      </c>
      <c r="V537" s="330">
        <v>0</v>
      </c>
      <c r="W537" s="330">
        <v>0</v>
      </c>
      <c r="X537" s="495">
        <v>0</v>
      </c>
      <c r="Y537" s="280">
        <v>0</v>
      </c>
      <c r="Z537" s="330">
        <v>0</v>
      </c>
      <c r="AA537" s="330">
        <v>0</v>
      </c>
      <c r="AB537" s="330">
        <v>0</v>
      </c>
      <c r="AC537" s="336">
        <v>0</v>
      </c>
      <c r="AD537" s="279">
        <v>0</v>
      </c>
      <c r="AE537" s="330">
        <v>0</v>
      </c>
      <c r="AF537" s="330">
        <v>0</v>
      </c>
      <c r="AG537" s="495"/>
      <c r="AH537" s="336">
        <f t="shared" si="108"/>
        <v>4142.16</v>
      </c>
      <c r="AI537" s="279">
        <v>0</v>
      </c>
      <c r="AJ537" s="330">
        <v>3972.33</v>
      </c>
      <c r="AK537" s="330">
        <v>169.83</v>
      </c>
      <c r="AL537" s="285"/>
    </row>
    <row r="538" spans="1:38" s="275" customFormat="1" ht="120" customHeight="1" outlineLevel="1" x14ac:dyDescent="0.25">
      <c r="A538" s="311" t="s">
        <v>1332</v>
      </c>
      <c r="B538" s="331" t="s">
        <v>1222</v>
      </c>
      <c r="C538" s="330">
        <f t="shared" si="106"/>
        <v>0</v>
      </c>
      <c r="D538" s="314">
        <f t="shared" si="105"/>
        <v>7693.8499999999995</v>
      </c>
      <c r="E538" s="303">
        <v>0</v>
      </c>
      <c r="F538" s="307">
        <v>0</v>
      </c>
      <c r="G538" s="303">
        <v>0</v>
      </c>
      <c r="H538" s="303">
        <v>0</v>
      </c>
      <c r="I538" s="314">
        <v>0</v>
      </c>
      <c r="J538" s="335">
        <v>0</v>
      </c>
      <c r="K538" s="330">
        <v>0</v>
      </c>
      <c r="L538" s="330">
        <v>0</v>
      </c>
      <c r="M538" s="330">
        <v>0</v>
      </c>
      <c r="N538" s="330">
        <v>0</v>
      </c>
      <c r="O538" s="335">
        <v>0</v>
      </c>
      <c r="P538" s="330">
        <v>0</v>
      </c>
      <c r="Q538" s="330">
        <v>0</v>
      </c>
      <c r="R538" s="330">
        <v>0</v>
      </c>
      <c r="S538" s="330">
        <v>0</v>
      </c>
      <c r="T538" s="332">
        <v>0</v>
      </c>
      <c r="U538" s="330">
        <v>0</v>
      </c>
      <c r="V538" s="330">
        <v>0</v>
      </c>
      <c r="W538" s="330">
        <v>0</v>
      </c>
      <c r="X538" s="495">
        <v>0</v>
      </c>
      <c r="Y538" s="280">
        <v>0</v>
      </c>
      <c r="Z538" s="330">
        <v>0</v>
      </c>
      <c r="AA538" s="330">
        <v>0</v>
      </c>
      <c r="AB538" s="330">
        <v>0</v>
      </c>
      <c r="AC538" s="336">
        <v>0</v>
      </c>
      <c r="AD538" s="279">
        <v>0</v>
      </c>
      <c r="AE538" s="330">
        <v>0</v>
      </c>
      <c r="AF538" s="330">
        <v>0</v>
      </c>
      <c r="AG538" s="495"/>
      <c r="AH538" s="336">
        <f t="shared" si="108"/>
        <v>7693.8499999999995</v>
      </c>
      <c r="AI538" s="279">
        <v>0</v>
      </c>
      <c r="AJ538" s="330">
        <v>7378.4</v>
      </c>
      <c r="AK538" s="330">
        <v>315.45</v>
      </c>
      <c r="AL538" s="285"/>
    </row>
    <row r="539" spans="1:38" s="275" customFormat="1" ht="91.2" customHeight="1" outlineLevel="1" x14ac:dyDescent="0.25">
      <c r="A539" s="311" t="s">
        <v>1333</v>
      </c>
      <c r="B539" s="331" t="s">
        <v>1223</v>
      </c>
      <c r="C539" s="330">
        <f t="shared" si="106"/>
        <v>0</v>
      </c>
      <c r="D539" s="314">
        <f t="shared" si="105"/>
        <v>377.86</v>
      </c>
      <c r="E539" s="303">
        <v>0</v>
      </c>
      <c r="F539" s="307">
        <v>0</v>
      </c>
      <c r="G539" s="303">
        <v>0</v>
      </c>
      <c r="H539" s="303">
        <v>0</v>
      </c>
      <c r="I539" s="314">
        <v>0</v>
      </c>
      <c r="J539" s="335">
        <v>0</v>
      </c>
      <c r="K539" s="330">
        <v>0</v>
      </c>
      <c r="L539" s="330">
        <v>0</v>
      </c>
      <c r="M539" s="330">
        <v>0</v>
      </c>
      <c r="N539" s="330">
        <v>0</v>
      </c>
      <c r="O539" s="335">
        <v>0</v>
      </c>
      <c r="P539" s="330">
        <v>0</v>
      </c>
      <c r="Q539" s="330">
        <v>0</v>
      </c>
      <c r="R539" s="330">
        <v>0</v>
      </c>
      <c r="S539" s="330">
        <v>0</v>
      </c>
      <c r="T539" s="332">
        <v>0</v>
      </c>
      <c r="U539" s="330">
        <v>0</v>
      </c>
      <c r="V539" s="330">
        <v>0</v>
      </c>
      <c r="W539" s="330">
        <v>0</v>
      </c>
      <c r="X539" s="495">
        <v>0</v>
      </c>
      <c r="Y539" s="280">
        <v>0</v>
      </c>
      <c r="Z539" s="330">
        <v>0</v>
      </c>
      <c r="AA539" s="330">
        <v>0</v>
      </c>
      <c r="AB539" s="330">
        <v>0</v>
      </c>
      <c r="AC539" s="336">
        <v>0</v>
      </c>
      <c r="AD539" s="279">
        <v>0</v>
      </c>
      <c r="AE539" s="330">
        <v>0</v>
      </c>
      <c r="AF539" s="330">
        <v>0</v>
      </c>
      <c r="AG539" s="495"/>
      <c r="AH539" s="336">
        <f t="shared" si="108"/>
        <v>377.86</v>
      </c>
      <c r="AI539" s="279">
        <v>0</v>
      </c>
      <c r="AJ539" s="330">
        <v>362.37</v>
      </c>
      <c r="AK539" s="330">
        <v>15.49</v>
      </c>
      <c r="AL539" s="285"/>
    </row>
    <row r="540" spans="1:38" s="275" customFormat="1" ht="115.2" customHeight="1" outlineLevel="1" x14ac:dyDescent="0.25">
      <c r="A540" s="311" t="s">
        <v>1334</v>
      </c>
      <c r="B540" s="331" t="s">
        <v>1224</v>
      </c>
      <c r="C540" s="330">
        <f t="shared" si="106"/>
        <v>0</v>
      </c>
      <c r="D540" s="314">
        <f t="shared" si="105"/>
        <v>2463.67</v>
      </c>
      <c r="E540" s="303">
        <v>0</v>
      </c>
      <c r="F540" s="307">
        <v>0</v>
      </c>
      <c r="G540" s="303">
        <v>0</v>
      </c>
      <c r="H540" s="303">
        <v>0</v>
      </c>
      <c r="I540" s="314">
        <v>0</v>
      </c>
      <c r="J540" s="335">
        <v>0</v>
      </c>
      <c r="K540" s="330">
        <v>0</v>
      </c>
      <c r="L540" s="330">
        <v>0</v>
      </c>
      <c r="M540" s="330">
        <v>0</v>
      </c>
      <c r="N540" s="330">
        <v>0</v>
      </c>
      <c r="O540" s="335">
        <v>0</v>
      </c>
      <c r="P540" s="330">
        <v>0</v>
      </c>
      <c r="Q540" s="330">
        <v>0</v>
      </c>
      <c r="R540" s="330">
        <v>0</v>
      </c>
      <c r="S540" s="330">
        <v>0</v>
      </c>
      <c r="T540" s="332">
        <v>0</v>
      </c>
      <c r="U540" s="330">
        <v>0</v>
      </c>
      <c r="V540" s="330">
        <v>0</v>
      </c>
      <c r="W540" s="330">
        <v>0</v>
      </c>
      <c r="X540" s="495">
        <v>0</v>
      </c>
      <c r="Y540" s="280">
        <v>0</v>
      </c>
      <c r="Z540" s="330">
        <v>0</v>
      </c>
      <c r="AA540" s="330">
        <v>0</v>
      </c>
      <c r="AB540" s="330">
        <v>0</v>
      </c>
      <c r="AC540" s="336">
        <v>0</v>
      </c>
      <c r="AD540" s="279">
        <v>0</v>
      </c>
      <c r="AE540" s="330">
        <v>0</v>
      </c>
      <c r="AF540" s="330">
        <v>0</v>
      </c>
      <c r="AG540" s="495"/>
      <c r="AH540" s="336">
        <f t="shared" si="108"/>
        <v>2463.67</v>
      </c>
      <c r="AI540" s="279">
        <v>0</v>
      </c>
      <c r="AJ540" s="330">
        <v>2362.66</v>
      </c>
      <c r="AK540" s="330">
        <v>101.01</v>
      </c>
      <c r="AL540" s="285"/>
    </row>
    <row r="541" spans="1:38" s="275" customFormat="1" ht="177.6" customHeight="1" outlineLevel="1" x14ac:dyDescent="0.25">
      <c r="A541" s="311" t="s">
        <v>1335</v>
      </c>
      <c r="B541" s="331" t="s">
        <v>1225</v>
      </c>
      <c r="C541" s="330">
        <f t="shared" si="106"/>
        <v>0</v>
      </c>
      <c r="D541" s="314">
        <f t="shared" si="105"/>
        <v>174.85</v>
      </c>
      <c r="E541" s="303">
        <v>0</v>
      </c>
      <c r="F541" s="307">
        <v>0</v>
      </c>
      <c r="G541" s="303">
        <v>0</v>
      </c>
      <c r="H541" s="303">
        <v>0</v>
      </c>
      <c r="I541" s="314">
        <v>0</v>
      </c>
      <c r="J541" s="335">
        <v>0</v>
      </c>
      <c r="K541" s="330">
        <v>0</v>
      </c>
      <c r="L541" s="330">
        <v>0</v>
      </c>
      <c r="M541" s="330">
        <v>0</v>
      </c>
      <c r="N541" s="330">
        <v>0</v>
      </c>
      <c r="O541" s="335">
        <v>0</v>
      </c>
      <c r="P541" s="330">
        <v>0</v>
      </c>
      <c r="Q541" s="330">
        <v>0</v>
      </c>
      <c r="R541" s="330">
        <v>0</v>
      </c>
      <c r="S541" s="330">
        <v>0</v>
      </c>
      <c r="T541" s="332">
        <v>0</v>
      </c>
      <c r="U541" s="330">
        <v>0</v>
      </c>
      <c r="V541" s="330">
        <v>0</v>
      </c>
      <c r="W541" s="330">
        <v>0</v>
      </c>
      <c r="X541" s="495">
        <v>0</v>
      </c>
      <c r="Y541" s="280">
        <v>0</v>
      </c>
      <c r="Z541" s="330">
        <v>0</v>
      </c>
      <c r="AA541" s="330">
        <v>0</v>
      </c>
      <c r="AB541" s="330">
        <v>0</v>
      </c>
      <c r="AC541" s="336">
        <v>0</v>
      </c>
      <c r="AD541" s="279">
        <v>0</v>
      </c>
      <c r="AE541" s="330">
        <v>0</v>
      </c>
      <c r="AF541" s="330">
        <v>0</v>
      </c>
      <c r="AG541" s="495"/>
      <c r="AH541" s="336">
        <f t="shared" si="108"/>
        <v>174.85</v>
      </c>
      <c r="AI541" s="279">
        <v>0</v>
      </c>
      <c r="AJ541" s="330">
        <v>167.68</v>
      </c>
      <c r="AK541" s="330">
        <v>7.17</v>
      </c>
      <c r="AL541" s="285"/>
    </row>
    <row r="542" spans="1:38" s="275" customFormat="1" ht="134.4" customHeight="1" outlineLevel="1" x14ac:dyDescent="0.25">
      <c r="A542" s="311" t="s">
        <v>1336</v>
      </c>
      <c r="B542" s="331" t="s">
        <v>1226</v>
      </c>
      <c r="C542" s="330">
        <f t="shared" si="106"/>
        <v>0</v>
      </c>
      <c r="D542" s="314">
        <f t="shared" si="105"/>
        <v>6847.1799999999994</v>
      </c>
      <c r="E542" s="303">
        <v>0</v>
      </c>
      <c r="F542" s="307">
        <v>0</v>
      </c>
      <c r="G542" s="303">
        <v>0</v>
      </c>
      <c r="H542" s="303">
        <v>0</v>
      </c>
      <c r="I542" s="314">
        <v>0</v>
      </c>
      <c r="J542" s="335">
        <v>0</v>
      </c>
      <c r="K542" s="330">
        <v>0</v>
      </c>
      <c r="L542" s="330">
        <v>0</v>
      </c>
      <c r="M542" s="330">
        <v>0</v>
      </c>
      <c r="N542" s="330">
        <v>0</v>
      </c>
      <c r="O542" s="335">
        <v>0</v>
      </c>
      <c r="P542" s="330">
        <v>0</v>
      </c>
      <c r="Q542" s="330">
        <v>0</v>
      </c>
      <c r="R542" s="330">
        <v>0</v>
      </c>
      <c r="S542" s="330">
        <v>0</v>
      </c>
      <c r="T542" s="332">
        <v>0</v>
      </c>
      <c r="U542" s="330">
        <v>0</v>
      </c>
      <c r="V542" s="330">
        <v>0</v>
      </c>
      <c r="W542" s="330">
        <v>0</v>
      </c>
      <c r="X542" s="495">
        <v>0</v>
      </c>
      <c r="Y542" s="280">
        <v>0</v>
      </c>
      <c r="Z542" s="330">
        <v>0</v>
      </c>
      <c r="AA542" s="330">
        <v>0</v>
      </c>
      <c r="AB542" s="330">
        <v>0</v>
      </c>
      <c r="AC542" s="336">
        <v>0</v>
      </c>
      <c r="AD542" s="279">
        <v>0</v>
      </c>
      <c r="AE542" s="330">
        <v>0</v>
      </c>
      <c r="AF542" s="330">
        <v>0</v>
      </c>
      <c r="AG542" s="495"/>
      <c r="AH542" s="336">
        <f>AI542+AJ542+AK542</f>
        <v>6847.1799999999994</v>
      </c>
      <c r="AI542" s="279">
        <v>0</v>
      </c>
      <c r="AJ542" s="330">
        <v>6566.44</v>
      </c>
      <c r="AK542" s="330">
        <v>280.74</v>
      </c>
      <c r="AL542" s="285"/>
    </row>
    <row r="543" spans="1:38" s="275" customFormat="1" ht="172.95" customHeight="1" outlineLevel="1" x14ac:dyDescent="0.25">
      <c r="A543" s="311" t="s">
        <v>1337</v>
      </c>
      <c r="B543" s="331" t="s">
        <v>1465</v>
      </c>
      <c r="C543" s="330">
        <f t="shared" si="106"/>
        <v>0</v>
      </c>
      <c r="D543" s="314">
        <f t="shared" si="105"/>
        <v>13806.3</v>
      </c>
      <c r="E543" s="303">
        <v>0</v>
      </c>
      <c r="F543" s="307">
        <v>0</v>
      </c>
      <c r="G543" s="303">
        <v>0</v>
      </c>
      <c r="H543" s="303">
        <v>0</v>
      </c>
      <c r="I543" s="314">
        <v>0</v>
      </c>
      <c r="J543" s="335">
        <v>0</v>
      </c>
      <c r="K543" s="330">
        <v>0</v>
      </c>
      <c r="L543" s="330">
        <v>0</v>
      </c>
      <c r="M543" s="330">
        <v>0</v>
      </c>
      <c r="N543" s="330">
        <v>0</v>
      </c>
      <c r="O543" s="335">
        <v>0</v>
      </c>
      <c r="P543" s="330">
        <v>0</v>
      </c>
      <c r="Q543" s="330">
        <v>0</v>
      </c>
      <c r="R543" s="330">
        <v>0</v>
      </c>
      <c r="S543" s="330">
        <v>0</v>
      </c>
      <c r="T543" s="332">
        <v>0</v>
      </c>
      <c r="U543" s="330">
        <v>0</v>
      </c>
      <c r="V543" s="330">
        <v>0</v>
      </c>
      <c r="W543" s="330">
        <v>0</v>
      </c>
      <c r="X543" s="495">
        <v>0</v>
      </c>
      <c r="Y543" s="280">
        <v>0</v>
      </c>
      <c r="Z543" s="330">
        <v>0</v>
      </c>
      <c r="AA543" s="330">
        <v>0</v>
      </c>
      <c r="AB543" s="330">
        <v>0</v>
      </c>
      <c r="AC543" s="336">
        <v>0</v>
      </c>
      <c r="AD543" s="279">
        <v>0</v>
      </c>
      <c r="AE543" s="330">
        <v>0</v>
      </c>
      <c r="AF543" s="330">
        <v>0</v>
      </c>
      <c r="AG543" s="495"/>
      <c r="AH543" s="336">
        <f>AI543+AJ543+AK543</f>
        <v>13806.3</v>
      </c>
      <c r="AI543" s="279">
        <v>0</v>
      </c>
      <c r="AJ543" s="330">
        <v>13240.24</v>
      </c>
      <c r="AK543" s="330">
        <v>566.05999999999995</v>
      </c>
      <c r="AL543" s="285"/>
    </row>
    <row r="544" spans="1:38" s="275" customFormat="1" ht="217.2" customHeight="1" outlineLevel="1" x14ac:dyDescent="0.25">
      <c r="A544" s="311" t="s">
        <v>1338</v>
      </c>
      <c r="B544" s="331" t="s">
        <v>1466</v>
      </c>
      <c r="C544" s="330">
        <f t="shared" si="106"/>
        <v>0</v>
      </c>
      <c r="D544" s="314">
        <f t="shared" si="105"/>
        <v>7667.69</v>
      </c>
      <c r="E544" s="303">
        <v>0</v>
      </c>
      <c r="F544" s="307">
        <v>0</v>
      </c>
      <c r="G544" s="303">
        <v>0</v>
      </c>
      <c r="H544" s="303">
        <v>0</v>
      </c>
      <c r="I544" s="314">
        <v>0</v>
      </c>
      <c r="J544" s="335">
        <v>0</v>
      </c>
      <c r="K544" s="330">
        <v>0</v>
      </c>
      <c r="L544" s="330">
        <v>0</v>
      </c>
      <c r="M544" s="330">
        <v>0</v>
      </c>
      <c r="N544" s="330">
        <v>0</v>
      </c>
      <c r="O544" s="335">
        <v>0</v>
      </c>
      <c r="P544" s="330">
        <v>0</v>
      </c>
      <c r="Q544" s="330">
        <v>0</v>
      </c>
      <c r="R544" s="330">
        <v>0</v>
      </c>
      <c r="S544" s="330">
        <v>0</v>
      </c>
      <c r="T544" s="332">
        <v>0</v>
      </c>
      <c r="U544" s="330">
        <v>0</v>
      </c>
      <c r="V544" s="330">
        <v>0</v>
      </c>
      <c r="W544" s="330">
        <v>0</v>
      </c>
      <c r="X544" s="495">
        <v>0</v>
      </c>
      <c r="Y544" s="280">
        <v>0</v>
      </c>
      <c r="Z544" s="330">
        <v>0</v>
      </c>
      <c r="AA544" s="330">
        <v>0</v>
      </c>
      <c r="AB544" s="330">
        <v>0</v>
      </c>
      <c r="AC544" s="336">
        <v>0</v>
      </c>
      <c r="AD544" s="279">
        <v>0</v>
      </c>
      <c r="AE544" s="330">
        <v>0</v>
      </c>
      <c r="AF544" s="330">
        <v>0</v>
      </c>
      <c r="AG544" s="495"/>
      <c r="AH544" s="336">
        <f t="shared" ref="AH544:AH572" si="109">AI544+AJ544+AK544</f>
        <v>7667.69</v>
      </c>
      <c r="AI544" s="279">
        <v>0</v>
      </c>
      <c r="AJ544" s="330">
        <v>7353.32</v>
      </c>
      <c r="AK544" s="330">
        <v>314.37</v>
      </c>
      <c r="AL544" s="285"/>
    </row>
    <row r="545" spans="1:38" s="275" customFormat="1" ht="239.4" customHeight="1" outlineLevel="1" x14ac:dyDescent="0.25">
      <c r="A545" s="311" t="s">
        <v>1339</v>
      </c>
      <c r="B545" s="331" t="s">
        <v>1467</v>
      </c>
      <c r="C545" s="330">
        <f t="shared" si="106"/>
        <v>0</v>
      </c>
      <c r="D545" s="314">
        <f>F545+J545+O545+T545+Y545+AC545+AH545</f>
        <v>1524.26</v>
      </c>
      <c r="E545" s="303">
        <v>0</v>
      </c>
      <c r="F545" s="307">
        <v>0</v>
      </c>
      <c r="G545" s="303">
        <v>0</v>
      </c>
      <c r="H545" s="303">
        <v>0</v>
      </c>
      <c r="I545" s="314">
        <v>0</v>
      </c>
      <c r="J545" s="335">
        <v>0</v>
      </c>
      <c r="K545" s="330">
        <v>0</v>
      </c>
      <c r="L545" s="330">
        <v>0</v>
      </c>
      <c r="M545" s="330">
        <v>0</v>
      </c>
      <c r="N545" s="330">
        <v>0</v>
      </c>
      <c r="O545" s="335">
        <v>0</v>
      </c>
      <c r="P545" s="330">
        <v>0</v>
      </c>
      <c r="Q545" s="330">
        <v>0</v>
      </c>
      <c r="R545" s="330">
        <v>0</v>
      </c>
      <c r="S545" s="330">
        <v>0</v>
      </c>
      <c r="T545" s="332">
        <v>0</v>
      </c>
      <c r="U545" s="330">
        <v>0</v>
      </c>
      <c r="V545" s="330">
        <v>0</v>
      </c>
      <c r="W545" s="330">
        <v>0</v>
      </c>
      <c r="X545" s="495">
        <v>0</v>
      </c>
      <c r="Y545" s="280">
        <v>0</v>
      </c>
      <c r="Z545" s="330">
        <v>0</v>
      </c>
      <c r="AA545" s="330">
        <v>0</v>
      </c>
      <c r="AB545" s="330">
        <v>0</v>
      </c>
      <c r="AC545" s="336">
        <v>0</v>
      </c>
      <c r="AD545" s="279">
        <v>0</v>
      </c>
      <c r="AE545" s="330">
        <v>0</v>
      </c>
      <c r="AF545" s="330">
        <v>0</v>
      </c>
      <c r="AG545" s="495"/>
      <c r="AH545" s="336">
        <f t="shared" si="109"/>
        <v>1524.26</v>
      </c>
      <c r="AI545" s="279">
        <v>0</v>
      </c>
      <c r="AJ545" s="330">
        <v>1461.77</v>
      </c>
      <c r="AK545" s="330">
        <v>62.49</v>
      </c>
      <c r="AL545" s="285"/>
    </row>
    <row r="546" spans="1:38" s="275" customFormat="1" ht="106.2" customHeight="1" outlineLevel="1" x14ac:dyDescent="0.25">
      <c r="A546" s="311" t="s">
        <v>1340</v>
      </c>
      <c r="B546" s="331" t="s">
        <v>1227</v>
      </c>
      <c r="C546" s="330">
        <f t="shared" si="106"/>
        <v>0</v>
      </c>
      <c r="D546" s="314">
        <f t="shared" si="105"/>
        <v>1209.3799999999999</v>
      </c>
      <c r="E546" s="303">
        <v>0</v>
      </c>
      <c r="F546" s="307">
        <v>0</v>
      </c>
      <c r="G546" s="303">
        <v>0</v>
      </c>
      <c r="H546" s="303">
        <v>0</v>
      </c>
      <c r="I546" s="314">
        <v>0</v>
      </c>
      <c r="J546" s="335">
        <v>0</v>
      </c>
      <c r="K546" s="330">
        <v>0</v>
      </c>
      <c r="L546" s="330">
        <v>0</v>
      </c>
      <c r="M546" s="330">
        <v>0</v>
      </c>
      <c r="N546" s="330">
        <v>0</v>
      </c>
      <c r="O546" s="335">
        <v>0</v>
      </c>
      <c r="P546" s="330">
        <v>0</v>
      </c>
      <c r="Q546" s="330">
        <v>0</v>
      </c>
      <c r="R546" s="330">
        <v>0</v>
      </c>
      <c r="S546" s="330">
        <v>0</v>
      </c>
      <c r="T546" s="332">
        <v>0</v>
      </c>
      <c r="U546" s="330">
        <v>0</v>
      </c>
      <c r="V546" s="330">
        <v>0</v>
      </c>
      <c r="W546" s="330">
        <v>0</v>
      </c>
      <c r="X546" s="495">
        <v>0</v>
      </c>
      <c r="Y546" s="280">
        <v>0</v>
      </c>
      <c r="Z546" s="330">
        <v>0</v>
      </c>
      <c r="AA546" s="330">
        <v>0</v>
      </c>
      <c r="AB546" s="330">
        <v>0</v>
      </c>
      <c r="AC546" s="336">
        <v>0</v>
      </c>
      <c r="AD546" s="279">
        <v>0</v>
      </c>
      <c r="AE546" s="330">
        <v>0</v>
      </c>
      <c r="AF546" s="330">
        <v>0</v>
      </c>
      <c r="AG546" s="495"/>
      <c r="AH546" s="336">
        <f t="shared" si="109"/>
        <v>1209.3799999999999</v>
      </c>
      <c r="AI546" s="279">
        <v>0</v>
      </c>
      <c r="AJ546" s="330">
        <v>1159.79</v>
      </c>
      <c r="AK546" s="330">
        <v>49.59</v>
      </c>
      <c r="AL546" s="285"/>
    </row>
    <row r="547" spans="1:38" s="275" customFormat="1" ht="150.6" customHeight="1" outlineLevel="1" x14ac:dyDescent="0.25">
      <c r="A547" s="311" t="s">
        <v>1341</v>
      </c>
      <c r="B547" s="331" t="s">
        <v>1228</v>
      </c>
      <c r="C547" s="330">
        <f t="shared" si="106"/>
        <v>0</v>
      </c>
      <c r="D547" s="314">
        <f t="shared" si="105"/>
        <v>224.32</v>
      </c>
      <c r="E547" s="303">
        <v>0</v>
      </c>
      <c r="F547" s="307">
        <v>0</v>
      </c>
      <c r="G547" s="303">
        <v>0</v>
      </c>
      <c r="H547" s="303">
        <v>0</v>
      </c>
      <c r="I547" s="314">
        <v>0</v>
      </c>
      <c r="J547" s="335">
        <v>0</v>
      </c>
      <c r="K547" s="330">
        <v>0</v>
      </c>
      <c r="L547" s="330">
        <v>0</v>
      </c>
      <c r="M547" s="330">
        <v>0</v>
      </c>
      <c r="N547" s="330">
        <v>0</v>
      </c>
      <c r="O547" s="335">
        <v>0</v>
      </c>
      <c r="P547" s="330">
        <v>0</v>
      </c>
      <c r="Q547" s="330">
        <v>0</v>
      </c>
      <c r="R547" s="330">
        <v>0</v>
      </c>
      <c r="S547" s="330">
        <v>0</v>
      </c>
      <c r="T547" s="332">
        <v>0</v>
      </c>
      <c r="U547" s="330">
        <v>0</v>
      </c>
      <c r="V547" s="330">
        <v>0</v>
      </c>
      <c r="W547" s="330">
        <v>0</v>
      </c>
      <c r="X547" s="495">
        <v>0</v>
      </c>
      <c r="Y547" s="280">
        <v>0</v>
      </c>
      <c r="Z547" s="330">
        <v>0</v>
      </c>
      <c r="AA547" s="330">
        <v>0</v>
      </c>
      <c r="AB547" s="330">
        <v>0</v>
      </c>
      <c r="AC547" s="336">
        <v>0</v>
      </c>
      <c r="AD547" s="279">
        <v>0</v>
      </c>
      <c r="AE547" s="330">
        <v>0</v>
      </c>
      <c r="AF547" s="330">
        <v>0</v>
      </c>
      <c r="AG547" s="495"/>
      <c r="AH547" s="336">
        <f t="shared" si="109"/>
        <v>224.32</v>
      </c>
      <c r="AI547" s="279">
        <v>0</v>
      </c>
      <c r="AJ547" s="330">
        <v>215.12</v>
      </c>
      <c r="AK547" s="330">
        <v>9.1999999999999993</v>
      </c>
      <c r="AL547" s="285"/>
    </row>
    <row r="548" spans="1:38" s="275" customFormat="1" ht="124.95" customHeight="1" outlineLevel="1" x14ac:dyDescent="0.25">
      <c r="A548" s="311" t="s">
        <v>1342</v>
      </c>
      <c r="B548" s="331" t="s">
        <v>1229</v>
      </c>
      <c r="C548" s="330">
        <f t="shared" si="106"/>
        <v>0</v>
      </c>
      <c r="D548" s="314">
        <f t="shared" si="105"/>
        <v>1261.9100000000001</v>
      </c>
      <c r="E548" s="303">
        <v>0</v>
      </c>
      <c r="F548" s="307">
        <v>0</v>
      </c>
      <c r="G548" s="303">
        <v>0</v>
      </c>
      <c r="H548" s="303">
        <v>0</v>
      </c>
      <c r="I548" s="314">
        <v>0</v>
      </c>
      <c r="J548" s="335">
        <v>0</v>
      </c>
      <c r="K548" s="330">
        <v>0</v>
      </c>
      <c r="L548" s="330">
        <v>0</v>
      </c>
      <c r="M548" s="330">
        <v>0</v>
      </c>
      <c r="N548" s="330">
        <v>0</v>
      </c>
      <c r="O548" s="335">
        <v>0</v>
      </c>
      <c r="P548" s="330">
        <v>0</v>
      </c>
      <c r="Q548" s="330">
        <v>0</v>
      </c>
      <c r="R548" s="330">
        <v>0</v>
      </c>
      <c r="S548" s="330">
        <v>0</v>
      </c>
      <c r="T548" s="332">
        <v>0</v>
      </c>
      <c r="U548" s="330">
        <v>0</v>
      </c>
      <c r="V548" s="330">
        <v>0</v>
      </c>
      <c r="W548" s="330">
        <v>0</v>
      </c>
      <c r="X548" s="495">
        <v>0</v>
      </c>
      <c r="Y548" s="280">
        <v>0</v>
      </c>
      <c r="Z548" s="330">
        <v>0</v>
      </c>
      <c r="AA548" s="330">
        <v>0</v>
      </c>
      <c r="AB548" s="330">
        <v>0</v>
      </c>
      <c r="AC548" s="336">
        <v>0</v>
      </c>
      <c r="AD548" s="279">
        <v>0</v>
      </c>
      <c r="AE548" s="330">
        <v>0</v>
      </c>
      <c r="AF548" s="330">
        <v>0</v>
      </c>
      <c r="AG548" s="495"/>
      <c r="AH548" s="336">
        <f t="shared" si="109"/>
        <v>1261.9100000000001</v>
      </c>
      <c r="AI548" s="279">
        <v>0</v>
      </c>
      <c r="AJ548" s="330">
        <v>1210.17</v>
      </c>
      <c r="AK548" s="330">
        <v>51.74</v>
      </c>
      <c r="AL548" s="285"/>
    </row>
    <row r="549" spans="1:38" s="275" customFormat="1" ht="96" customHeight="1" outlineLevel="1" x14ac:dyDescent="0.25">
      <c r="A549" s="311" t="s">
        <v>1343</v>
      </c>
      <c r="B549" s="331" t="s">
        <v>1230</v>
      </c>
      <c r="C549" s="330">
        <f t="shared" si="106"/>
        <v>0</v>
      </c>
      <c r="D549" s="314">
        <f t="shared" si="105"/>
        <v>213.60999999999999</v>
      </c>
      <c r="E549" s="303">
        <v>0</v>
      </c>
      <c r="F549" s="307">
        <v>0</v>
      </c>
      <c r="G549" s="303">
        <v>0</v>
      </c>
      <c r="H549" s="303">
        <v>0</v>
      </c>
      <c r="I549" s="314">
        <v>0</v>
      </c>
      <c r="J549" s="335">
        <v>0</v>
      </c>
      <c r="K549" s="330">
        <v>0</v>
      </c>
      <c r="L549" s="330">
        <v>0</v>
      </c>
      <c r="M549" s="330">
        <v>0</v>
      </c>
      <c r="N549" s="330">
        <v>0</v>
      </c>
      <c r="O549" s="335">
        <v>0</v>
      </c>
      <c r="P549" s="330">
        <v>0</v>
      </c>
      <c r="Q549" s="330">
        <v>0</v>
      </c>
      <c r="R549" s="330">
        <v>0</v>
      </c>
      <c r="S549" s="330">
        <v>0</v>
      </c>
      <c r="T549" s="332">
        <v>0</v>
      </c>
      <c r="U549" s="330">
        <v>0</v>
      </c>
      <c r="V549" s="330">
        <v>0</v>
      </c>
      <c r="W549" s="330">
        <v>0</v>
      </c>
      <c r="X549" s="495">
        <v>0</v>
      </c>
      <c r="Y549" s="280">
        <v>0</v>
      </c>
      <c r="Z549" s="330">
        <v>0</v>
      </c>
      <c r="AA549" s="330">
        <v>0</v>
      </c>
      <c r="AB549" s="330">
        <v>0</v>
      </c>
      <c r="AC549" s="336">
        <v>0</v>
      </c>
      <c r="AD549" s="279">
        <v>0</v>
      </c>
      <c r="AE549" s="330">
        <v>0</v>
      </c>
      <c r="AF549" s="330">
        <v>0</v>
      </c>
      <c r="AG549" s="495"/>
      <c r="AH549" s="336">
        <f t="shared" si="109"/>
        <v>213.60999999999999</v>
      </c>
      <c r="AI549" s="279">
        <v>0</v>
      </c>
      <c r="AJ549" s="330">
        <v>204.85</v>
      </c>
      <c r="AK549" s="330">
        <v>8.76</v>
      </c>
      <c r="AL549" s="285"/>
    </row>
    <row r="550" spans="1:38" s="275" customFormat="1" ht="118.95" customHeight="1" outlineLevel="1" x14ac:dyDescent="0.25">
      <c r="A550" s="311" t="s">
        <v>1344</v>
      </c>
      <c r="B550" s="331" t="s">
        <v>1345</v>
      </c>
      <c r="C550" s="330">
        <f t="shared" si="106"/>
        <v>0</v>
      </c>
      <c r="D550" s="314">
        <f t="shared" si="105"/>
        <v>321.86</v>
      </c>
      <c r="E550" s="303">
        <v>0</v>
      </c>
      <c r="F550" s="307">
        <v>0</v>
      </c>
      <c r="G550" s="303">
        <v>0</v>
      </c>
      <c r="H550" s="303">
        <v>0</v>
      </c>
      <c r="I550" s="314">
        <v>0</v>
      </c>
      <c r="J550" s="335">
        <v>0</v>
      </c>
      <c r="K550" s="330">
        <v>0</v>
      </c>
      <c r="L550" s="330">
        <v>0</v>
      </c>
      <c r="M550" s="330">
        <v>0</v>
      </c>
      <c r="N550" s="330">
        <v>0</v>
      </c>
      <c r="O550" s="335">
        <v>0</v>
      </c>
      <c r="P550" s="330">
        <v>0</v>
      </c>
      <c r="Q550" s="330">
        <v>0</v>
      </c>
      <c r="R550" s="330">
        <v>0</v>
      </c>
      <c r="S550" s="330">
        <v>0</v>
      </c>
      <c r="T550" s="332">
        <v>0</v>
      </c>
      <c r="U550" s="330">
        <v>0</v>
      </c>
      <c r="V550" s="330">
        <v>0</v>
      </c>
      <c r="W550" s="330">
        <v>0</v>
      </c>
      <c r="X550" s="495">
        <v>0</v>
      </c>
      <c r="Y550" s="280">
        <v>0</v>
      </c>
      <c r="Z550" s="330">
        <v>0</v>
      </c>
      <c r="AA550" s="330">
        <v>0</v>
      </c>
      <c r="AB550" s="330">
        <v>0</v>
      </c>
      <c r="AC550" s="336">
        <v>0</v>
      </c>
      <c r="AD550" s="279">
        <v>0</v>
      </c>
      <c r="AE550" s="330">
        <v>0</v>
      </c>
      <c r="AF550" s="330">
        <v>0</v>
      </c>
      <c r="AG550" s="495"/>
      <c r="AH550" s="336">
        <f t="shared" si="109"/>
        <v>321.86</v>
      </c>
      <c r="AI550" s="279">
        <v>0</v>
      </c>
      <c r="AJ550" s="330">
        <v>308.67</v>
      </c>
      <c r="AK550" s="330">
        <v>13.19</v>
      </c>
      <c r="AL550" s="285"/>
    </row>
    <row r="551" spans="1:38" s="275" customFormat="1" ht="124.95" customHeight="1" outlineLevel="1" x14ac:dyDescent="0.25">
      <c r="A551" s="311" t="s">
        <v>1346</v>
      </c>
      <c r="B551" s="331" t="s">
        <v>1231</v>
      </c>
      <c r="C551" s="330">
        <f t="shared" si="106"/>
        <v>0</v>
      </c>
      <c r="D551" s="314">
        <f t="shared" si="105"/>
        <v>426.15999999999997</v>
      </c>
      <c r="E551" s="303">
        <v>0</v>
      </c>
      <c r="F551" s="307">
        <v>0</v>
      </c>
      <c r="G551" s="303">
        <v>0</v>
      </c>
      <c r="H551" s="303">
        <v>0</v>
      </c>
      <c r="I551" s="314">
        <v>0</v>
      </c>
      <c r="J551" s="335">
        <v>0</v>
      </c>
      <c r="K551" s="330">
        <v>0</v>
      </c>
      <c r="L551" s="330">
        <v>0</v>
      </c>
      <c r="M551" s="330">
        <v>0</v>
      </c>
      <c r="N551" s="330">
        <v>0</v>
      </c>
      <c r="O551" s="335">
        <v>0</v>
      </c>
      <c r="P551" s="330">
        <v>0</v>
      </c>
      <c r="Q551" s="330">
        <v>0</v>
      </c>
      <c r="R551" s="330">
        <v>0</v>
      </c>
      <c r="S551" s="330">
        <v>0</v>
      </c>
      <c r="T551" s="332">
        <v>0</v>
      </c>
      <c r="U551" s="330">
        <v>0</v>
      </c>
      <c r="V551" s="330">
        <v>0</v>
      </c>
      <c r="W551" s="330">
        <v>0</v>
      </c>
      <c r="X551" s="495">
        <v>0</v>
      </c>
      <c r="Y551" s="280">
        <v>0</v>
      </c>
      <c r="Z551" s="330">
        <v>0</v>
      </c>
      <c r="AA551" s="330">
        <v>0</v>
      </c>
      <c r="AB551" s="330">
        <v>0</v>
      </c>
      <c r="AC551" s="336">
        <v>0</v>
      </c>
      <c r="AD551" s="279">
        <v>0</v>
      </c>
      <c r="AE551" s="330">
        <v>0</v>
      </c>
      <c r="AF551" s="330">
        <v>0</v>
      </c>
      <c r="AG551" s="495"/>
      <c r="AH551" s="336">
        <f t="shared" si="109"/>
        <v>426.15999999999997</v>
      </c>
      <c r="AI551" s="279">
        <v>0</v>
      </c>
      <c r="AJ551" s="330">
        <v>408.69</v>
      </c>
      <c r="AK551" s="330">
        <v>17.47</v>
      </c>
      <c r="AL551" s="285"/>
    </row>
    <row r="552" spans="1:38" s="275" customFormat="1" ht="114" customHeight="1" outlineLevel="1" x14ac:dyDescent="0.25">
      <c r="A552" s="311" t="s">
        <v>1347</v>
      </c>
      <c r="B552" s="331" t="s">
        <v>1232</v>
      </c>
      <c r="C552" s="330">
        <f t="shared" si="106"/>
        <v>0</v>
      </c>
      <c r="D552" s="314">
        <f t="shared" si="105"/>
        <v>1670.3700000000001</v>
      </c>
      <c r="E552" s="303">
        <v>0</v>
      </c>
      <c r="F552" s="307">
        <v>0</v>
      </c>
      <c r="G552" s="303">
        <v>0</v>
      </c>
      <c r="H552" s="303">
        <v>0</v>
      </c>
      <c r="I552" s="314">
        <v>0</v>
      </c>
      <c r="J552" s="335">
        <v>0</v>
      </c>
      <c r="K552" s="330">
        <v>0</v>
      </c>
      <c r="L552" s="330">
        <v>0</v>
      </c>
      <c r="M552" s="330">
        <v>0</v>
      </c>
      <c r="N552" s="330">
        <v>0</v>
      </c>
      <c r="O552" s="335">
        <v>0</v>
      </c>
      <c r="P552" s="330">
        <v>0</v>
      </c>
      <c r="Q552" s="330">
        <v>0</v>
      </c>
      <c r="R552" s="330">
        <v>0</v>
      </c>
      <c r="S552" s="330">
        <v>0</v>
      </c>
      <c r="T552" s="332">
        <v>0</v>
      </c>
      <c r="U552" s="330">
        <v>0</v>
      </c>
      <c r="V552" s="330">
        <v>0</v>
      </c>
      <c r="W552" s="330">
        <v>0</v>
      </c>
      <c r="X552" s="495">
        <v>0</v>
      </c>
      <c r="Y552" s="280">
        <v>0</v>
      </c>
      <c r="Z552" s="330">
        <v>0</v>
      </c>
      <c r="AA552" s="330">
        <v>0</v>
      </c>
      <c r="AB552" s="330">
        <v>0</v>
      </c>
      <c r="AC552" s="336">
        <v>0</v>
      </c>
      <c r="AD552" s="279">
        <v>0</v>
      </c>
      <c r="AE552" s="330">
        <v>0</v>
      </c>
      <c r="AF552" s="330">
        <v>0</v>
      </c>
      <c r="AG552" s="495"/>
      <c r="AH552" s="336">
        <f t="shared" si="109"/>
        <v>1670.3700000000001</v>
      </c>
      <c r="AI552" s="279">
        <v>0</v>
      </c>
      <c r="AJ552" s="330">
        <v>1601.89</v>
      </c>
      <c r="AK552" s="330">
        <v>68.48</v>
      </c>
      <c r="AL552" s="285"/>
    </row>
    <row r="553" spans="1:38" s="275" customFormat="1" ht="128.4" customHeight="1" outlineLevel="1" x14ac:dyDescent="0.25">
      <c r="A553" s="311" t="s">
        <v>1348</v>
      </c>
      <c r="B553" s="331" t="s">
        <v>1233</v>
      </c>
      <c r="C553" s="330">
        <f t="shared" si="106"/>
        <v>0</v>
      </c>
      <c r="D553" s="314">
        <f t="shared" si="105"/>
        <v>518.84</v>
      </c>
      <c r="E553" s="303">
        <v>0</v>
      </c>
      <c r="F553" s="307">
        <v>0</v>
      </c>
      <c r="G553" s="303">
        <v>0</v>
      </c>
      <c r="H553" s="303">
        <v>0</v>
      </c>
      <c r="I553" s="314">
        <v>0</v>
      </c>
      <c r="J553" s="335">
        <v>0</v>
      </c>
      <c r="K553" s="330">
        <v>0</v>
      </c>
      <c r="L553" s="330">
        <v>0</v>
      </c>
      <c r="M553" s="330">
        <v>0</v>
      </c>
      <c r="N553" s="330">
        <v>0</v>
      </c>
      <c r="O553" s="335">
        <v>0</v>
      </c>
      <c r="P553" s="330">
        <v>0</v>
      </c>
      <c r="Q553" s="330">
        <v>0</v>
      </c>
      <c r="R553" s="330">
        <v>0</v>
      </c>
      <c r="S553" s="330">
        <v>0</v>
      </c>
      <c r="T553" s="332">
        <v>0</v>
      </c>
      <c r="U553" s="330">
        <v>0</v>
      </c>
      <c r="V553" s="330">
        <v>0</v>
      </c>
      <c r="W553" s="330">
        <v>0</v>
      </c>
      <c r="X553" s="495">
        <v>0</v>
      </c>
      <c r="Y553" s="280">
        <v>0</v>
      </c>
      <c r="Z553" s="330">
        <v>0</v>
      </c>
      <c r="AA553" s="330">
        <v>0</v>
      </c>
      <c r="AB553" s="330">
        <v>0</v>
      </c>
      <c r="AC553" s="336">
        <v>0</v>
      </c>
      <c r="AD553" s="279">
        <v>0</v>
      </c>
      <c r="AE553" s="330">
        <v>0</v>
      </c>
      <c r="AF553" s="330">
        <v>0</v>
      </c>
      <c r="AG553" s="495"/>
      <c r="AH553" s="336">
        <f t="shared" si="109"/>
        <v>518.84</v>
      </c>
      <c r="AI553" s="279">
        <v>0</v>
      </c>
      <c r="AJ553" s="330">
        <v>497.57</v>
      </c>
      <c r="AK553" s="330">
        <v>21.27</v>
      </c>
      <c r="AL553" s="285"/>
    </row>
    <row r="554" spans="1:38" s="275" customFormat="1" ht="118.2" customHeight="1" outlineLevel="1" x14ac:dyDescent="0.25">
      <c r="A554" s="311" t="s">
        <v>1349</v>
      </c>
      <c r="B554" s="331" t="s">
        <v>1234</v>
      </c>
      <c r="C554" s="330">
        <f t="shared" si="106"/>
        <v>0</v>
      </c>
      <c r="D554" s="314">
        <f t="shared" si="105"/>
        <v>182.02</v>
      </c>
      <c r="E554" s="303">
        <v>0</v>
      </c>
      <c r="F554" s="307">
        <v>0</v>
      </c>
      <c r="G554" s="303">
        <v>0</v>
      </c>
      <c r="H554" s="303">
        <v>0</v>
      </c>
      <c r="I554" s="314">
        <v>0</v>
      </c>
      <c r="J554" s="335">
        <v>0</v>
      </c>
      <c r="K554" s="330">
        <v>0</v>
      </c>
      <c r="L554" s="330">
        <v>0</v>
      </c>
      <c r="M554" s="330">
        <v>0</v>
      </c>
      <c r="N554" s="330">
        <v>0</v>
      </c>
      <c r="O554" s="335">
        <v>0</v>
      </c>
      <c r="P554" s="330">
        <v>0</v>
      </c>
      <c r="Q554" s="330">
        <v>0</v>
      </c>
      <c r="R554" s="330">
        <v>0</v>
      </c>
      <c r="S554" s="330">
        <v>0</v>
      </c>
      <c r="T554" s="332">
        <v>0</v>
      </c>
      <c r="U554" s="330">
        <v>0</v>
      </c>
      <c r="V554" s="330">
        <v>0</v>
      </c>
      <c r="W554" s="330">
        <v>0</v>
      </c>
      <c r="X554" s="495">
        <v>0</v>
      </c>
      <c r="Y554" s="280">
        <v>0</v>
      </c>
      <c r="Z554" s="330">
        <v>0</v>
      </c>
      <c r="AA554" s="330">
        <v>0</v>
      </c>
      <c r="AB554" s="330">
        <v>0</v>
      </c>
      <c r="AC554" s="336">
        <v>0</v>
      </c>
      <c r="AD554" s="279">
        <v>0</v>
      </c>
      <c r="AE554" s="330">
        <v>0</v>
      </c>
      <c r="AF554" s="330">
        <v>0</v>
      </c>
      <c r="AG554" s="495"/>
      <c r="AH554" s="336">
        <f t="shared" si="109"/>
        <v>182.02</v>
      </c>
      <c r="AI554" s="279">
        <v>0</v>
      </c>
      <c r="AJ554" s="330">
        <v>174.56</v>
      </c>
      <c r="AK554" s="330">
        <v>7.46</v>
      </c>
      <c r="AL554" s="285"/>
    </row>
    <row r="555" spans="1:38" s="275" customFormat="1" ht="117.6" customHeight="1" outlineLevel="1" x14ac:dyDescent="0.25">
      <c r="A555" s="311" t="s">
        <v>1350</v>
      </c>
      <c r="B555" s="331" t="s">
        <v>1235</v>
      </c>
      <c r="C555" s="330">
        <f t="shared" si="106"/>
        <v>0</v>
      </c>
      <c r="D555" s="314">
        <f t="shared" si="105"/>
        <v>184.98000000000002</v>
      </c>
      <c r="E555" s="303">
        <v>0</v>
      </c>
      <c r="F555" s="307">
        <v>0</v>
      </c>
      <c r="G555" s="303">
        <v>0</v>
      </c>
      <c r="H555" s="303">
        <v>0</v>
      </c>
      <c r="I555" s="314">
        <v>0</v>
      </c>
      <c r="J555" s="335">
        <v>0</v>
      </c>
      <c r="K555" s="330">
        <v>0</v>
      </c>
      <c r="L555" s="330">
        <v>0</v>
      </c>
      <c r="M555" s="330">
        <v>0</v>
      </c>
      <c r="N555" s="330">
        <v>0</v>
      </c>
      <c r="O555" s="335">
        <v>0</v>
      </c>
      <c r="P555" s="330">
        <v>0</v>
      </c>
      <c r="Q555" s="330">
        <v>0</v>
      </c>
      <c r="R555" s="330">
        <v>0</v>
      </c>
      <c r="S555" s="330">
        <v>0</v>
      </c>
      <c r="T555" s="332">
        <v>0</v>
      </c>
      <c r="U555" s="330">
        <v>0</v>
      </c>
      <c r="V555" s="330">
        <v>0</v>
      </c>
      <c r="W555" s="330">
        <v>0</v>
      </c>
      <c r="X555" s="495">
        <v>0</v>
      </c>
      <c r="Y555" s="280">
        <v>0</v>
      </c>
      <c r="Z555" s="330">
        <v>0</v>
      </c>
      <c r="AA555" s="330">
        <v>0</v>
      </c>
      <c r="AB555" s="330">
        <v>0</v>
      </c>
      <c r="AC555" s="336">
        <v>0</v>
      </c>
      <c r="AD555" s="279">
        <v>0</v>
      </c>
      <c r="AE555" s="330">
        <v>0</v>
      </c>
      <c r="AF555" s="330">
        <v>0</v>
      </c>
      <c r="AG555" s="495"/>
      <c r="AH555" s="336">
        <f t="shared" si="109"/>
        <v>184.98000000000002</v>
      </c>
      <c r="AI555" s="279">
        <v>0</v>
      </c>
      <c r="AJ555" s="330">
        <v>177.4</v>
      </c>
      <c r="AK555" s="330">
        <v>7.58</v>
      </c>
      <c r="AL555" s="285"/>
    </row>
    <row r="556" spans="1:38" s="275" customFormat="1" ht="118.95" customHeight="1" outlineLevel="1" x14ac:dyDescent="0.25">
      <c r="A556" s="311" t="s">
        <v>1351</v>
      </c>
      <c r="B556" s="331" t="s">
        <v>1236</v>
      </c>
      <c r="C556" s="330">
        <f t="shared" si="106"/>
        <v>0</v>
      </c>
      <c r="D556" s="314">
        <f t="shared" si="105"/>
        <v>182</v>
      </c>
      <c r="E556" s="303">
        <v>0</v>
      </c>
      <c r="F556" s="307">
        <v>0</v>
      </c>
      <c r="G556" s="303">
        <v>0</v>
      </c>
      <c r="H556" s="303">
        <v>0</v>
      </c>
      <c r="I556" s="314">
        <v>0</v>
      </c>
      <c r="J556" s="335">
        <v>0</v>
      </c>
      <c r="K556" s="330">
        <v>0</v>
      </c>
      <c r="L556" s="330">
        <v>0</v>
      </c>
      <c r="M556" s="330">
        <v>0</v>
      </c>
      <c r="N556" s="330">
        <v>0</v>
      </c>
      <c r="O556" s="335">
        <v>0</v>
      </c>
      <c r="P556" s="330">
        <v>0</v>
      </c>
      <c r="Q556" s="330">
        <v>0</v>
      </c>
      <c r="R556" s="330">
        <v>0</v>
      </c>
      <c r="S556" s="330">
        <v>0</v>
      </c>
      <c r="T556" s="332">
        <v>0</v>
      </c>
      <c r="U556" s="330">
        <v>0</v>
      </c>
      <c r="V556" s="330">
        <v>0</v>
      </c>
      <c r="W556" s="330">
        <v>0</v>
      </c>
      <c r="X556" s="495">
        <v>0</v>
      </c>
      <c r="Y556" s="280">
        <v>0</v>
      </c>
      <c r="Z556" s="330">
        <v>0</v>
      </c>
      <c r="AA556" s="330">
        <v>0</v>
      </c>
      <c r="AB556" s="330">
        <v>0</v>
      </c>
      <c r="AC556" s="336">
        <v>0</v>
      </c>
      <c r="AD556" s="279">
        <v>0</v>
      </c>
      <c r="AE556" s="330">
        <v>0</v>
      </c>
      <c r="AF556" s="330">
        <v>0</v>
      </c>
      <c r="AG556" s="495"/>
      <c r="AH556" s="336">
        <f t="shared" si="109"/>
        <v>182</v>
      </c>
      <c r="AI556" s="279">
        <v>0</v>
      </c>
      <c r="AJ556" s="330">
        <v>174.54</v>
      </c>
      <c r="AK556" s="330">
        <v>7.46</v>
      </c>
      <c r="AL556" s="285"/>
    </row>
    <row r="557" spans="1:38" s="275" customFormat="1" ht="136.19999999999999" customHeight="1" outlineLevel="1" x14ac:dyDescent="0.25">
      <c r="A557" s="311" t="s">
        <v>1352</v>
      </c>
      <c r="B557" s="331" t="s">
        <v>1237</v>
      </c>
      <c r="C557" s="330">
        <f t="shared" si="106"/>
        <v>0</v>
      </c>
      <c r="D557" s="314">
        <f t="shared" si="105"/>
        <v>224.35999999999999</v>
      </c>
      <c r="E557" s="303">
        <v>0</v>
      </c>
      <c r="F557" s="307">
        <v>0</v>
      </c>
      <c r="G557" s="303">
        <v>0</v>
      </c>
      <c r="H557" s="303">
        <v>0</v>
      </c>
      <c r="I557" s="314">
        <v>0</v>
      </c>
      <c r="J557" s="335">
        <v>0</v>
      </c>
      <c r="K557" s="330">
        <v>0</v>
      </c>
      <c r="L557" s="330">
        <v>0</v>
      </c>
      <c r="M557" s="330">
        <v>0</v>
      </c>
      <c r="N557" s="330">
        <v>0</v>
      </c>
      <c r="O557" s="335">
        <v>0</v>
      </c>
      <c r="P557" s="330">
        <v>0</v>
      </c>
      <c r="Q557" s="330">
        <v>0</v>
      </c>
      <c r="R557" s="330">
        <v>0</v>
      </c>
      <c r="S557" s="330">
        <v>0</v>
      </c>
      <c r="T557" s="332">
        <v>0</v>
      </c>
      <c r="U557" s="330">
        <v>0</v>
      </c>
      <c r="V557" s="330">
        <v>0</v>
      </c>
      <c r="W557" s="330">
        <v>0</v>
      </c>
      <c r="X557" s="495">
        <v>0</v>
      </c>
      <c r="Y557" s="280">
        <v>0</v>
      </c>
      <c r="Z557" s="330">
        <v>0</v>
      </c>
      <c r="AA557" s="330">
        <v>0</v>
      </c>
      <c r="AB557" s="330">
        <v>0</v>
      </c>
      <c r="AC557" s="336">
        <v>0</v>
      </c>
      <c r="AD557" s="279">
        <v>0</v>
      </c>
      <c r="AE557" s="330">
        <v>0</v>
      </c>
      <c r="AF557" s="330">
        <v>0</v>
      </c>
      <c r="AG557" s="495"/>
      <c r="AH557" s="336">
        <f t="shared" si="109"/>
        <v>224.35999999999999</v>
      </c>
      <c r="AI557" s="279">
        <v>0</v>
      </c>
      <c r="AJ557" s="330">
        <v>215.16</v>
      </c>
      <c r="AK557" s="330">
        <v>9.1999999999999993</v>
      </c>
      <c r="AL557" s="285"/>
    </row>
    <row r="558" spans="1:38" s="275" customFormat="1" ht="97.2" customHeight="1" outlineLevel="1" x14ac:dyDescent="0.25">
      <c r="A558" s="311" t="s">
        <v>1353</v>
      </c>
      <c r="B558" s="331" t="s">
        <v>1238</v>
      </c>
      <c r="C558" s="330">
        <f t="shared" si="106"/>
        <v>0</v>
      </c>
      <c r="D558" s="314">
        <f t="shared" si="105"/>
        <v>387.31</v>
      </c>
      <c r="E558" s="303">
        <v>0</v>
      </c>
      <c r="F558" s="307">
        <v>0</v>
      </c>
      <c r="G558" s="303">
        <v>0</v>
      </c>
      <c r="H558" s="303">
        <v>0</v>
      </c>
      <c r="I558" s="314">
        <v>0</v>
      </c>
      <c r="J558" s="335">
        <v>0</v>
      </c>
      <c r="K558" s="330">
        <v>0</v>
      </c>
      <c r="L558" s="330">
        <v>0</v>
      </c>
      <c r="M558" s="330">
        <v>0</v>
      </c>
      <c r="N558" s="330">
        <v>0</v>
      </c>
      <c r="O558" s="335">
        <v>0</v>
      </c>
      <c r="P558" s="330">
        <v>0</v>
      </c>
      <c r="Q558" s="330">
        <v>0</v>
      </c>
      <c r="R558" s="330">
        <v>0</v>
      </c>
      <c r="S558" s="330">
        <v>0</v>
      </c>
      <c r="T558" s="332">
        <v>0</v>
      </c>
      <c r="U558" s="330">
        <v>0</v>
      </c>
      <c r="V558" s="330">
        <v>0</v>
      </c>
      <c r="W558" s="330">
        <v>0</v>
      </c>
      <c r="X558" s="495">
        <v>0</v>
      </c>
      <c r="Y558" s="280">
        <v>0</v>
      </c>
      <c r="Z558" s="330">
        <v>0</v>
      </c>
      <c r="AA558" s="330">
        <v>0</v>
      </c>
      <c r="AB558" s="330">
        <v>0</v>
      </c>
      <c r="AC558" s="336">
        <v>0</v>
      </c>
      <c r="AD558" s="279">
        <v>0</v>
      </c>
      <c r="AE558" s="330">
        <v>0</v>
      </c>
      <c r="AF558" s="330">
        <v>0</v>
      </c>
      <c r="AG558" s="495"/>
      <c r="AH558" s="336">
        <f t="shared" si="109"/>
        <v>387.31</v>
      </c>
      <c r="AI558" s="279">
        <v>0</v>
      </c>
      <c r="AJ558" s="330">
        <v>371.43</v>
      </c>
      <c r="AK558" s="330">
        <v>15.88</v>
      </c>
      <c r="AL558" s="285"/>
    </row>
    <row r="559" spans="1:38" s="275" customFormat="1" ht="128.4" customHeight="1" outlineLevel="1" x14ac:dyDescent="0.25">
      <c r="A559" s="311" t="s">
        <v>1354</v>
      </c>
      <c r="B559" s="331" t="s">
        <v>1239</v>
      </c>
      <c r="C559" s="330">
        <f t="shared" si="106"/>
        <v>0</v>
      </c>
      <c r="D559" s="314">
        <f t="shared" si="105"/>
        <v>102.05000000000001</v>
      </c>
      <c r="E559" s="303">
        <v>0</v>
      </c>
      <c r="F559" s="307">
        <v>0</v>
      </c>
      <c r="G559" s="303">
        <v>0</v>
      </c>
      <c r="H559" s="303">
        <v>0</v>
      </c>
      <c r="I559" s="314">
        <v>0</v>
      </c>
      <c r="J559" s="335">
        <v>0</v>
      </c>
      <c r="K559" s="330">
        <v>0</v>
      </c>
      <c r="L559" s="330">
        <v>0</v>
      </c>
      <c r="M559" s="330">
        <v>0</v>
      </c>
      <c r="N559" s="330">
        <v>0</v>
      </c>
      <c r="O559" s="335">
        <v>0</v>
      </c>
      <c r="P559" s="330">
        <v>0</v>
      </c>
      <c r="Q559" s="330">
        <v>0</v>
      </c>
      <c r="R559" s="330">
        <v>0</v>
      </c>
      <c r="S559" s="330">
        <v>0</v>
      </c>
      <c r="T559" s="332">
        <v>0</v>
      </c>
      <c r="U559" s="330">
        <v>0</v>
      </c>
      <c r="V559" s="330">
        <v>0</v>
      </c>
      <c r="W559" s="330">
        <v>0</v>
      </c>
      <c r="X559" s="495">
        <v>0</v>
      </c>
      <c r="Y559" s="280">
        <v>0</v>
      </c>
      <c r="Z559" s="330">
        <v>0</v>
      </c>
      <c r="AA559" s="330">
        <v>0</v>
      </c>
      <c r="AB559" s="330">
        <v>0</v>
      </c>
      <c r="AC559" s="336">
        <v>0</v>
      </c>
      <c r="AD559" s="279">
        <v>0</v>
      </c>
      <c r="AE559" s="330">
        <v>0</v>
      </c>
      <c r="AF559" s="330">
        <v>0</v>
      </c>
      <c r="AG559" s="495"/>
      <c r="AH559" s="336">
        <f t="shared" si="109"/>
        <v>102.05000000000001</v>
      </c>
      <c r="AI559" s="279">
        <v>0</v>
      </c>
      <c r="AJ559" s="330">
        <v>97.87</v>
      </c>
      <c r="AK559" s="330">
        <v>4.18</v>
      </c>
      <c r="AL559" s="285"/>
    </row>
    <row r="560" spans="1:38" s="275" customFormat="1" ht="90.6" customHeight="1" outlineLevel="1" x14ac:dyDescent="0.25">
      <c r="A560" s="311" t="s">
        <v>1355</v>
      </c>
      <c r="B560" s="331" t="s">
        <v>1240</v>
      </c>
      <c r="C560" s="330">
        <f t="shared" si="106"/>
        <v>0</v>
      </c>
      <c r="D560" s="314">
        <f t="shared" si="105"/>
        <v>69.039999999999992</v>
      </c>
      <c r="E560" s="303">
        <v>0</v>
      </c>
      <c r="F560" s="307">
        <v>0</v>
      </c>
      <c r="G560" s="303">
        <v>0</v>
      </c>
      <c r="H560" s="303">
        <v>0</v>
      </c>
      <c r="I560" s="314">
        <v>0</v>
      </c>
      <c r="J560" s="335">
        <v>0</v>
      </c>
      <c r="K560" s="330">
        <v>0</v>
      </c>
      <c r="L560" s="330">
        <v>0</v>
      </c>
      <c r="M560" s="330">
        <v>0</v>
      </c>
      <c r="N560" s="330">
        <v>0</v>
      </c>
      <c r="O560" s="335">
        <v>0</v>
      </c>
      <c r="P560" s="330">
        <v>0</v>
      </c>
      <c r="Q560" s="330">
        <v>0</v>
      </c>
      <c r="R560" s="330">
        <v>0</v>
      </c>
      <c r="S560" s="330">
        <v>0</v>
      </c>
      <c r="T560" s="332">
        <v>0</v>
      </c>
      <c r="U560" s="330">
        <v>0</v>
      </c>
      <c r="V560" s="330">
        <v>0</v>
      </c>
      <c r="W560" s="330">
        <v>0</v>
      </c>
      <c r="X560" s="495">
        <v>0</v>
      </c>
      <c r="Y560" s="280">
        <v>0</v>
      </c>
      <c r="Z560" s="330">
        <v>0</v>
      </c>
      <c r="AA560" s="330">
        <v>0</v>
      </c>
      <c r="AB560" s="330">
        <v>0</v>
      </c>
      <c r="AC560" s="336">
        <v>0</v>
      </c>
      <c r="AD560" s="279">
        <v>0</v>
      </c>
      <c r="AE560" s="330">
        <v>0</v>
      </c>
      <c r="AF560" s="330">
        <v>0</v>
      </c>
      <c r="AG560" s="495"/>
      <c r="AH560" s="336">
        <f t="shared" si="109"/>
        <v>69.039999999999992</v>
      </c>
      <c r="AI560" s="279">
        <v>0</v>
      </c>
      <c r="AJ560" s="330">
        <v>66.209999999999994</v>
      </c>
      <c r="AK560" s="330">
        <v>2.83</v>
      </c>
      <c r="AL560" s="285"/>
    </row>
    <row r="561" spans="1:51" s="275" customFormat="1" ht="132" customHeight="1" outlineLevel="1" x14ac:dyDescent="0.25">
      <c r="A561" s="311" t="s">
        <v>1356</v>
      </c>
      <c r="B561" s="331" t="s">
        <v>1241</v>
      </c>
      <c r="C561" s="330">
        <f t="shared" si="106"/>
        <v>0</v>
      </c>
      <c r="D561" s="314">
        <f t="shared" si="105"/>
        <v>99.330000000000013</v>
      </c>
      <c r="E561" s="303">
        <v>0</v>
      </c>
      <c r="F561" s="307">
        <v>0</v>
      </c>
      <c r="G561" s="303">
        <v>0</v>
      </c>
      <c r="H561" s="303">
        <v>0</v>
      </c>
      <c r="I561" s="314">
        <v>0</v>
      </c>
      <c r="J561" s="335">
        <v>0</v>
      </c>
      <c r="K561" s="330">
        <v>0</v>
      </c>
      <c r="L561" s="330">
        <v>0</v>
      </c>
      <c r="M561" s="330">
        <v>0</v>
      </c>
      <c r="N561" s="330">
        <v>0</v>
      </c>
      <c r="O561" s="335">
        <v>0</v>
      </c>
      <c r="P561" s="330">
        <v>0</v>
      </c>
      <c r="Q561" s="330">
        <v>0</v>
      </c>
      <c r="R561" s="330">
        <v>0</v>
      </c>
      <c r="S561" s="330">
        <v>0</v>
      </c>
      <c r="T561" s="332">
        <v>0</v>
      </c>
      <c r="U561" s="330">
        <v>0</v>
      </c>
      <c r="V561" s="330">
        <v>0</v>
      </c>
      <c r="W561" s="330">
        <v>0</v>
      </c>
      <c r="X561" s="495">
        <v>0</v>
      </c>
      <c r="Y561" s="280">
        <v>0</v>
      </c>
      <c r="Z561" s="330">
        <v>0</v>
      </c>
      <c r="AA561" s="330">
        <v>0</v>
      </c>
      <c r="AB561" s="330">
        <v>0</v>
      </c>
      <c r="AC561" s="336">
        <v>0</v>
      </c>
      <c r="AD561" s="279">
        <v>0</v>
      </c>
      <c r="AE561" s="330">
        <v>0</v>
      </c>
      <c r="AF561" s="330">
        <v>0</v>
      </c>
      <c r="AG561" s="495"/>
      <c r="AH561" s="336">
        <f t="shared" si="109"/>
        <v>99.330000000000013</v>
      </c>
      <c r="AI561" s="279">
        <v>0</v>
      </c>
      <c r="AJ561" s="330">
        <v>95.26</v>
      </c>
      <c r="AK561" s="330">
        <v>4.07</v>
      </c>
      <c r="AL561" s="285"/>
    </row>
    <row r="562" spans="1:51" s="275" customFormat="1" ht="130.94999999999999" customHeight="1" outlineLevel="1" x14ac:dyDescent="0.25">
      <c r="A562" s="311" t="s">
        <v>1357</v>
      </c>
      <c r="B562" s="331" t="s">
        <v>1242</v>
      </c>
      <c r="C562" s="330">
        <f t="shared" si="106"/>
        <v>0</v>
      </c>
      <c r="D562" s="314">
        <f t="shared" si="105"/>
        <v>143.41999999999999</v>
      </c>
      <c r="E562" s="303">
        <v>0</v>
      </c>
      <c r="F562" s="307">
        <v>0</v>
      </c>
      <c r="G562" s="303">
        <v>0</v>
      </c>
      <c r="H562" s="303">
        <v>0</v>
      </c>
      <c r="I562" s="314">
        <v>0</v>
      </c>
      <c r="J562" s="335">
        <v>0</v>
      </c>
      <c r="K562" s="330">
        <v>0</v>
      </c>
      <c r="L562" s="330">
        <v>0</v>
      </c>
      <c r="M562" s="330">
        <v>0</v>
      </c>
      <c r="N562" s="330">
        <v>0</v>
      </c>
      <c r="O562" s="335">
        <v>0</v>
      </c>
      <c r="P562" s="330">
        <v>0</v>
      </c>
      <c r="Q562" s="330">
        <v>0</v>
      </c>
      <c r="R562" s="330">
        <v>0</v>
      </c>
      <c r="S562" s="330">
        <v>0</v>
      </c>
      <c r="T562" s="332">
        <v>0</v>
      </c>
      <c r="U562" s="330">
        <v>0</v>
      </c>
      <c r="V562" s="330">
        <v>0</v>
      </c>
      <c r="W562" s="330">
        <v>0</v>
      </c>
      <c r="X562" s="495">
        <v>0</v>
      </c>
      <c r="Y562" s="280">
        <v>0</v>
      </c>
      <c r="Z562" s="330">
        <v>0</v>
      </c>
      <c r="AA562" s="330">
        <v>0</v>
      </c>
      <c r="AB562" s="330">
        <v>0</v>
      </c>
      <c r="AC562" s="336">
        <v>0</v>
      </c>
      <c r="AD562" s="279">
        <v>0</v>
      </c>
      <c r="AE562" s="330">
        <v>0</v>
      </c>
      <c r="AF562" s="330">
        <v>0</v>
      </c>
      <c r="AG562" s="495"/>
      <c r="AH562" s="336">
        <f t="shared" si="109"/>
        <v>143.41999999999999</v>
      </c>
      <c r="AI562" s="279">
        <v>0</v>
      </c>
      <c r="AJ562" s="330">
        <v>137.54</v>
      </c>
      <c r="AK562" s="330">
        <v>5.88</v>
      </c>
      <c r="AL562" s="285"/>
    </row>
    <row r="563" spans="1:51" s="275" customFormat="1" ht="81" customHeight="1" outlineLevel="1" x14ac:dyDescent="0.25">
      <c r="A563" s="311" t="s">
        <v>1358</v>
      </c>
      <c r="B563" s="331" t="s">
        <v>1243</v>
      </c>
      <c r="C563" s="330">
        <f t="shared" si="106"/>
        <v>0</v>
      </c>
      <c r="D563" s="314">
        <f t="shared" si="105"/>
        <v>114.86</v>
      </c>
      <c r="E563" s="303">
        <v>0</v>
      </c>
      <c r="F563" s="307">
        <v>0</v>
      </c>
      <c r="G563" s="303">
        <v>0</v>
      </c>
      <c r="H563" s="303">
        <v>0</v>
      </c>
      <c r="I563" s="314">
        <v>0</v>
      </c>
      <c r="J563" s="335">
        <v>0</v>
      </c>
      <c r="K563" s="330">
        <v>0</v>
      </c>
      <c r="L563" s="330">
        <v>0</v>
      </c>
      <c r="M563" s="330">
        <v>0</v>
      </c>
      <c r="N563" s="330">
        <v>0</v>
      </c>
      <c r="O563" s="335">
        <v>0</v>
      </c>
      <c r="P563" s="330">
        <v>0</v>
      </c>
      <c r="Q563" s="330">
        <v>0</v>
      </c>
      <c r="R563" s="330">
        <v>0</v>
      </c>
      <c r="S563" s="330">
        <v>0</v>
      </c>
      <c r="T563" s="332">
        <v>0</v>
      </c>
      <c r="U563" s="330">
        <v>0</v>
      </c>
      <c r="V563" s="330">
        <v>0</v>
      </c>
      <c r="W563" s="330">
        <v>0</v>
      </c>
      <c r="X563" s="495">
        <v>0</v>
      </c>
      <c r="Y563" s="280">
        <v>0</v>
      </c>
      <c r="Z563" s="330">
        <v>0</v>
      </c>
      <c r="AA563" s="330">
        <v>0</v>
      </c>
      <c r="AB563" s="330">
        <v>0</v>
      </c>
      <c r="AC563" s="336">
        <v>0</v>
      </c>
      <c r="AD563" s="279">
        <v>0</v>
      </c>
      <c r="AE563" s="330">
        <v>0</v>
      </c>
      <c r="AF563" s="330">
        <v>0</v>
      </c>
      <c r="AG563" s="495"/>
      <c r="AH563" s="336">
        <f t="shared" si="109"/>
        <v>114.86</v>
      </c>
      <c r="AI563" s="279">
        <v>0</v>
      </c>
      <c r="AJ563" s="330">
        <v>110.15</v>
      </c>
      <c r="AK563" s="330">
        <v>4.71</v>
      </c>
      <c r="AL563" s="285"/>
    </row>
    <row r="564" spans="1:51" s="275" customFormat="1" ht="99.6" customHeight="1" outlineLevel="1" x14ac:dyDescent="0.25">
      <c r="A564" s="311" t="s">
        <v>1359</v>
      </c>
      <c r="B564" s="331" t="s">
        <v>1244</v>
      </c>
      <c r="C564" s="330">
        <f t="shared" si="106"/>
        <v>0</v>
      </c>
      <c r="D564" s="314">
        <f t="shared" si="105"/>
        <v>1392.8</v>
      </c>
      <c r="E564" s="303">
        <v>0</v>
      </c>
      <c r="F564" s="307">
        <v>0</v>
      </c>
      <c r="G564" s="303">
        <v>0</v>
      </c>
      <c r="H564" s="303">
        <v>0</v>
      </c>
      <c r="I564" s="314">
        <v>0</v>
      </c>
      <c r="J564" s="335">
        <v>0</v>
      </c>
      <c r="K564" s="330">
        <v>0</v>
      </c>
      <c r="L564" s="330">
        <v>0</v>
      </c>
      <c r="M564" s="330">
        <v>0</v>
      </c>
      <c r="N564" s="330">
        <v>0</v>
      </c>
      <c r="O564" s="335">
        <v>0</v>
      </c>
      <c r="P564" s="330">
        <v>0</v>
      </c>
      <c r="Q564" s="330">
        <v>0</v>
      </c>
      <c r="R564" s="330">
        <v>0</v>
      </c>
      <c r="S564" s="330">
        <v>0</v>
      </c>
      <c r="T564" s="332">
        <v>0</v>
      </c>
      <c r="U564" s="330">
        <v>0</v>
      </c>
      <c r="V564" s="330">
        <v>0</v>
      </c>
      <c r="W564" s="330">
        <v>0</v>
      </c>
      <c r="X564" s="495">
        <v>0</v>
      </c>
      <c r="Y564" s="280">
        <v>0</v>
      </c>
      <c r="Z564" s="330">
        <v>0</v>
      </c>
      <c r="AA564" s="330">
        <v>0</v>
      </c>
      <c r="AB564" s="330">
        <v>0</v>
      </c>
      <c r="AC564" s="336">
        <v>0</v>
      </c>
      <c r="AD564" s="279">
        <v>0</v>
      </c>
      <c r="AE564" s="330">
        <v>0</v>
      </c>
      <c r="AF564" s="330">
        <v>0</v>
      </c>
      <c r="AG564" s="495"/>
      <c r="AH564" s="336">
        <f t="shared" si="109"/>
        <v>1392.8</v>
      </c>
      <c r="AI564" s="279">
        <v>0</v>
      </c>
      <c r="AJ564" s="330">
        <v>1335.7</v>
      </c>
      <c r="AK564" s="330">
        <v>57.1</v>
      </c>
      <c r="AL564" s="285"/>
    </row>
    <row r="565" spans="1:51" s="275" customFormat="1" ht="124.2" customHeight="1" outlineLevel="1" x14ac:dyDescent="0.25">
      <c r="A565" s="311" t="s">
        <v>1360</v>
      </c>
      <c r="B565" s="331" t="s">
        <v>1245</v>
      </c>
      <c r="C565" s="330">
        <f t="shared" si="106"/>
        <v>0</v>
      </c>
      <c r="D565" s="314">
        <f t="shared" si="105"/>
        <v>102.52</v>
      </c>
      <c r="E565" s="303">
        <v>0</v>
      </c>
      <c r="F565" s="307">
        <v>0</v>
      </c>
      <c r="G565" s="303">
        <v>0</v>
      </c>
      <c r="H565" s="303">
        <v>0</v>
      </c>
      <c r="I565" s="314">
        <v>0</v>
      </c>
      <c r="J565" s="335">
        <v>0</v>
      </c>
      <c r="K565" s="330">
        <v>0</v>
      </c>
      <c r="L565" s="330">
        <v>0</v>
      </c>
      <c r="M565" s="330">
        <v>0</v>
      </c>
      <c r="N565" s="330">
        <v>0</v>
      </c>
      <c r="O565" s="335">
        <v>0</v>
      </c>
      <c r="P565" s="330">
        <v>0</v>
      </c>
      <c r="Q565" s="330">
        <v>0</v>
      </c>
      <c r="R565" s="330">
        <v>0</v>
      </c>
      <c r="S565" s="330">
        <v>0</v>
      </c>
      <c r="T565" s="332">
        <v>0</v>
      </c>
      <c r="U565" s="330">
        <v>0</v>
      </c>
      <c r="V565" s="330">
        <v>0</v>
      </c>
      <c r="W565" s="330">
        <v>0</v>
      </c>
      <c r="X565" s="495">
        <v>0</v>
      </c>
      <c r="Y565" s="280">
        <v>0</v>
      </c>
      <c r="Z565" s="330">
        <v>0</v>
      </c>
      <c r="AA565" s="330">
        <v>0</v>
      </c>
      <c r="AB565" s="330">
        <v>0</v>
      </c>
      <c r="AC565" s="336">
        <v>0</v>
      </c>
      <c r="AD565" s="279">
        <v>0</v>
      </c>
      <c r="AE565" s="330">
        <v>0</v>
      </c>
      <c r="AF565" s="330">
        <v>0</v>
      </c>
      <c r="AG565" s="495"/>
      <c r="AH565" s="336">
        <f t="shared" si="109"/>
        <v>102.52</v>
      </c>
      <c r="AI565" s="279">
        <v>0</v>
      </c>
      <c r="AJ565" s="330">
        <v>98.32</v>
      </c>
      <c r="AK565" s="330">
        <v>4.2</v>
      </c>
      <c r="AL565" s="285"/>
    </row>
    <row r="566" spans="1:51" s="275" customFormat="1" ht="113.4" customHeight="1" outlineLevel="1" x14ac:dyDescent="0.25">
      <c r="A566" s="311" t="s">
        <v>1361</v>
      </c>
      <c r="B566" s="331" t="s">
        <v>1246</v>
      </c>
      <c r="C566" s="330">
        <f t="shared" si="106"/>
        <v>0</v>
      </c>
      <c r="D566" s="314">
        <f t="shared" si="105"/>
        <v>1383</v>
      </c>
      <c r="E566" s="303">
        <v>0</v>
      </c>
      <c r="F566" s="307">
        <v>0</v>
      </c>
      <c r="G566" s="303">
        <v>0</v>
      </c>
      <c r="H566" s="303">
        <v>0</v>
      </c>
      <c r="I566" s="314">
        <v>0</v>
      </c>
      <c r="J566" s="335">
        <v>0</v>
      </c>
      <c r="K566" s="330">
        <v>0</v>
      </c>
      <c r="L566" s="330">
        <v>0</v>
      </c>
      <c r="M566" s="330">
        <v>0</v>
      </c>
      <c r="N566" s="330">
        <v>0</v>
      </c>
      <c r="O566" s="335">
        <v>0</v>
      </c>
      <c r="P566" s="330">
        <v>0</v>
      </c>
      <c r="Q566" s="330">
        <v>0</v>
      </c>
      <c r="R566" s="330">
        <v>0</v>
      </c>
      <c r="S566" s="330">
        <v>0</v>
      </c>
      <c r="T566" s="332">
        <v>0</v>
      </c>
      <c r="U566" s="330">
        <v>0</v>
      </c>
      <c r="V566" s="330">
        <v>0</v>
      </c>
      <c r="W566" s="330">
        <v>0</v>
      </c>
      <c r="X566" s="495">
        <v>0</v>
      </c>
      <c r="Y566" s="280">
        <v>0</v>
      </c>
      <c r="Z566" s="330">
        <v>0</v>
      </c>
      <c r="AA566" s="330">
        <v>0</v>
      </c>
      <c r="AB566" s="330">
        <v>0</v>
      </c>
      <c r="AC566" s="336">
        <v>0</v>
      </c>
      <c r="AD566" s="279">
        <v>0</v>
      </c>
      <c r="AE566" s="330">
        <v>0</v>
      </c>
      <c r="AF566" s="330">
        <v>0</v>
      </c>
      <c r="AG566" s="495"/>
      <c r="AH566" s="336">
        <f t="shared" si="109"/>
        <v>1383</v>
      </c>
      <c r="AI566" s="279">
        <v>0</v>
      </c>
      <c r="AJ566" s="330">
        <v>1326.3</v>
      </c>
      <c r="AK566" s="330">
        <v>56.7</v>
      </c>
      <c r="AL566" s="285"/>
    </row>
    <row r="567" spans="1:51" s="275" customFormat="1" ht="138.6" customHeight="1" outlineLevel="1" x14ac:dyDescent="0.25">
      <c r="A567" s="311" t="s">
        <v>1250</v>
      </c>
      <c r="B567" s="331" t="s">
        <v>1247</v>
      </c>
      <c r="C567" s="330">
        <f t="shared" si="106"/>
        <v>0</v>
      </c>
      <c r="D567" s="314">
        <f t="shared" si="105"/>
        <v>89.11</v>
      </c>
      <c r="E567" s="303">
        <v>0</v>
      </c>
      <c r="F567" s="307">
        <v>0</v>
      </c>
      <c r="G567" s="303">
        <v>0</v>
      </c>
      <c r="H567" s="303">
        <v>0</v>
      </c>
      <c r="I567" s="314">
        <v>0</v>
      </c>
      <c r="J567" s="335">
        <v>0</v>
      </c>
      <c r="K567" s="330">
        <v>0</v>
      </c>
      <c r="L567" s="330">
        <v>0</v>
      </c>
      <c r="M567" s="330">
        <v>0</v>
      </c>
      <c r="N567" s="330">
        <v>0</v>
      </c>
      <c r="O567" s="335">
        <v>0</v>
      </c>
      <c r="P567" s="330">
        <v>0</v>
      </c>
      <c r="Q567" s="330">
        <v>0</v>
      </c>
      <c r="R567" s="330">
        <v>0</v>
      </c>
      <c r="S567" s="330">
        <v>0</v>
      </c>
      <c r="T567" s="332">
        <v>0</v>
      </c>
      <c r="U567" s="330">
        <v>0</v>
      </c>
      <c r="V567" s="330">
        <v>0</v>
      </c>
      <c r="W567" s="330">
        <v>0</v>
      </c>
      <c r="X567" s="495">
        <v>0</v>
      </c>
      <c r="Y567" s="280">
        <v>0</v>
      </c>
      <c r="Z567" s="330">
        <v>0</v>
      </c>
      <c r="AA567" s="330">
        <v>0</v>
      </c>
      <c r="AB567" s="330">
        <v>0</v>
      </c>
      <c r="AC567" s="336">
        <v>0</v>
      </c>
      <c r="AD567" s="279">
        <v>0</v>
      </c>
      <c r="AE567" s="330">
        <v>0</v>
      </c>
      <c r="AF567" s="330">
        <v>0</v>
      </c>
      <c r="AG567" s="495"/>
      <c r="AH567" s="336">
        <f t="shared" si="109"/>
        <v>89.11</v>
      </c>
      <c r="AI567" s="279">
        <v>0</v>
      </c>
      <c r="AJ567" s="330">
        <v>85.46</v>
      </c>
      <c r="AK567" s="330">
        <v>3.65</v>
      </c>
      <c r="AL567" s="285"/>
    </row>
    <row r="568" spans="1:51" s="275" customFormat="1" ht="130.19999999999999" customHeight="1" outlineLevel="1" x14ac:dyDescent="0.25">
      <c r="A568" s="311" t="s">
        <v>1362</v>
      </c>
      <c r="B568" s="331" t="s">
        <v>1248</v>
      </c>
      <c r="C568" s="330">
        <f t="shared" si="106"/>
        <v>0</v>
      </c>
      <c r="D568" s="314">
        <f t="shared" si="105"/>
        <v>2117.42</v>
      </c>
      <c r="E568" s="303">
        <v>0</v>
      </c>
      <c r="F568" s="307">
        <v>0</v>
      </c>
      <c r="G568" s="303">
        <v>0</v>
      </c>
      <c r="H568" s="303">
        <v>0</v>
      </c>
      <c r="I568" s="314">
        <v>0</v>
      </c>
      <c r="J568" s="335">
        <v>0</v>
      </c>
      <c r="K568" s="330">
        <v>0</v>
      </c>
      <c r="L568" s="330">
        <v>0</v>
      </c>
      <c r="M568" s="330">
        <v>0</v>
      </c>
      <c r="N568" s="330">
        <v>0</v>
      </c>
      <c r="O568" s="335">
        <v>0</v>
      </c>
      <c r="P568" s="330">
        <v>0</v>
      </c>
      <c r="Q568" s="330">
        <v>0</v>
      </c>
      <c r="R568" s="330">
        <v>0</v>
      </c>
      <c r="S568" s="330">
        <v>0</v>
      </c>
      <c r="T568" s="332">
        <v>0</v>
      </c>
      <c r="U568" s="330">
        <v>0</v>
      </c>
      <c r="V568" s="330">
        <v>0</v>
      </c>
      <c r="W568" s="330">
        <v>0</v>
      </c>
      <c r="X568" s="495">
        <v>0</v>
      </c>
      <c r="Y568" s="280">
        <v>0</v>
      </c>
      <c r="Z568" s="330">
        <v>0</v>
      </c>
      <c r="AA568" s="330">
        <v>0</v>
      </c>
      <c r="AB568" s="330">
        <v>0</v>
      </c>
      <c r="AC568" s="336">
        <v>0</v>
      </c>
      <c r="AD568" s="279">
        <v>0</v>
      </c>
      <c r="AE568" s="330">
        <v>0</v>
      </c>
      <c r="AF568" s="330">
        <v>0</v>
      </c>
      <c r="AG568" s="495"/>
      <c r="AH568" s="336">
        <f t="shared" si="109"/>
        <v>2117.42</v>
      </c>
      <c r="AI568" s="279">
        <v>0</v>
      </c>
      <c r="AJ568" s="330">
        <v>2030.61</v>
      </c>
      <c r="AK568" s="330">
        <v>86.81</v>
      </c>
      <c r="AL568" s="285"/>
    </row>
    <row r="569" spans="1:51" s="275" customFormat="1" ht="118.2" customHeight="1" outlineLevel="1" x14ac:dyDescent="0.25">
      <c r="A569" s="311" t="s">
        <v>1363</v>
      </c>
      <c r="B569" s="331" t="s">
        <v>1249</v>
      </c>
      <c r="C569" s="330">
        <f t="shared" si="106"/>
        <v>0</v>
      </c>
      <c r="D569" s="314">
        <f t="shared" si="105"/>
        <v>3095.54</v>
      </c>
      <c r="E569" s="303">
        <v>0</v>
      </c>
      <c r="F569" s="307">
        <v>0</v>
      </c>
      <c r="G569" s="303">
        <v>0</v>
      </c>
      <c r="H569" s="303">
        <v>0</v>
      </c>
      <c r="I569" s="314">
        <v>0</v>
      </c>
      <c r="J569" s="335">
        <v>0</v>
      </c>
      <c r="K569" s="330">
        <v>0</v>
      </c>
      <c r="L569" s="330">
        <v>0</v>
      </c>
      <c r="M569" s="330">
        <v>0</v>
      </c>
      <c r="N569" s="330">
        <v>0</v>
      </c>
      <c r="O569" s="335">
        <v>0</v>
      </c>
      <c r="P569" s="330">
        <v>0</v>
      </c>
      <c r="Q569" s="330">
        <v>0</v>
      </c>
      <c r="R569" s="330">
        <v>0</v>
      </c>
      <c r="S569" s="330">
        <v>0</v>
      </c>
      <c r="T569" s="332">
        <v>0</v>
      </c>
      <c r="U569" s="330">
        <v>0</v>
      </c>
      <c r="V569" s="330">
        <v>0</v>
      </c>
      <c r="W569" s="330">
        <v>0</v>
      </c>
      <c r="X569" s="495">
        <v>0</v>
      </c>
      <c r="Y569" s="280">
        <v>0</v>
      </c>
      <c r="Z569" s="330">
        <v>0</v>
      </c>
      <c r="AA569" s="330">
        <v>0</v>
      </c>
      <c r="AB569" s="330">
        <v>0</v>
      </c>
      <c r="AC569" s="336">
        <v>0</v>
      </c>
      <c r="AD569" s="279">
        <v>0</v>
      </c>
      <c r="AE569" s="330">
        <v>0</v>
      </c>
      <c r="AF569" s="330">
        <v>0</v>
      </c>
      <c r="AG569" s="495"/>
      <c r="AH569" s="336">
        <f t="shared" si="109"/>
        <v>3095.54</v>
      </c>
      <c r="AI569" s="279">
        <v>0</v>
      </c>
      <c r="AJ569" s="330">
        <v>2968.62</v>
      </c>
      <c r="AK569" s="330">
        <v>126.92</v>
      </c>
      <c r="AL569" s="285"/>
    </row>
    <row r="570" spans="1:51" s="275" customFormat="1" ht="178.95" customHeight="1" outlineLevel="1" x14ac:dyDescent="0.25">
      <c r="A570" s="311" t="s">
        <v>1364</v>
      </c>
      <c r="B570" s="331" t="s">
        <v>1365</v>
      </c>
      <c r="C570" s="330">
        <f t="shared" si="106"/>
        <v>0</v>
      </c>
      <c r="D570" s="314">
        <f>F570+J570+O570+T570+Y570+AC570+AH570</f>
        <v>1278.75</v>
      </c>
      <c r="E570" s="303">
        <v>0</v>
      </c>
      <c r="F570" s="307">
        <v>0</v>
      </c>
      <c r="G570" s="303">
        <v>0</v>
      </c>
      <c r="H570" s="303">
        <v>0</v>
      </c>
      <c r="I570" s="314">
        <v>0</v>
      </c>
      <c r="J570" s="335">
        <v>0</v>
      </c>
      <c r="K570" s="330">
        <v>0</v>
      </c>
      <c r="L570" s="330">
        <v>0</v>
      </c>
      <c r="M570" s="330">
        <v>0</v>
      </c>
      <c r="N570" s="330">
        <v>0</v>
      </c>
      <c r="O570" s="335">
        <v>0</v>
      </c>
      <c r="P570" s="330">
        <v>0</v>
      </c>
      <c r="Q570" s="330">
        <v>0</v>
      </c>
      <c r="R570" s="330">
        <v>0</v>
      </c>
      <c r="S570" s="330">
        <v>0</v>
      </c>
      <c r="T570" s="332">
        <v>0</v>
      </c>
      <c r="U570" s="330">
        <v>0</v>
      </c>
      <c r="V570" s="330">
        <v>0</v>
      </c>
      <c r="W570" s="330">
        <v>0</v>
      </c>
      <c r="X570" s="495">
        <v>0</v>
      </c>
      <c r="Y570" s="280">
        <v>0</v>
      </c>
      <c r="Z570" s="330">
        <v>0</v>
      </c>
      <c r="AA570" s="330">
        <v>0</v>
      </c>
      <c r="AB570" s="330">
        <v>0</v>
      </c>
      <c r="AC570" s="336">
        <v>0</v>
      </c>
      <c r="AD570" s="279">
        <v>0</v>
      </c>
      <c r="AE570" s="330">
        <v>0</v>
      </c>
      <c r="AF570" s="330">
        <v>0</v>
      </c>
      <c r="AG570" s="495"/>
      <c r="AH570" s="336">
        <f>AI570+AJ570+AK570</f>
        <v>1278.75</v>
      </c>
      <c r="AI570" s="279">
        <v>0</v>
      </c>
      <c r="AJ570" s="330">
        <v>1226.32</v>
      </c>
      <c r="AK570" s="330">
        <v>52.43</v>
      </c>
      <c r="AL570" s="285"/>
    </row>
    <row r="571" spans="1:51" s="275" customFormat="1" ht="33" customHeight="1" outlineLevel="1" x14ac:dyDescent="0.25">
      <c r="A571" s="311" t="s">
        <v>1366</v>
      </c>
      <c r="B571" s="331" t="s">
        <v>575</v>
      </c>
      <c r="C571" s="330">
        <f t="shared" si="106"/>
        <v>0</v>
      </c>
      <c r="D571" s="314">
        <f t="shared" si="105"/>
        <v>1270.1599999999999</v>
      </c>
      <c r="E571" s="303">
        <v>0</v>
      </c>
      <c r="F571" s="307">
        <v>0</v>
      </c>
      <c r="G571" s="303">
        <v>0</v>
      </c>
      <c r="H571" s="303">
        <v>0</v>
      </c>
      <c r="I571" s="314">
        <v>0</v>
      </c>
      <c r="J571" s="335">
        <v>0</v>
      </c>
      <c r="K571" s="330">
        <v>0</v>
      </c>
      <c r="L571" s="330">
        <v>0</v>
      </c>
      <c r="M571" s="330">
        <v>0</v>
      </c>
      <c r="N571" s="330">
        <v>0</v>
      </c>
      <c r="O571" s="335">
        <v>0</v>
      </c>
      <c r="P571" s="330">
        <v>0</v>
      </c>
      <c r="Q571" s="330">
        <v>0</v>
      </c>
      <c r="R571" s="330">
        <v>0</v>
      </c>
      <c r="S571" s="330">
        <v>0</v>
      </c>
      <c r="T571" s="332">
        <v>0</v>
      </c>
      <c r="U571" s="330">
        <v>0</v>
      </c>
      <c r="V571" s="330">
        <v>0</v>
      </c>
      <c r="W571" s="330">
        <v>0</v>
      </c>
      <c r="X571" s="495">
        <v>0</v>
      </c>
      <c r="Y571" s="280">
        <v>0</v>
      </c>
      <c r="Z571" s="330">
        <v>0</v>
      </c>
      <c r="AA571" s="330">
        <v>0</v>
      </c>
      <c r="AB571" s="330">
        <v>0</v>
      </c>
      <c r="AC571" s="336">
        <v>0</v>
      </c>
      <c r="AD571" s="279">
        <v>0</v>
      </c>
      <c r="AE571" s="330">
        <v>0</v>
      </c>
      <c r="AF571" s="330">
        <v>0</v>
      </c>
      <c r="AG571" s="495">
        <v>0</v>
      </c>
      <c r="AH571" s="336">
        <f>AI571+AJ571+AK571</f>
        <v>1270.1599999999999</v>
      </c>
      <c r="AI571" s="279">
        <v>0</v>
      </c>
      <c r="AJ571" s="330">
        <v>1218.08</v>
      </c>
      <c r="AK571" s="330">
        <v>52.08</v>
      </c>
      <c r="AL571" s="285"/>
    </row>
    <row r="572" spans="1:51" s="275" customFormat="1" ht="93.6" outlineLevel="1" x14ac:dyDescent="0.25">
      <c r="A572" s="311" t="s">
        <v>1367</v>
      </c>
      <c r="B572" s="331" t="s">
        <v>1368</v>
      </c>
      <c r="C572" s="330">
        <f t="shared" si="106"/>
        <v>1.59</v>
      </c>
      <c r="D572" s="314">
        <f t="shared" si="105"/>
        <v>4593.9900000000007</v>
      </c>
      <c r="E572" s="303">
        <v>0</v>
      </c>
      <c r="F572" s="307">
        <v>0</v>
      </c>
      <c r="G572" s="303">
        <v>0</v>
      </c>
      <c r="H572" s="303">
        <v>0</v>
      </c>
      <c r="I572" s="314">
        <v>0</v>
      </c>
      <c r="J572" s="335">
        <v>0</v>
      </c>
      <c r="K572" s="330">
        <v>0</v>
      </c>
      <c r="L572" s="330">
        <v>0</v>
      </c>
      <c r="M572" s="330">
        <v>0</v>
      </c>
      <c r="N572" s="330">
        <v>0</v>
      </c>
      <c r="O572" s="335">
        <v>0</v>
      </c>
      <c r="P572" s="330">
        <v>0</v>
      </c>
      <c r="Q572" s="330">
        <v>0</v>
      </c>
      <c r="R572" s="330">
        <v>0</v>
      </c>
      <c r="S572" s="330">
        <v>0</v>
      </c>
      <c r="T572" s="332">
        <v>0</v>
      </c>
      <c r="U572" s="330">
        <v>0</v>
      </c>
      <c r="V572" s="330">
        <v>0</v>
      </c>
      <c r="W572" s="330">
        <v>0</v>
      </c>
      <c r="X572" s="495">
        <v>0</v>
      </c>
      <c r="Y572" s="280">
        <v>0</v>
      </c>
      <c r="Z572" s="330">
        <v>0</v>
      </c>
      <c r="AA572" s="330">
        <v>0</v>
      </c>
      <c r="AB572" s="330">
        <v>0</v>
      </c>
      <c r="AC572" s="336">
        <v>0</v>
      </c>
      <c r="AD572" s="279">
        <v>0</v>
      </c>
      <c r="AE572" s="330">
        <v>0</v>
      </c>
      <c r="AF572" s="330">
        <v>0</v>
      </c>
      <c r="AG572" s="495">
        <v>1.59</v>
      </c>
      <c r="AH572" s="336">
        <f t="shared" si="109"/>
        <v>4593.9900000000007</v>
      </c>
      <c r="AI572" s="279">
        <v>0</v>
      </c>
      <c r="AJ572" s="330">
        <v>4405.6400000000003</v>
      </c>
      <c r="AK572" s="330">
        <v>188.35</v>
      </c>
      <c r="AL572" s="285"/>
    </row>
    <row r="573" spans="1:51" s="282" customFormat="1" ht="79.95" customHeight="1" x14ac:dyDescent="0.25">
      <c r="A573" s="337"/>
      <c r="B573" s="338" t="s">
        <v>1251</v>
      </c>
      <c r="C573" s="339">
        <f>C301+C302+C303+C304+C305+C306+C307+C308+C309+C310+C311+C312+C313+C314+C315+C316+C317+C318+C319+C320+C321+C322+C323+C324+C325+C326+C327+C328+C329+C330+C331+C332+C333+C334+C335+C336+C337+C338+C339+C340+C341+C342+C343+C344+C346+C347+C348+C349+C350+C351+C352+C353+C354+C355+C356+C357+C358+C359+C360+C361+C362+C363+C364+C365+C366+C367+C368+C369+C370+C371+C372+C373+C374+C375+C376+C377+C378+C379+C380+C381+C382+C383+C384+C385+C386+C387+C388+C389+C390+C391+C392+C393+C394+C395+C396+C397+C398+C399+C400+C401+C402+C403+C404+C405+C406+C407+C408+C409+C410+C411+C412+C413+C414+C415+C416+C417+C420+C421+C422+C423+C424+C425+C426+C427+C428+C429+C430+C431+C432+C433+C434+C435+C436+C437+C438+C439+C440+C441+C442+C443+C444+C445+C446+C447+C448+C450+C449+C451+C452+C453+C454+C455+C456+C457+C458+C459+C460+C461+C462+C463+C464+C465+C466+C467+C468+C469+C470+C471+C472+C473+C474+C475+C476+C477+C478+C479+C480+C481+C482+C483+C484+C485+C486+C487+C488+C489+C490+C491+C492+C493+C494+C495+C496+C497+C498+C499+C500+C501+C502+C503+C504+C505+C506+C507+C508+C509+C510+C511+C512+C513+C514+C515+C516+C517+C518+C519+C520+C521+C522+C523+C524+C525+C526+C527+C528+C529+C530+C531+C532+C533+C534+C535+C536+C537+C538+C539+C540+C541+C542+C543+C544+C545+C546+C547+C548+C549+C550+C551+C552+C553+C554+C555+C556+C557+C558+C559+C560+C561+C562+C563+C564+C565+C566+C567+C568+C569+C571+C418+C570+C572</f>
        <v>3062.4300000000007</v>
      </c>
      <c r="D573" s="339">
        <f>F573+J573+O573+T573+Y573+AC573+AH573</f>
        <v>5234682.220160001</v>
      </c>
      <c r="E573" s="339">
        <f t="shared" ref="E573:AE573" si="110">E301+E302+E303+E304+E305+E306+E307+E308+E309+E310+E311+E312+E313+E314+E315+E316+E317+E318+E319+E320+E321+E322+E323+E324+E325+E326+E327+E328+E329+E330+E331+E332+E333+E334+E335+E336+E337+E338+E339+E340+E341+E342+E343+E344+E346+E347+E348+E349+E350+E351+E352+E353+E354+E355+E356+E357+E358+E359+E360+E361+E362+E363+E364+E365+E366+E367+E368+E369+E370+E371+E372+E373+E374+E375+E376+E377+E378+E379+E380+E381+E382+E383+E384+E385+E386+E387+E388+E389+E390+E391+E392+E393+E394+E395+E396+E397+E398+E399+E400+E401+E402+E403+E404+E405+E406+E407+E408+E409+E410+E411+E412+E413+E414+E415+E416+E417+E420+E421+E422+E423+E424+E425+E426+E427+E428+E429+E430+E431+E432+E433+E434+E435+E436+E437+E438+E439+E440+E441+E442+E443+E444+E445+E446+E447+E448+E450+E449+E451+E452+E453+E454+E455+E456+E457+E458+E459+E460+E461+E462+E463+E464+E465+E466+E467+E468+E469+E470+E471+E472+E473+E474+E475+E476+E477+E478+E479+E480+E481+E482+E483+E484+E485+E486+E487+E488+E489+E490+E491+E492+E493+E494+E495+E496+E497+E498+E499+E500+E501+E502+E503+E504+E505+E506+E507+E508+E509+E510+E511+E512+E513+E514+E515+E516+E517+E518+E519+E520+E521+E522+E523+E524+E525+E526+E527+E528+E529+E530+E531+E532+E533+E534+E535+E536+E537+E538+E539+E540+E541+E542+E543+E544+E545+E546+E547+E548+E549+E550+E551+E552+E553+E554+E555+E556+E557+E558+E559+E560+E561+E562+E563+E564+E565+E566+E567+E568+E569+E571+E418+E570</f>
        <v>510.20200000000011</v>
      </c>
      <c r="F573" s="358">
        <f t="shared" si="110"/>
        <v>508876.19000000006</v>
      </c>
      <c r="G573" s="339">
        <f t="shared" si="110"/>
        <v>475919.72999999992</v>
      </c>
      <c r="H573" s="339">
        <f t="shared" si="110"/>
        <v>32956.46</v>
      </c>
      <c r="I573" s="339">
        <f t="shared" si="110"/>
        <v>188.02</v>
      </c>
      <c r="J573" s="339">
        <f t="shared" si="110"/>
        <v>324906.55</v>
      </c>
      <c r="K573" s="339">
        <f t="shared" si="110"/>
        <v>0</v>
      </c>
      <c r="L573" s="339">
        <f t="shared" si="110"/>
        <v>292055.66000000003</v>
      </c>
      <c r="M573" s="339">
        <f t="shared" si="110"/>
        <v>32850.89</v>
      </c>
      <c r="N573" s="339">
        <f t="shared" si="110"/>
        <v>692.11299999999994</v>
      </c>
      <c r="O573" s="339">
        <f t="shared" si="110"/>
        <v>1049908.6900000002</v>
      </c>
      <c r="P573" s="339">
        <f t="shared" si="110"/>
        <v>249999.99999999997</v>
      </c>
      <c r="Q573" s="339">
        <f t="shared" si="110"/>
        <v>746233.69386999996</v>
      </c>
      <c r="R573" s="339">
        <f t="shared" si="110"/>
        <v>53674.99613</v>
      </c>
      <c r="S573" s="339">
        <f t="shared" si="110"/>
        <v>829.16199999999992</v>
      </c>
      <c r="T573" s="339">
        <f t="shared" si="110"/>
        <v>1274475.9900000005</v>
      </c>
      <c r="U573" s="339">
        <f t="shared" si="110"/>
        <v>919118.99537000025</v>
      </c>
      <c r="V573" s="339">
        <f t="shared" si="110"/>
        <v>260728.99923000002</v>
      </c>
      <c r="W573" s="339">
        <f t="shared" si="110"/>
        <v>94627.995400000043</v>
      </c>
      <c r="X573" s="519">
        <f>X301+X302+X303+X304+X305+X306+X307+X308+X309+X310+X311+X312+X313+X314+X315+X316+X317+X318+X319+X320+X321+X322+X323+X324+X325+X326+X327+X328+X329+X330+X331+X332+X333+X334+X335+X336+X337+X338+X339+X340+X341+X342+X343+X344+X346+X347+X348+X349+X350+X351+X352+X353+X354+X355+X356+X357+X358+X359+X360+X361+X362+X363+X364+X365+X366+X367+X368+X369+X370+X371+X372+X373+X374+X375+X376+X377+X378+X379+X380+X381+X382+X383+X384+X385+X386+X387+X388+X389+X390+X391+X392+X393+X394+X395+X396+X397+X398+X399+X400+X401+X402+X403+X404+X405+X406+X407+X408+X409+X410+X411+X412+X413+X414+X415+X416+X417+X420+X421+X422+X423+X424+X425+X426+X427+X428+X429+X430+X431+X432+X433+X434+X435+X436+X437+X438+X439+X440+X441+X442+X443+X444+X445+X446+X447+X448+X450+X449+X451+X452+X453+X454+X455+X456+X457+X458+X459+X460+X461+X462+X463+X464+X465+X466+X467+X468+X469+X470+X471+X472+X473+X474+X475+X476+X477+X478+X479+X480+X481+X482+X483+X484+X485+X486+X487+X488+X489+X490+X491+X492+X493+X494+X495+X496+X497+X498+X499+X500+X501+X502+X503+X504+X505+X506+X507+X508+X509+X510+X511+X512+X513+X514+X515+X516+X517+X518+X519+X520+X521+X522+X523+X524+X525+X526+X527+X528+X529+X530+X531+X532+X533+X534+X535+X536+X537+X538+X539+X540+X541+X542+X543+X544+X545+X546+X547+X548+X549+X550+X551+X552+X553+X554+X555+X556+X557+X558+X559+X560+X561+X562+X563+X564+X565+X566+X567+X568+X569+X571+X418+X570</f>
        <v>322.77999999999997</v>
      </c>
      <c r="Y573" s="339">
        <f>Z573+AA573</f>
        <v>693734.5</v>
      </c>
      <c r="Z573" s="339">
        <f t="shared" si="110"/>
        <v>658462</v>
      </c>
      <c r="AA573" s="339">
        <v>35272.5</v>
      </c>
      <c r="AB573" s="339">
        <f t="shared" si="110"/>
        <v>257.52999999999997</v>
      </c>
      <c r="AC573" s="339">
        <f>AE573+AF573</f>
        <v>702772.70015999977</v>
      </c>
      <c r="AD573" s="339">
        <f t="shared" si="110"/>
        <v>0</v>
      </c>
      <c r="AE573" s="339">
        <f t="shared" si="110"/>
        <v>666400.00015999982</v>
      </c>
      <c r="AF573" s="339">
        <v>36372.699999999997</v>
      </c>
      <c r="AG573" s="519">
        <f>AG301+AG302+AG303+AG304+AG305+AG306+AG307+AG308+AG309+AG310+AG311+AG312+AG313+AG314+AG315+AG316+AG317+AG318+AG319+AG320+AG321+AG322+AG323+AG324+AG325+AG326+AG327+AG328+AG329+AG330+AG331+AG332+AG333+AG334+AG335+AG336+AG337+AG338+AG339+AG340+AG341+AG342+AG343+AG344+AG346+AG347+AG348+AG349+AG350+AG351+AG352+AG353+AG354+AG355+AG356+AG357+AG358+AG359+AG360+AG361+AG362+AG363+AG364+AG365+AG366+AG367+AG368+AG369+AG370+AG371+AG372+AG373+AG374+AG375+AG376+AG377+AG378+AG379+AG380+AG381+AG382+AG383+AG384+AG385+AG386+AG387+AG388+AG389+AG390+AG391+AG392+AG393+AG394+AG395+AG396+AG397+AG398+AG399+AG400+AG401+AG402+AG403+AG404+AG405+AG406+AG407+AG408+AG409+AG410+AG411+AG412+AG413+AG414+AG415+AG416+AG417+AG420+AG421+AG422+AG423+AG424+AG425+AG426+AG427+AG428+AG429+AG430+AG431+AG432+AG433+AG434+AG435+AG436+AG437+AG438+AG439+AG440+AG441+AG442+AG443+AG444+AG445+AG446+AG447+AG448+AG450+AG449+AG451+AG452+AG453+AG454+AG455+AG456+AG457+AG458+AG459+AG460+AG461+AG462+AG463+AG464+AG465+AG466+AG467+AG468+AG469+AG470+AG471+AG472+AG473+AG474+AG475+AG476+AG477+AG478+AG479+AG480+AG481+AG482+AG483+AG484+AG485+AG486+AG487+AG488+AG489+AG490+AG491+AG492+AG493+AG494+AG495+AG496+AG497+AG498+AG499+AG500+AG501+AG502+AG503+AG504+AG505+AG506+AG507+AG508+AG509+AG510+AG511+AG512+AG513+AG514+AG515+AG516+AG517+AG518+AG519+AG520+AG521+AG522+AG523+AG524+AG525+AG526+AG527+AG528+AG529+AG530+AG531+AG532+AG533+AG534+AG535+AG536+AG537+AG538+AG539+AG540+AG541+AG542+AG543+AG544+AG545+AG546+AG547+AG548+AG549+AG550+AG551+AG552+AG553+AG554+AG555+AG556+AG557+AG558+AG559+AG560+AG561+AG562+AG563+AG564+AG565+AG566+AG567+AG568+AG569+AG571+AG418+AG570+AG572</f>
        <v>262.62299999999999</v>
      </c>
      <c r="AH573" s="339">
        <f>AH301+AH302+AH303+AH304+AH305+AH306+AH307+AH308+AH309+AH310+AH311+AH312+AH313+AH314+AH315+AH316+AH317+AH318+AH319+AH320+AH321+AH322+AH323+AH324+AH325+AH326+AH327+AH328+AH329+AH330+AH331+AH332+AH333+AH334+AH335+AH336+AH337+AH338+AH339+AH340+AH341+AH342+AH343+AH344+AH346+AH347+AH348+AH349+AH350+AH351+AH352+AH353+AH354+AH355+AH356+AH357+AH358+AH359+AH360+AH361+AH362+AH363+AH364+AH365+AH366+AH367+AH368+AH369+AH370+AH371+AH372+AH373+AH374+AH375+AH376+AH377+AH378+AH379+AH380+AH381+AH382+AH383+AH384+AH385+AH386+AH387+AH388+AH389+AH390+AH391+AH392+AH393+AH394+AH395+AH396+AH397+AH398+AH399+AH400+AH401+AH402+AH403+AH404+AH405+AH406+AH407+AH408+AH409+AH410+AH411+AH412+AH413+AH414+AH415+AH416+AH417+AH420+AH421+AH422+AH423+AH424+AH425+AH426+AH427+AH428+AH429+AH430+AH431+AH432+AH433+AH434+AH435+AH436+AH437+AH438+AH439+AH440+AH441+AH442+AH443+AH444+AH445+AH446+AH447+AH448+AH450+AH449+AH451+AH452+AH453+AH454+AH455+AH456+AH457+AH458+AH459+AH460+AH461+AH462+AH463+AH464+AH465+AH466+AH467+AH468+AH469+AH470+AH471+AH472+AH473+AH474+AH475+AH476+AH477+AH478+AH479+AH480+AH481+AH482+AH483+AH484+AH485+AH486+AH487+AH488+AH489+AH490+AH491+AH492+AH493+AH494+AH495+AH496+AH497+AH498+AH499+AH500+AH501+AH502+AH503+AH504+AH505+AH506+AH507+AH508+AH509+AH510+AH511+AH512+AH513+AH514+AH515+AH516+AH517+AH518+AH519+AH520+AH521+AH522+AH523+AH524+AH525+AH526+AH527+AH528+AH529+AH530+AH531+AH532+AH533+AH534+AH535+AH536+AH537+AH538+AH539+AH540+AH541+AH542+AH543+AH544+AH545+AH546+AH547+AH548+AH549+AH550+AH551+AH552+AH553+AH554+AH555+AH556+AH557+AH558+AH559+AH560+AH561+AH562+AH563+AH564+AH565+AH566+AH567+AH568+AH569+AH571+AH418+AH570+AH572</f>
        <v>680007.60000000033</v>
      </c>
      <c r="AI573" s="339">
        <f t="shared" ref="AI573:AK573" si="111">AI301+AI302+AI303+AI304+AI305+AI306+AI307+AI308+AI309+AI310+AI311+AI312+AI313+AI314+AI315+AI316+AI317+AI318+AI319+AI320+AI321+AI322+AI323+AI324+AI325+AI326+AI327+AI328+AI329+AI330+AI331+AI332+AI333+AI334+AI335+AI336+AI337+AI338+AI339+AI340+AI341+AI342+AI343+AI344+AI346+AI347+AI348+AI349+AI350+AI351+AI352+AI353+AI354+AI355+AI356+AI357+AI358+AI359+AI360+AI361+AI362+AI363+AI364+AI365+AI366+AI367+AI368+AI369+AI370+AI371+AI372+AI373+AI374+AI375+AI376+AI377+AI378+AI379+AI380+AI381+AI382+AI383+AI384+AI385+AI386+AI387+AI388+AI389+AI390+AI391+AI392+AI393+AI394+AI395+AI396+AI397+AI398+AI399+AI400+AI401+AI402+AI403+AI404+AI405+AI406+AI407+AI408+AI409+AI410+AI411+AI412+AI413+AI414+AI415+AI416+AI417+AI420+AI421+AI422+AI423+AI424+AI425+AI426+AI427+AI428+AI429+AI430+AI431+AI432+AI433+AI434+AI435+AI436+AI437+AI438+AI439+AI440+AI441+AI442+AI443+AI444+AI445+AI446+AI447+AI448+AI450+AI449+AI451+AI452+AI453+AI454+AI455+AI456+AI457+AI458+AI459+AI460+AI461+AI462+AI463+AI464+AI465+AI466+AI467+AI468+AI469+AI470+AI471+AI472+AI473+AI474+AI475+AI476+AI477+AI478+AI479+AI480+AI481+AI482+AI483+AI484+AI485+AI486+AI487+AI488+AI489+AI490+AI491+AI492+AI493+AI494+AI495+AI496+AI497+AI498+AI499+AI500+AI501+AI502+AI503+AI504+AI505+AI506+AI507+AI508+AI509+AI510+AI511+AI512+AI513+AI514+AI515+AI516+AI517+AI518+AI519+AI520+AI521+AI522+AI523+AI524+AI525+AI526+AI527+AI528+AI529+AI530+AI531+AI532+AI533+AI534+AI535+AI536+AI537+AI538+AI539+AI540+AI541+AI542+AI543+AI544+AI545+AI546+AI547+AI548+AI549+AI550+AI551+AI552+AI553+AI554+AI555+AI556+AI557+AI558+AI559+AI560+AI561+AI562+AI563+AI564+AI565+AI566+AI567+AI568+AI569+AI571+AI418+AI570+AI572</f>
        <v>0</v>
      </c>
      <c r="AJ573" s="339">
        <f t="shared" si="111"/>
        <v>651455.75999999989</v>
      </c>
      <c r="AK573" s="339">
        <f t="shared" si="111"/>
        <v>28551.840000000007</v>
      </c>
      <c r="AL573" s="340"/>
      <c r="AM573" s="281"/>
      <c r="AN573" s="683"/>
      <c r="AO573" s="684"/>
      <c r="AP573" s="281"/>
      <c r="AQ573" s="281"/>
      <c r="AR573" s="281"/>
      <c r="AS573" s="281"/>
      <c r="AT573" s="281"/>
      <c r="AU573" s="281"/>
      <c r="AV573" s="281"/>
      <c r="AW573" s="281"/>
      <c r="AX573" s="281"/>
      <c r="AY573" s="281"/>
    </row>
    <row r="574" spans="1:51" s="286" customFormat="1" ht="41.4" customHeight="1" x14ac:dyDescent="0.25">
      <c r="A574" s="685" t="s">
        <v>1252</v>
      </c>
      <c r="B574" s="685"/>
      <c r="C574" s="685"/>
      <c r="D574" s="685"/>
      <c r="E574" s="685"/>
      <c r="F574" s="685"/>
      <c r="G574" s="685"/>
      <c r="H574" s="685"/>
      <c r="I574" s="685"/>
      <c r="J574" s="685"/>
      <c r="K574" s="685"/>
      <c r="L574" s="685"/>
      <c r="M574" s="685"/>
      <c r="N574" s="685"/>
      <c r="O574" s="685"/>
      <c r="P574" s="685"/>
      <c r="Q574" s="685"/>
      <c r="R574" s="685"/>
      <c r="S574" s="685"/>
      <c r="T574" s="685"/>
      <c r="U574" s="685"/>
      <c r="V574" s="685"/>
      <c r="W574" s="685"/>
      <c r="X574" s="685"/>
      <c r="Y574" s="685"/>
      <c r="Z574" s="685"/>
      <c r="AA574" s="685"/>
      <c r="AB574" s="685"/>
      <c r="AC574" s="685"/>
      <c r="AD574" s="685"/>
      <c r="AE574" s="685"/>
      <c r="AF574" s="685"/>
      <c r="AG574" s="685"/>
      <c r="AH574" s="685"/>
      <c r="AI574" s="685"/>
      <c r="AJ574" s="685"/>
      <c r="AK574" s="685"/>
      <c r="AL574" s="285"/>
      <c r="AM574" s="285"/>
      <c r="AN574" s="285"/>
      <c r="AO574" s="285"/>
      <c r="AP574" s="285"/>
      <c r="AQ574" s="285"/>
      <c r="AR574" s="285"/>
      <c r="AS574" s="285"/>
      <c r="AT574" s="285"/>
      <c r="AU574" s="285"/>
      <c r="AV574" s="285"/>
      <c r="AW574" s="285"/>
      <c r="AX574" s="285"/>
      <c r="AY574" s="285"/>
    </row>
    <row r="575" spans="1:51" s="275" customFormat="1" ht="33" hidden="1" customHeight="1" x14ac:dyDescent="0.25">
      <c r="A575" s="311" t="s">
        <v>1253</v>
      </c>
      <c r="B575" s="331" t="s">
        <v>1254</v>
      </c>
      <c r="C575" s="279">
        <f t="shared" ref="C575:D584" si="112">E575+I575+N575+S575+X575+AB575+AG575</f>
        <v>816.66999999999985</v>
      </c>
      <c r="D575" s="279">
        <f t="shared" si="112"/>
        <v>681414.3</v>
      </c>
      <c r="E575" s="279">
        <v>164.26</v>
      </c>
      <c r="F575" s="336">
        <f>G575+H575</f>
        <v>172443.15</v>
      </c>
      <c r="G575" s="279">
        <v>138816.74</v>
      </c>
      <c r="H575" s="279">
        <v>33626.410000000003</v>
      </c>
      <c r="I575" s="279">
        <v>176.4</v>
      </c>
      <c r="J575" s="336">
        <f>L575+M575</f>
        <v>0</v>
      </c>
      <c r="K575" s="336"/>
      <c r="L575" s="279"/>
      <c r="M575" s="279"/>
      <c r="N575" s="279"/>
      <c r="O575" s="336"/>
      <c r="P575" s="336"/>
      <c r="Q575" s="279"/>
      <c r="R575" s="279"/>
      <c r="S575" s="279"/>
      <c r="T575" s="336"/>
      <c r="U575" s="336"/>
      <c r="V575" s="279"/>
      <c r="W575" s="279"/>
      <c r="X575" s="499">
        <v>158.66999999999999</v>
      </c>
      <c r="Y575" s="359">
        <v>169657.05000000002</v>
      </c>
      <c r="Z575" s="279">
        <v>136573.92000000001</v>
      </c>
      <c r="AA575" s="279">
        <v>33083.129999999997</v>
      </c>
      <c r="AB575" s="279">
        <v>158.66999999999999</v>
      </c>
      <c r="AC575" s="336">
        <v>169657.05000000002</v>
      </c>
      <c r="AD575" s="279"/>
      <c r="AE575" s="279">
        <v>136573.92000000001</v>
      </c>
      <c r="AF575" s="279">
        <v>33083.129999999997</v>
      </c>
      <c r="AG575" s="499">
        <v>158.66999999999999</v>
      </c>
      <c r="AH575" s="336">
        <v>169657.05000000002</v>
      </c>
      <c r="AI575" s="336"/>
      <c r="AJ575" s="279">
        <v>136573.92000000001</v>
      </c>
      <c r="AK575" s="279">
        <v>33083.129999999997</v>
      </c>
      <c r="AL575" s="285"/>
    </row>
    <row r="576" spans="1:51" s="275" customFormat="1" ht="30.75" hidden="1" customHeight="1" x14ac:dyDescent="0.25">
      <c r="A576" s="311" t="s">
        <v>1255</v>
      </c>
      <c r="B576" s="331" t="s">
        <v>1256</v>
      </c>
      <c r="C576" s="279">
        <f t="shared" si="112"/>
        <v>354.85</v>
      </c>
      <c r="D576" s="279">
        <f t="shared" si="112"/>
        <v>387306.33999999997</v>
      </c>
      <c r="E576" s="279">
        <v>74.27</v>
      </c>
      <c r="F576" s="336">
        <f>G576+H576</f>
        <v>94226.59</v>
      </c>
      <c r="G576" s="279">
        <v>75852.399999999994</v>
      </c>
      <c r="H576" s="279">
        <v>18374.189999999999</v>
      </c>
      <c r="I576" s="279">
        <v>55.61</v>
      </c>
      <c r="J576" s="336">
        <f>L576+M576</f>
        <v>0</v>
      </c>
      <c r="K576" s="336"/>
      <c r="L576" s="279"/>
      <c r="M576" s="279"/>
      <c r="N576" s="279"/>
      <c r="O576" s="336"/>
      <c r="P576" s="336"/>
      <c r="Q576" s="279"/>
      <c r="R576" s="279"/>
      <c r="S576" s="279"/>
      <c r="T576" s="336"/>
      <c r="U576" s="336"/>
      <c r="V576" s="279"/>
      <c r="W576" s="279"/>
      <c r="X576" s="499">
        <v>74.989999999999995</v>
      </c>
      <c r="Y576" s="359">
        <v>97693.25</v>
      </c>
      <c r="Z576" s="279">
        <v>78643.070000000007</v>
      </c>
      <c r="AA576" s="279">
        <v>19050.18</v>
      </c>
      <c r="AB576" s="279">
        <v>74.989999999999995</v>
      </c>
      <c r="AC576" s="336">
        <v>97693.25</v>
      </c>
      <c r="AD576" s="279"/>
      <c r="AE576" s="279">
        <v>78643.070000000007</v>
      </c>
      <c r="AF576" s="279">
        <v>19050.18</v>
      </c>
      <c r="AG576" s="499">
        <v>74.989999999999995</v>
      </c>
      <c r="AH576" s="336">
        <v>97693.25</v>
      </c>
      <c r="AI576" s="336"/>
      <c r="AJ576" s="279">
        <v>78643.070000000007</v>
      </c>
      <c r="AK576" s="279">
        <v>19050.18</v>
      </c>
      <c r="AL576" s="285"/>
    </row>
    <row r="577" spans="1:51" s="275" customFormat="1" ht="36" hidden="1" customHeight="1" x14ac:dyDescent="0.25">
      <c r="A577" s="311" t="s">
        <v>1257</v>
      </c>
      <c r="B577" s="331" t="s">
        <v>1258</v>
      </c>
      <c r="C577" s="279">
        <f t="shared" si="112"/>
        <v>322.3</v>
      </c>
      <c r="D577" s="279">
        <f t="shared" si="112"/>
        <v>341866.66000000003</v>
      </c>
      <c r="E577" s="279">
        <v>68.48</v>
      </c>
      <c r="F577" s="336">
        <f>G577+H577</f>
        <v>88066.66</v>
      </c>
      <c r="G577" s="279">
        <v>70893.66</v>
      </c>
      <c r="H577" s="279">
        <v>17173</v>
      </c>
      <c r="I577" s="330">
        <v>53.39</v>
      </c>
      <c r="J577" s="336">
        <f>L577+M577</f>
        <v>0</v>
      </c>
      <c r="K577" s="336"/>
      <c r="L577" s="330"/>
      <c r="M577" s="330"/>
      <c r="N577" s="330"/>
      <c r="O577" s="336"/>
      <c r="P577" s="336"/>
      <c r="Q577" s="330"/>
      <c r="R577" s="330"/>
      <c r="S577" s="330"/>
      <c r="T577" s="336"/>
      <c r="U577" s="336"/>
      <c r="V577" s="330"/>
      <c r="W577" s="330"/>
      <c r="X577" s="495">
        <v>66.81</v>
      </c>
      <c r="Y577" s="359">
        <v>84600</v>
      </c>
      <c r="Z577" s="330">
        <v>68103</v>
      </c>
      <c r="AA577" s="330">
        <v>16497</v>
      </c>
      <c r="AB577" s="330">
        <v>66.81</v>
      </c>
      <c r="AC577" s="336">
        <v>84600</v>
      </c>
      <c r="AD577" s="279"/>
      <c r="AE577" s="330">
        <v>68103</v>
      </c>
      <c r="AF577" s="330">
        <v>16497</v>
      </c>
      <c r="AG577" s="495">
        <v>66.81</v>
      </c>
      <c r="AH577" s="336">
        <v>84600</v>
      </c>
      <c r="AI577" s="336"/>
      <c r="AJ577" s="330">
        <v>68103</v>
      </c>
      <c r="AK577" s="330">
        <v>16497</v>
      </c>
      <c r="AL577" s="285"/>
    </row>
    <row r="578" spans="1:51" s="287" customFormat="1" ht="156" customHeight="1" outlineLevel="1" x14ac:dyDescent="0.25">
      <c r="A578" s="311" t="s">
        <v>1253</v>
      </c>
      <c r="B578" s="331" t="s">
        <v>1259</v>
      </c>
      <c r="C578" s="330">
        <f t="shared" si="112"/>
        <v>1222.6409999999998</v>
      </c>
      <c r="D578" s="330">
        <f t="shared" si="112"/>
        <v>1622080.25</v>
      </c>
      <c r="E578" s="330">
        <f>SUM(E575:E577)</f>
        <v>307.01</v>
      </c>
      <c r="F578" s="332">
        <f>SUM(F575:F577)</f>
        <v>354736.4</v>
      </c>
      <c r="G578" s="330">
        <f>SUM(G575:G577)</f>
        <v>285562.8</v>
      </c>
      <c r="H578" s="330">
        <f>SUM(H575:H577)</f>
        <v>69173.600000000006</v>
      </c>
      <c r="I578" s="330">
        <f>SUM(I575:I577)</f>
        <v>285.39999999999998</v>
      </c>
      <c r="J578" s="332">
        <f>L578+M578</f>
        <v>325063.77</v>
      </c>
      <c r="K578" s="330">
        <v>0</v>
      </c>
      <c r="L578" s="330">
        <v>246398.34</v>
      </c>
      <c r="M578" s="330">
        <v>78665.429999999993</v>
      </c>
      <c r="N578" s="330">
        <v>263.8</v>
      </c>
      <c r="O578" s="332">
        <f>Q578+R578</f>
        <v>354000.8</v>
      </c>
      <c r="P578" s="330">
        <v>0</v>
      </c>
      <c r="Q578" s="330">
        <v>335236.8</v>
      </c>
      <c r="R578" s="330">
        <v>18764</v>
      </c>
      <c r="S578" s="330">
        <v>71.111000000000004</v>
      </c>
      <c r="T578" s="332">
        <f>V578+W578</f>
        <v>93549</v>
      </c>
      <c r="U578" s="330">
        <v>0</v>
      </c>
      <c r="V578" s="330">
        <v>87000</v>
      </c>
      <c r="W578" s="330">
        <v>6549</v>
      </c>
      <c r="X578" s="495">
        <v>116.97</v>
      </c>
      <c r="Y578" s="332">
        <f>Z578+AA578</f>
        <v>180403</v>
      </c>
      <c r="Z578" s="330">
        <v>171744</v>
      </c>
      <c r="AA578" s="330">
        <v>8659</v>
      </c>
      <c r="AB578" s="330">
        <v>178.35</v>
      </c>
      <c r="AC578" s="332">
        <f>AE578+AF578</f>
        <v>300420.2</v>
      </c>
      <c r="AD578" s="330">
        <v>0</v>
      </c>
      <c r="AE578" s="330">
        <v>286000</v>
      </c>
      <c r="AF578" s="330">
        <v>14420.2</v>
      </c>
      <c r="AG578" s="495">
        <v>0</v>
      </c>
      <c r="AH578" s="332">
        <f>AI578+AJ578+AK578</f>
        <v>13907.08</v>
      </c>
      <c r="AI578" s="330">
        <v>0</v>
      </c>
      <c r="AJ578" s="330">
        <v>13336.89</v>
      </c>
      <c r="AK578" s="330">
        <v>570.19000000000005</v>
      </c>
      <c r="AL578" s="340"/>
      <c r="AM578" s="281"/>
      <c r="AN578" s="281"/>
      <c r="AO578" s="281"/>
      <c r="AP578" s="281"/>
      <c r="AQ578" s="281"/>
      <c r="AR578" s="281"/>
      <c r="AS578" s="281"/>
      <c r="AT578" s="281"/>
      <c r="AU578" s="281"/>
      <c r="AV578" s="281"/>
      <c r="AW578" s="281"/>
      <c r="AX578" s="281"/>
      <c r="AY578" s="281"/>
    </row>
    <row r="579" spans="1:51" s="288" customFormat="1" ht="145.94999999999999" customHeight="1" outlineLevel="1" x14ac:dyDescent="0.25">
      <c r="A579" s="311" t="s">
        <v>1255</v>
      </c>
      <c r="B579" s="331" t="s">
        <v>1260</v>
      </c>
      <c r="C579" s="330">
        <f>E579+I579+N579+S579+X579+AB579+AG579</f>
        <v>0</v>
      </c>
      <c r="D579" s="330">
        <f t="shared" si="112"/>
        <v>22073.23</v>
      </c>
      <c r="E579" s="330">
        <v>0</v>
      </c>
      <c r="F579" s="332">
        <v>0</v>
      </c>
      <c r="G579" s="330">
        <v>0</v>
      </c>
      <c r="H579" s="330">
        <v>0</v>
      </c>
      <c r="I579" s="330">
        <v>0</v>
      </c>
      <c r="J579" s="332">
        <f>L579+M579</f>
        <v>22073.23</v>
      </c>
      <c r="K579" s="330">
        <v>0</v>
      </c>
      <c r="L579" s="330">
        <v>20382.03</v>
      </c>
      <c r="M579" s="330">
        <v>1691.2</v>
      </c>
      <c r="N579" s="330">
        <v>0</v>
      </c>
      <c r="O579" s="332">
        <v>0</v>
      </c>
      <c r="P579" s="330">
        <v>0</v>
      </c>
      <c r="Q579" s="330">
        <v>0</v>
      </c>
      <c r="R579" s="330">
        <v>0</v>
      </c>
      <c r="S579" s="330">
        <v>0</v>
      </c>
      <c r="T579" s="332">
        <v>0</v>
      </c>
      <c r="U579" s="330">
        <v>0</v>
      </c>
      <c r="V579" s="330">
        <v>0</v>
      </c>
      <c r="W579" s="330">
        <v>0</v>
      </c>
      <c r="X579" s="495">
        <v>0</v>
      </c>
      <c r="Y579" s="332">
        <f>Z579+AA579</f>
        <v>0</v>
      </c>
      <c r="Z579" s="330">
        <v>0</v>
      </c>
      <c r="AA579" s="330">
        <v>0</v>
      </c>
      <c r="AB579" s="330">
        <v>0</v>
      </c>
      <c r="AC579" s="332">
        <f>AF579</f>
        <v>0</v>
      </c>
      <c r="AD579" s="330">
        <v>0</v>
      </c>
      <c r="AE579" s="330">
        <v>0</v>
      </c>
      <c r="AF579" s="330">
        <v>0</v>
      </c>
      <c r="AG579" s="495">
        <v>0</v>
      </c>
      <c r="AH579" s="332">
        <v>0</v>
      </c>
      <c r="AI579" s="330">
        <v>0</v>
      </c>
      <c r="AJ579" s="330">
        <v>0</v>
      </c>
      <c r="AK579" s="330">
        <v>0</v>
      </c>
      <c r="AL579" s="316"/>
      <c r="AM579" s="267"/>
      <c r="AN579" s="267"/>
      <c r="AO579" s="267"/>
      <c r="AP579" s="267"/>
      <c r="AQ579" s="267"/>
      <c r="AR579" s="267"/>
      <c r="AS579" s="267"/>
      <c r="AT579" s="267"/>
      <c r="AU579" s="267"/>
      <c r="AV579" s="267"/>
      <c r="AW579" s="267"/>
      <c r="AX579" s="267"/>
      <c r="AY579" s="267"/>
    </row>
    <row r="580" spans="1:51" s="288" customFormat="1" ht="174.6" customHeight="1" outlineLevel="1" x14ac:dyDescent="0.25">
      <c r="A580" s="311" t="s">
        <v>1257</v>
      </c>
      <c r="B580" s="331" t="s">
        <v>1468</v>
      </c>
      <c r="C580" s="330">
        <f t="shared" si="112"/>
        <v>104.55</v>
      </c>
      <c r="D580" s="330">
        <f t="shared" si="112"/>
        <v>170435.28</v>
      </c>
      <c r="E580" s="330">
        <v>0</v>
      </c>
      <c r="F580" s="332">
        <v>0</v>
      </c>
      <c r="G580" s="330">
        <v>0</v>
      </c>
      <c r="H580" s="330">
        <v>0</v>
      </c>
      <c r="I580" s="330">
        <v>0</v>
      </c>
      <c r="J580" s="332">
        <v>0</v>
      </c>
      <c r="K580" s="330">
        <v>0</v>
      </c>
      <c r="L580" s="330">
        <v>0</v>
      </c>
      <c r="M580" s="330">
        <v>0</v>
      </c>
      <c r="N580" s="330">
        <v>0</v>
      </c>
      <c r="O580" s="332">
        <v>0</v>
      </c>
      <c r="P580" s="330">
        <v>0</v>
      </c>
      <c r="Q580" s="330">
        <v>0</v>
      </c>
      <c r="R580" s="330">
        <v>0</v>
      </c>
      <c r="S580" s="330">
        <v>0</v>
      </c>
      <c r="T580" s="332">
        <v>0</v>
      </c>
      <c r="U580" s="330">
        <v>0</v>
      </c>
      <c r="V580" s="330">
        <v>0</v>
      </c>
      <c r="W580" s="330">
        <v>0</v>
      </c>
      <c r="X580" s="495">
        <v>0</v>
      </c>
      <c r="Y580" s="332">
        <v>0</v>
      </c>
      <c r="Z580" s="330">
        <v>0</v>
      </c>
      <c r="AA580" s="330">
        <v>0</v>
      </c>
      <c r="AB580" s="330">
        <v>0</v>
      </c>
      <c r="AC580" s="332">
        <v>0</v>
      </c>
      <c r="AD580" s="330">
        <v>0</v>
      </c>
      <c r="AE580" s="330">
        <v>0</v>
      </c>
      <c r="AF580" s="330">
        <v>0</v>
      </c>
      <c r="AG580" s="495">
        <v>104.55</v>
      </c>
      <c r="AH580" s="332">
        <f>AI580+AJ580+AK580</f>
        <v>170435.28</v>
      </c>
      <c r="AI580" s="330">
        <v>0</v>
      </c>
      <c r="AJ580" s="330">
        <v>163447.43</v>
      </c>
      <c r="AK580" s="330">
        <v>6987.85</v>
      </c>
      <c r="AL580" s="316">
        <v>123264.9</v>
      </c>
      <c r="AM580" s="267"/>
      <c r="AN580" s="267"/>
      <c r="AO580" s="267"/>
      <c r="AP580" s="267"/>
      <c r="AQ580" s="267"/>
      <c r="AR580" s="267"/>
      <c r="AS580" s="267"/>
      <c r="AT580" s="267"/>
      <c r="AU580" s="267"/>
      <c r="AV580" s="267"/>
      <c r="AW580" s="267"/>
      <c r="AX580" s="267"/>
      <c r="AY580" s="267"/>
    </row>
    <row r="581" spans="1:51" s="288" customFormat="1" ht="165" customHeight="1" outlineLevel="1" x14ac:dyDescent="0.25">
      <c r="A581" s="311" t="s">
        <v>1261</v>
      </c>
      <c r="B581" s="331" t="s">
        <v>1469</v>
      </c>
      <c r="C581" s="330">
        <f t="shared" si="112"/>
        <v>39.58</v>
      </c>
      <c r="D581" s="330">
        <f t="shared" si="112"/>
        <v>67390.23000000001</v>
      </c>
      <c r="E581" s="330">
        <v>0</v>
      </c>
      <c r="F581" s="332">
        <v>0</v>
      </c>
      <c r="G581" s="330">
        <v>0</v>
      </c>
      <c r="H581" s="330">
        <v>0</v>
      </c>
      <c r="I581" s="330">
        <v>0</v>
      </c>
      <c r="J581" s="332">
        <v>0</v>
      </c>
      <c r="K581" s="330">
        <v>0</v>
      </c>
      <c r="L581" s="330">
        <v>0</v>
      </c>
      <c r="M581" s="330">
        <v>0</v>
      </c>
      <c r="N581" s="330">
        <v>0</v>
      </c>
      <c r="O581" s="332">
        <v>0</v>
      </c>
      <c r="P581" s="330">
        <v>0</v>
      </c>
      <c r="Q581" s="330">
        <v>0</v>
      </c>
      <c r="R581" s="330">
        <v>0</v>
      </c>
      <c r="S581" s="330">
        <v>0</v>
      </c>
      <c r="T581" s="332">
        <v>0</v>
      </c>
      <c r="U581" s="330">
        <v>0</v>
      </c>
      <c r="V581" s="330">
        <v>0</v>
      </c>
      <c r="W581" s="330">
        <v>0</v>
      </c>
      <c r="X581" s="495">
        <v>0</v>
      </c>
      <c r="Y581" s="332">
        <v>0</v>
      </c>
      <c r="Z581" s="330">
        <v>0</v>
      </c>
      <c r="AA581" s="330">
        <v>0</v>
      </c>
      <c r="AB581" s="330">
        <v>0</v>
      </c>
      <c r="AC581" s="332">
        <v>0</v>
      </c>
      <c r="AD581" s="330">
        <v>0</v>
      </c>
      <c r="AE581" s="330">
        <v>0</v>
      </c>
      <c r="AF581" s="330">
        <v>0</v>
      </c>
      <c r="AG581" s="495">
        <v>39.58</v>
      </c>
      <c r="AH581" s="332">
        <f>AI581+AJ581+AK581</f>
        <v>67390.23000000001</v>
      </c>
      <c r="AI581" s="330">
        <v>0</v>
      </c>
      <c r="AJ581" s="330">
        <v>64627.23</v>
      </c>
      <c r="AK581" s="330">
        <v>2763</v>
      </c>
      <c r="AL581" s="316">
        <v>74591.710000000006</v>
      </c>
      <c r="AM581" s="267"/>
      <c r="AN581" s="267"/>
      <c r="AO581" s="267"/>
      <c r="AP581" s="267"/>
      <c r="AQ581" s="267"/>
      <c r="AR581" s="267"/>
      <c r="AS581" s="267"/>
      <c r="AT581" s="267"/>
      <c r="AU581" s="267"/>
      <c r="AV581" s="267"/>
      <c r="AW581" s="267"/>
      <c r="AX581" s="267"/>
      <c r="AY581" s="267"/>
    </row>
    <row r="582" spans="1:51" s="288" customFormat="1" ht="171" customHeight="1" outlineLevel="1" x14ac:dyDescent="0.25">
      <c r="A582" s="311" t="s">
        <v>1262</v>
      </c>
      <c r="B582" s="331" t="s">
        <v>1470</v>
      </c>
      <c r="C582" s="330">
        <f t="shared" si="112"/>
        <v>26.15</v>
      </c>
      <c r="D582" s="330">
        <f t="shared" si="112"/>
        <v>48267.42</v>
      </c>
      <c r="E582" s="330">
        <v>0</v>
      </c>
      <c r="F582" s="332">
        <v>0</v>
      </c>
      <c r="G582" s="330">
        <v>0</v>
      </c>
      <c r="H582" s="330">
        <v>0</v>
      </c>
      <c r="I582" s="330">
        <v>0</v>
      </c>
      <c r="J582" s="332">
        <v>0</v>
      </c>
      <c r="K582" s="330">
        <v>0</v>
      </c>
      <c r="L582" s="330">
        <v>0</v>
      </c>
      <c r="M582" s="330">
        <v>0</v>
      </c>
      <c r="N582" s="330">
        <v>0</v>
      </c>
      <c r="O582" s="332">
        <v>0</v>
      </c>
      <c r="P582" s="330">
        <v>0</v>
      </c>
      <c r="Q582" s="330">
        <v>0</v>
      </c>
      <c r="R582" s="330">
        <v>0</v>
      </c>
      <c r="S582" s="330">
        <v>0</v>
      </c>
      <c r="T582" s="332">
        <v>0</v>
      </c>
      <c r="U582" s="330">
        <v>0</v>
      </c>
      <c r="V582" s="330">
        <v>0</v>
      </c>
      <c r="W582" s="330">
        <v>0</v>
      </c>
      <c r="X582" s="495">
        <v>0</v>
      </c>
      <c r="Y582" s="332">
        <v>0</v>
      </c>
      <c r="Z582" s="330">
        <v>0</v>
      </c>
      <c r="AA582" s="330">
        <v>0</v>
      </c>
      <c r="AB582" s="330">
        <v>0</v>
      </c>
      <c r="AC582" s="332">
        <v>0</v>
      </c>
      <c r="AD582" s="330">
        <v>0</v>
      </c>
      <c r="AE582" s="330">
        <v>0</v>
      </c>
      <c r="AF582" s="330">
        <v>0</v>
      </c>
      <c r="AG582" s="495">
        <v>26.15</v>
      </c>
      <c r="AH582" s="332">
        <f>AI582+AJ582+AK582</f>
        <v>48267.42</v>
      </c>
      <c r="AI582" s="330">
        <v>0</v>
      </c>
      <c r="AJ582" s="330">
        <v>46288.46</v>
      </c>
      <c r="AK582" s="330">
        <v>1978.96</v>
      </c>
      <c r="AL582" s="316">
        <v>50255.1</v>
      </c>
      <c r="AM582" s="267"/>
      <c r="AN582" s="267"/>
      <c r="AO582" s="267"/>
      <c r="AP582" s="267"/>
      <c r="AQ582" s="267"/>
      <c r="AR582" s="267"/>
      <c r="AS582" s="267"/>
      <c r="AT582" s="267"/>
      <c r="AU582" s="267"/>
      <c r="AV582" s="267"/>
      <c r="AW582" s="267"/>
      <c r="AX582" s="267"/>
      <c r="AY582" s="267"/>
    </row>
    <row r="583" spans="1:51" s="290" customFormat="1" ht="308.39999999999998" customHeight="1" outlineLevel="1" x14ac:dyDescent="0.25">
      <c r="A583" s="311" t="s">
        <v>1263</v>
      </c>
      <c r="B583" s="331" t="s">
        <v>1264</v>
      </c>
      <c r="C583" s="330">
        <v>0</v>
      </c>
      <c r="D583" s="330">
        <f t="shared" si="112"/>
        <v>3629.4</v>
      </c>
      <c r="E583" s="330">
        <v>0</v>
      </c>
      <c r="F583" s="332">
        <v>0</v>
      </c>
      <c r="G583" s="330">
        <v>0</v>
      </c>
      <c r="H583" s="330">
        <v>0</v>
      </c>
      <c r="I583" s="330">
        <v>0</v>
      </c>
      <c r="J583" s="332">
        <v>0</v>
      </c>
      <c r="K583" s="330">
        <v>0</v>
      </c>
      <c r="L583" s="330">
        <v>0</v>
      </c>
      <c r="M583" s="330">
        <v>0</v>
      </c>
      <c r="N583" s="330">
        <v>0</v>
      </c>
      <c r="O583" s="332">
        <v>0</v>
      </c>
      <c r="P583" s="330">
        <v>0</v>
      </c>
      <c r="Q583" s="330">
        <v>0</v>
      </c>
      <c r="R583" s="330">
        <v>0</v>
      </c>
      <c r="S583" s="330">
        <v>0</v>
      </c>
      <c r="T583" s="332">
        <v>424</v>
      </c>
      <c r="U583" s="330">
        <v>0</v>
      </c>
      <c r="V583" s="330">
        <v>0</v>
      </c>
      <c r="W583" s="330">
        <v>424</v>
      </c>
      <c r="X583" s="495">
        <v>0</v>
      </c>
      <c r="Y583" s="332">
        <f>AA583</f>
        <v>885</v>
      </c>
      <c r="Z583" s="330">
        <v>0</v>
      </c>
      <c r="AA583" s="330">
        <v>885</v>
      </c>
      <c r="AB583" s="330">
        <v>0</v>
      </c>
      <c r="AC583" s="332">
        <f>AF583</f>
        <v>2019.3</v>
      </c>
      <c r="AD583" s="330">
        <v>0</v>
      </c>
      <c r="AE583" s="330">
        <v>0</v>
      </c>
      <c r="AF583" s="330">
        <v>2019.3</v>
      </c>
      <c r="AG583" s="495">
        <v>0</v>
      </c>
      <c r="AH583" s="332">
        <f>AK583</f>
        <v>301.10000000000002</v>
      </c>
      <c r="AI583" s="330">
        <v>0</v>
      </c>
      <c r="AJ583" s="330">
        <v>0</v>
      </c>
      <c r="AK583" s="395">
        <f>301.1</f>
        <v>301.10000000000002</v>
      </c>
      <c r="AL583" s="360"/>
      <c r="AM583" s="289"/>
      <c r="AN583" s="289"/>
      <c r="AO583" s="289"/>
      <c r="AP583" s="289"/>
      <c r="AQ583" s="289"/>
      <c r="AR583" s="289"/>
      <c r="AS583" s="289"/>
      <c r="AT583" s="289"/>
      <c r="AU583" s="289"/>
      <c r="AV583" s="289"/>
      <c r="AW583" s="289"/>
      <c r="AX583" s="289"/>
      <c r="AY583" s="289"/>
    </row>
    <row r="584" spans="1:51" s="292" customFormat="1" ht="54" customHeight="1" outlineLevel="1" x14ac:dyDescent="0.25">
      <c r="A584" s="311" t="s">
        <v>1265</v>
      </c>
      <c r="B584" s="331" t="s">
        <v>1295</v>
      </c>
      <c r="C584" s="330">
        <v>0</v>
      </c>
      <c r="D584" s="330">
        <f t="shared" si="112"/>
        <v>164975</v>
      </c>
      <c r="E584" s="330">
        <v>0</v>
      </c>
      <c r="F584" s="332">
        <v>0</v>
      </c>
      <c r="G584" s="330">
        <v>0</v>
      </c>
      <c r="H584" s="330">
        <v>0</v>
      </c>
      <c r="I584" s="330">
        <v>0</v>
      </c>
      <c r="J584" s="332">
        <v>0</v>
      </c>
      <c r="K584" s="330">
        <v>0</v>
      </c>
      <c r="L584" s="330">
        <v>0</v>
      </c>
      <c r="M584" s="330">
        <v>0</v>
      </c>
      <c r="N584" s="330">
        <v>0</v>
      </c>
      <c r="O584" s="332">
        <v>0</v>
      </c>
      <c r="P584" s="330">
        <v>0</v>
      </c>
      <c r="Q584" s="330">
        <v>0</v>
      </c>
      <c r="R584" s="330">
        <v>0</v>
      </c>
      <c r="S584" s="330">
        <v>0</v>
      </c>
      <c r="T584" s="332">
        <v>0</v>
      </c>
      <c r="U584" s="330">
        <v>0</v>
      </c>
      <c r="V584" s="330">
        <v>0</v>
      </c>
      <c r="W584" s="330">
        <v>0</v>
      </c>
      <c r="X584" s="495">
        <v>0</v>
      </c>
      <c r="Y584" s="332">
        <f>Z584+AA584</f>
        <v>164975</v>
      </c>
      <c r="Z584" s="330">
        <v>157056.29999999999</v>
      </c>
      <c r="AA584" s="330">
        <v>7918.7</v>
      </c>
      <c r="AB584" s="330">
        <v>0</v>
      </c>
      <c r="AC584" s="332">
        <v>0</v>
      </c>
      <c r="AD584" s="330">
        <v>0</v>
      </c>
      <c r="AE584" s="330">
        <v>0</v>
      </c>
      <c r="AF584" s="330">
        <v>0</v>
      </c>
      <c r="AG584" s="495">
        <v>0</v>
      </c>
      <c r="AH584" s="332">
        <v>0</v>
      </c>
      <c r="AI584" s="330">
        <v>0</v>
      </c>
      <c r="AJ584" s="330">
        <v>0</v>
      </c>
      <c r="AK584" s="330">
        <v>0</v>
      </c>
      <c r="AL584" s="361"/>
      <c r="AM584" s="291"/>
      <c r="AN584" s="291"/>
      <c r="AO584" s="291"/>
      <c r="AP584" s="291"/>
      <c r="AQ584" s="291"/>
      <c r="AR584" s="291"/>
      <c r="AS584" s="291"/>
      <c r="AT584" s="291"/>
      <c r="AU584" s="291"/>
      <c r="AV584" s="291"/>
      <c r="AW584" s="291"/>
      <c r="AX584" s="291"/>
      <c r="AY584" s="291"/>
    </row>
    <row r="585" spans="1:51" s="293" customFormat="1" ht="132" customHeight="1" x14ac:dyDescent="0.25">
      <c r="A585" s="362"/>
      <c r="B585" s="363" t="s">
        <v>1378</v>
      </c>
      <c r="C585" s="364">
        <f>C578+C579+C580+C581+C582+C583+C584</f>
        <v>1392.9209999999998</v>
      </c>
      <c r="D585" s="364">
        <f t="shared" ref="D585:AK585" si="113">D578+D579+D580+D581+D582+D583</f>
        <v>1933875.8099999998</v>
      </c>
      <c r="E585" s="364">
        <f t="shared" si="113"/>
        <v>307.01</v>
      </c>
      <c r="F585" s="364">
        <f t="shared" si="113"/>
        <v>354736.4</v>
      </c>
      <c r="G585" s="364">
        <f t="shared" si="113"/>
        <v>285562.8</v>
      </c>
      <c r="H585" s="364">
        <f t="shared" si="113"/>
        <v>69173.600000000006</v>
      </c>
      <c r="I585" s="364">
        <f t="shared" si="113"/>
        <v>285.39999999999998</v>
      </c>
      <c r="J585" s="364">
        <f t="shared" si="113"/>
        <v>347137</v>
      </c>
      <c r="K585" s="364">
        <f t="shared" si="113"/>
        <v>0</v>
      </c>
      <c r="L585" s="364">
        <f t="shared" si="113"/>
        <v>266780.37</v>
      </c>
      <c r="M585" s="364">
        <f t="shared" si="113"/>
        <v>80356.62999999999</v>
      </c>
      <c r="N585" s="364">
        <f t="shared" si="113"/>
        <v>263.8</v>
      </c>
      <c r="O585" s="364">
        <f t="shared" si="113"/>
        <v>354000.8</v>
      </c>
      <c r="P585" s="364">
        <f t="shared" si="113"/>
        <v>0</v>
      </c>
      <c r="Q585" s="364">
        <f t="shared" si="113"/>
        <v>335236.8</v>
      </c>
      <c r="R585" s="364">
        <f t="shared" si="113"/>
        <v>18764</v>
      </c>
      <c r="S585" s="364">
        <f t="shared" si="113"/>
        <v>71.111000000000004</v>
      </c>
      <c r="T585" s="364">
        <f t="shared" si="113"/>
        <v>93973</v>
      </c>
      <c r="U585" s="364">
        <f t="shared" si="113"/>
        <v>0</v>
      </c>
      <c r="V585" s="364">
        <f t="shared" si="113"/>
        <v>87000</v>
      </c>
      <c r="W585" s="364">
        <f t="shared" si="113"/>
        <v>6973</v>
      </c>
      <c r="X585" s="521">
        <f t="shared" si="113"/>
        <v>116.97</v>
      </c>
      <c r="Y585" s="364">
        <f t="shared" si="113"/>
        <v>181288</v>
      </c>
      <c r="Z585" s="364">
        <f t="shared" si="113"/>
        <v>171744</v>
      </c>
      <c r="AA585" s="364">
        <f t="shared" si="113"/>
        <v>9544</v>
      </c>
      <c r="AB585" s="364">
        <f t="shared" si="113"/>
        <v>178.35</v>
      </c>
      <c r="AC585" s="364">
        <f t="shared" si="113"/>
        <v>302439.5</v>
      </c>
      <c r="AD585" s="364">
        <f t="shared" si="113"/>
        <v>0</v>
      </c>
      <c r="AE585" s="364">
        <f t="shared" si="113"/>
        <v>286000</v>
      </c>
      <c r="AF585" s="364">
        <f t="shared" si="113"/>
        <v>16439.5</v>
      </c>
      <c r="AG585" s="521">
        <f t="shared" si="113"/>
        <v>170.28</v>
      </c>
      <c r="AH585" s="364">
        <f>AH578+AH579+AH580+AH581+AH582+AH583</f>
        <v>300301.11</v>
      </c>
      <c r="AI585" s="364">
        <f t="shared" si="113"/>
        <v>0</v>
      </c>
      <c r="AJ585" s="364">
        <f t="shared" si="113"/>
        <v>287700.01</v>
      </c>
      <c r="AK585" s="364">
        <f t="shared" si="113"/>
        <v>12601.1</v>
      </c>
      <c r="AL585" s="340"/>
      <c r="AM585" s="281"/>
      <c r="AN585" s="281"/>
      <c r="AO585" s="281"/>
      <c r="AP585" s="281"/>
      <c r="AQ585" s="281"/>
      <c r="AR585" s="281"/>
      <c r="AS585" s="281"/>
      <c r="AT585" s="281"/>
      <c r="AU585" s="281"/>
      <c r="AV585" s="281"/>
      <c r="AW585" s="281"/>
      <c r="AX585" s="281"/>
      <c r="AY585" s="281"/>
    </row>
    <row r="586" spans="1:51" s="407" customFormat="1" ht="57.6" customHeight="1" x14ac:dyDescent="0.25">
      <c r="A586" s="393"/>
      <c r="B586" s="404" t="s">
        <v>1295</v>
      </c>
      <c r="C586" s="405">
        <f>C584</f>
        <v>0</v>
      </c>
      <c r="D586" s="405">
        <f t="shared" ref="D586:AK586" si="114">D584</f>
        <v>164975</v>
      </c>
      <c r="E586" s="405">
        <f t="shared" si="114"/>
        <v>0</v>
      </c>
      <c r="F586" s="405">
        <f t="shared" si="114"/>
        <v>0</v>
      </c>
      <c r="G586" s="405">
        <f t="shared" si="114"/>
        <v>0</v>
      </c>
      <c r="H586" s="405">
        <f t="shared" si="114"/>
        <v>0</v>
      </c>
      <c r="I586" s="405">
        <f t="shared" si="114"/>
        <v>0</v>
      </c>
      <c r="J586" s="405">
        <f t="shared" si="114"/>
        <v>0</v>
      </c>
      <c r="K586" s="405">
        <f t="shared" si="114"/>
        <v>0</v>
      </c>
      <c r="L586" s="405">
        <f t="shared" si="114"/>
        <v>0</v>
      </c>
      <c r="M586" s="405">
        <f t="shared" si="114"/>
        <v>0</v>
      </c>
      <c r="N586" s="405">
        <f t="shared" si="114"/>
        <v>0</v>
      </c>
      <c r="O586" s="405">
        <f t="shared" si="114"/>
        <v>0</v>
      </c>
      <c r="P586" s="405">
        <f t="shared" si="114"/>
        <v>0</v>
      </c>
      <c r="Q586" s="405">
        <f t="shared" si="114"/>
        <v>0</v>
      </c>
      <c r="R586" s="405">
        <f t="shared" si="114"/>
        <v>0</v>
      </c>
      <c r="S586" s="405">
        <f t="shared" si="114"/>
        <v>0</v>
      </c>
      <c r="T586" s="405">
        <f t="shared" si="114"/>
        <v>0</v>
      </c>
      <c r="U586" s="405">
        <f t="shared" si="114"/>
        <v>0</v>
      </c>
      <c r="V586" s="405">
        <f t="shared" si="114"/>
        <v>0</v>
      </c>
      <c r="W586" s="405">
        <f t="shared" si="114"/>
        <v>0</v>
      </c>
      <c r="X586" s="522">
        <f t="shared" si="114"/>
        <v>0</v>
      </c>
      <c r="Y586" s="405">
        <f t="shared" si="114"/>
        <v>164975</v>
      </c>
      <c r="Z586" s="405">
        <f t="shared" si="114"/>
        <v>157056.29999999999</v>
      </c>
      <c r="AA586" s="405">
        <f t="shared" si="114"/>
        <v>7918.7</v>
      </c>
      <c r="AB586" s="405">
        <f t="shared" si="114"/>
        <v>0</v>
      </c>
      <c r="AC586" s="405">
        <f t="shared" si="114"/>
        <v>0</v>
      </c>
      <c r="AD586" s="405">
        <f t="shared" si="114"/>
        <v>0</v>
      </c>
      <c r="AE586" s="405">
        <f t="shared" si="114"/>
        <v>0</v>
      </c>
      <c r="AF586" s="405">
        <f t="shared" si="114"/>
        <v>0</v>
      </c>
      <c r="AG586" s="522">
        <f t="shared" si="114"/>
        <v>0</v>
      </c>
      <c r="AH586" s="405">
        <f t="shared" si="114"/>
        <v>0</v>
      </c>
      <c r="AI586" s="405">
        <f t="shared" si="114"/>
        <v>0</v>
      </c>
      <c r="AJ586" s="405">
        <f t="shared" si="114"/>
        <v>0</v>
      </c>
      <c r="AK586" s="405">
        <f t="shared" si="114"/>
        <v>0</v>
      </c>
      <c r="AL586" s="406"/>
    </row>
    <row r="587" spans="1:51" s="294" customFormat="1" ht="80.400000000000006" customHeight="1" x14ac:dyDescent="0.25">
      <c r="A587" s="365"/>
      <c r="B587" s="366" t="s">
        <v>1379</v>
      </c>
      <c r="C587" s="367"/>
      <c r="D587" s="368">
        <f>D136+D223+D269+D299+D573+D585</f>
        <v>8635136.4841600005</v>
      </c>
      <c r="E587" s="368">
        <f>E136+E223+E269+E299+E573+E585</f>
        <v>827.20200000000011</v>
      </c>
      <c r="F587" s="368">
        <f>F136+F223+F269+F299+F573+F585+0.1</f>
        <v>1215736.4300000002</v>
      </c>
      <c r="G587" s="368">
        <f t="shared" ref="G587:AG587" si="115">G136+G223+G269+G299+G573+G585</f>
        <v>1043435.69</v>
      </c>
      <c r="H587" s="368">
        <f t="shared" si="115"/>
        <v>172300.64</v>
      </c>
      <c r="I587" s="368">
        <f t="shared" si="115"/>
        <v>524.62</v>
      </c>
      <c r="J587" s="368">
        <f t="shared" si="115"/>
        <v>1106389.094</v>
      </c>
      <c r="K587" s="368">
        <f t="shared" si="115"/>
        <v>154390.79</v>
      </c>
      <c r="L587" s="368">
        <f t="shared" si="115"/>
        <v>780209.68</v>
      </c>
      <c r="M587" s="368">
        <f t="shared" si="115"/>
        <v>171788.62400000001</v>
      </c>
      <c r="N587" s="368">
        <f t="shared" si="115"/>
        <v>955.91300000000001</v>
      </c>
      <c r="O587" s="368">
        <f t="shared" si="115"/>
        <v>1447833.5900000003</v>
      </c>
      <c r="P587" s="368">
        <f t="shared" si="115"/>
        <v>249999.99999999997</v>
      </c>
      <c r="Q587" s="368">
        <f t="shared" si="115"/>
        <v>1081470.4938699999</v>
      </c>
      <c r="R587" s="368">
        <f t="shared" si="115"/>
        <v>116363.09612999999</v>
      </c>
      <c r="S587" s="368">
        <f t="shared" si="115"/>
        <v>900.27299999999991</v>
      </c>
      <c r="T587" s="368">
        <f t="shared" si="115"/>
        <v>1384569.9900000005</v>
      </c>
      <c r="U587" s="368">
        <f t="shared" si="115"/>
        <v>919118.99537000025</v>
      </c>
      <c r="V587" s="368">
        <f t="shared" si="115"/>
        <v>347728.99923000002</v>
      </c>
      <c r="W587" s="368">
        <f t="shared" si="115"/>
        <v>117721.99540000004</v>
      </c>
      <c r="X587" s="523">
        <f t="shared" si="115"/>
        <v>439.75</v>
      </c>
      <c r="Y587" s="368">
        <f t="shared" si="115"/>
        <v>893544.5</v>
      </c>
      <c r="Z587" s="368">
        <f t="shared" si="115"/>
        <v>830206</v>
      </c>
      <c r="AA587" s="368">
        <f t="shared" si="115"/>
        <v>63338.5</v>
      </c>
      <c r="AB587" s="368">
        <f t="shared" si="115"/>
        <v>435.88</v>
      </c>
      <c r="AC587" s="368">
        <f t="shared" si="115"/>
        <v>1220708.2301599998</v>
      </c>
      <c r="AD587" s="368">
        <f t="shared" si="115"/>
        <v>200000</v>
      </c>
      <c r="AE587" s="368">
        <f t="shared" si="115"/>
        <v>952400.00015999982</v>
      </c>
      <c r="AF587" s="368">
        <f t="shared" si="115"/>
        <v>68308.23</v>
      </c>
      <c r="AG587" s="523">
        <f t="shared" si="115"/>
        <v>444.25300000000004</v>
      </c>
      <c r="AH587" s="368">
        <f>AH136+AH223+AH269+AH299+AH573+AH585-0.2</f>
        <v>1366354.6500000001</v>
      </c>
      <c r="AI587" s="368">
        <f>AI136+AI223+AI269+AI299+AI573+AI585-0.1</f>
        <v>140374.04999999999</v>
      </c>
      <c r="AJ587" s="368">
        <f>AJ136+AJ223+AJ269+AJ299+AJ573+AJ585+0.1</f>
        <v>1149361.92</v>
      </c>
      <c r="AK587" s="368">
        <f>AK136+AK223+AK269+AK299+AK573+AK585-0.2</f>
        <v>76618.680000000022</v>
      </c>
      <c r="AL587" s="285"/>
      <c r="AM587" s="205"/>
      <c r="AN587" s="205"/>
      <c r="AO587" s="205"/>
      <c r="AP587" s="205"/>
      <c r="AQ587" s="205"/>
      <c r="AR587" s="205"/>
      <c r="AS587" s="205"/>
      <c r="AT587" s="205"/>
      <c r="AU587" s="205"/>
      <c r="AV587" s="205"/>
      <c r="AW587" s="205"/>
      <c r="AX587" s="205"/>
      <c r="AY587" s="205"/>
    </row>
    <row r="588" spans="1:51" s="205" customFormat="1" ht="58.2" customHeight="1" x14ac:dyDescent="0.25">
      <c r="A588" s="369"/>
      <c r="B588" s="363" t="s">
        <v>1295</v>
      </c>
      <c r="C588" s="370"/>
      <c r="D588" s="371">
        <f>D137+D270+D586</f>
        <v>219724.49</v>
      </c>
      <c r="E588" s="371">
        <f t="shared" ref="E588:AG588" si="116">E137+E270+E586</f>
        <v>0</v>
      </c>
      <c r="F588" s="371">
        <f t="shared" si="116"/>
        <v>0</v>
      </c>
      <c r="G588" s="371">
        <f t="shared" si="116"/>
        <v>0</v>
      </c>
      <c r="H588" s="371">
        <f t="shared" si="116"/>
        <v>0</v>
      </c>
      <c r="I588" s="371">
        <f t="shared" si="116"/>
        <v>0</v>
      </c>
      <c r="J588" s="371">
        <f t="shared" si="116"/>
        <v>0</v>
      </c>
      <c r="K588" s="371">
        <f t="shared" si="116"/>
        <v>0</v>
      </c>
      <c r="L588" s="371">
        <f t="shared" si="116"/>
        <v>0</v>
      </c>
      <c r="M588" s="371">
        <f t="shared" si="116"/>
        <v>0</v>
      </c>
      <c r="N588" s="371">
        <f t="shared" si="116"/>
        <v>0</v>
      </c>
      <c r="O588" s="371">
        <f t="shared" si="116"/>
        <v>18939.420000000002</v>
      </c>
      <c r="P588" s="371">
        <f t="shared" si="116"/>
        <v>0</v>
      </c>
      <c r="Q588" s="371">
        <f t="shared" si="116"/>
        <v>18823</v>
      </c>
      <c r="R588" s="371">
        <f t="shared" si="116"/>
        <v>116.41999999999999</v>
      </c>
      <c r="S588" s="371">
        <f t="shared" si="116"/>
        <v>0</v>
      </c>
      <c r="T588" s="371">
        <f t="shared" si="116"/>
        <v>0</v>
      </c>
      <c r="U588" s="371">
        <f t="shared" si="116"/>
        <v>0</v>
      </c>
      <c r="V588" s="371">
        <f t="shared" si="116"/>
        <v>0</v>
      </c>
      <c r="W588" s="371">
        <f t="shared" si="116"/>
        <v>0</v>
      </c>
      <c r="X588" s="524">
        <f t="shared" si="116"/>
        <v>0</v>
      </c>
      <c r="Y588" s="371">
        <f>Y137+Y270+Y586-0.29</f>
        <v>164974.71</v>
      </c>
      <c r="Z588" s="371">
        <f t="shared" si="116"/>
        <v>157056.29999999999</v>
      </c>
      <c r="AA588" s="371">
        <f t="shared" si="116"/>
        <v>7918.7</v>
      </c>
      <c r="AB588" s="371">
        <f t="shared" si="116"/>
        <v>0</v>
      </c>
      <c r="AC588" s="371">
        <f t="shared" si="116"/>
        <v>16121</v>
      </c>
      <c r="AD588" s="371">
        <f t="shared" si="116"/>
        <v>0</v>
      </c>
      <c r="AE588" s="371">
        <f t="shared" si="116"/>
        <v>16121</v>
      </c>
      <c r="AF588" s="371">
        <f t="shared" si="116"/>
        <v>0</v>
      </c>
      <c r="AG588" s="524">
        <f t="shared" si="116"/>
        <v>0</v>
      </c>
      <c r="AH588" s="371">
        <f>AH137+AH270+AH586</f>
        <v>19689.07</v>
      </c>
      <c r="AI588" s="371">
        <f>AI137+AI270+AI586</f>
        <v>0</v>
      </c>
      <c r="AJ588" s="371">
        <f>AJ137+AJ270+AJ586</f>
        <v>0</v>
      </c>
      <c r="AK588" s="371">
        <f>AK137+AK270+AK586</f>
        <v>19689.07</v>
      </c>
      <c r="AL588" s="372"/>
      <c r="AM588" s="295"/>
    </row>
    <row r="589" spans="1:51" s="205" customFormat="1" ht="90.6" customHeight="1" x14ac:dyDescent="0.25">
      <c r="A589" s="369"/>
      <c r="B589" s="366" t="s">
        <v>1471</v>
      </c>
      <c r="C589" s="370"/>
      <c r="D589" s="371">
        <f>D587+D588</f>
        <v>8854860.9741600007</v>
      </c>
      <c r="E589" s="371">
        <f t="shared" ref="E589:AK589" si="117">E587+E588</f>
        <v>827.20200000000011</v>
      </c>
      <c r="F589" s="371">
        <f t="shared" si="117"/>
        <v>1215736.4300000002</v>
      </c>
      <c r="G589" s="371">
        <f t="shared" si="117"/>
        <v>1043435.69</v>
      </c>
      <c r="H589" s="371">
        <f t="shared" si="117"/>
        <v>172300.64</v>
      </c>
      <c r="I589" s="371">
        <f t="shared" si="117"/>
        <v>524.62</v>
      </c>
      <c r="J589" s="371">
        <f t="shared" si="117"/>
        <v>1106389.094</v>
      </c>
      <c r="K589" s="371">
        <f t="shared" si="117"/>
        <v>154390.79</v>
      </c>
      <c r="L589" s="371">
        <f t="shared" si="117"/>
        <v>780209.68</v>
      </c>
      <c r="M589" s="371">
        <f t="shared" si="117"/>
        <v>171788.62400000001</v>
      </c>
      <c r="N589" s="371">
        <f t="shared" si="117"/>
        <v>955.91300000000001</v>
      </c>
      <c r="O589" s="371">
        <f t="shared" si="117"/>
        <v>1466773.0100000002</v>
      </c>
      <c r="P589" s="371">
        <f t="shared" si="117"/>
        <v>249999.99999999997</v>
      </c>
      <c r="Q589" s="371">
        <f t="shared" si="117"/>
        <v>1100293.4938699999</v>
      </c>
      <c r="R589" s="371">
        <f t="shared" si="117"/>
        <v>116479.51612999999</v>
      </c>
      <c r="S589" s="371">
        <f t="shared" si="117"/>
        <v>900.27299999999991</v>
      </c>
      <c r="T589" s="371">
        <f t="shared" si="117"/>
        <v>1384569.9900000005</v>
      </c>
      <c r="U589" s="371">
        <f t="shared" si="117"/>
        <v>919118.99537000025</v>
      </c>
      <c r="V589" s="371">
        <f t="shared" si="117"/>
        <v>347728.99923000002</v>
      </c>
      <c r="W589" s="371">
        <f t="shared" si="117"/>
        <v>117721.99540000004</v>
      </c>
      <c r="X589" s="524">
        <f t="shared" si="117"/>
        <v>439.75</v>
      </c>
      <c r="Y589" s="371">
        <f t="shared" si="117"/>
        <v>1058519.21</v>
      </c>
      <c r="Z589" s="371">
        <f t="shared" si="117"/>
        <v>987262.3</v>
      </c>
      <c r="AA589" s="371">
        <f t="shared" si="117"/>
        <v>71257.2</v>
      </c>
      <c r="AB589" s="371">
        <f t="shared" si="117"/>
        <v>435.88</v>
      </c>
      <c r="AC589" s="371">
        <f t="shared" si="117"/>
        <v>1236829.2301599998</v>
      </c>
      <c r="AD589" s="371">
        <f t="shared" si="117"/>
        <v>200000</v>
      </c>
      <c r="AE589" s="371">
        <f t="shared" si="117"/>
        <v>968521.00015999982</v>
      </c>
      <c r="AF589" s="371">
        <f t="shared" si="117"/>
        <v>68308.23</v>
      </c>
      <c r="AG589" s="524">
        <f t="shared" si="117"/>
        <v>444.25300000000004</v>
      </c>
      <c r="AH589" s="371">
        <f>AH587+AH588+0.1</f>
        <v>1386043.8200000003</v>
      </c>
      <c r="AI589" s="371">
        <f t="shared" si="117"/>
        <v>140374.04999999999</v>
      </c>
      <c r="AJ589" s="371">
        <f t="shared" si="117"/>
        <v>1149361.92</v>
      </c>
      <c r="AK589" s="371">
        <f t="shared" si="117"/>
        <v>96307.750000000029</v>
      </c>
      <c r="AL589" s="372"/>
      <c r="AM589" s="295"/>
    </row>
    <row r="590" spans="1:51" s="202" customFormat="1" ht="28.35" customHeight="1" x14ac:dyDescent="0.25">
      <c r="A590" s="373"/>
      <c r="B590" s="686" t="s">
        <v>1266</v>
      </c>
      <c r="C590" s="686"/>
      <c r="D590" s="686"/>
      <c r="E590" s="686"/>
      <c r="F590" s="686"/>
      <c r="G590" s="686"/>
      <c r="H590" s="686"/>
      <c r="I590" s="686"/>
      <c r="J590" s="686"/>
      <c r="K590" s="686"/>
      <c r="L590" s="686"/>
      <c r="M590" s="686"/>
      <c r="N590" s="686"/>
      <c r="O590" s="686"/>
      <c r="P590" s="686"/>
      <c r="Q590" s="686"/>
      <c r="R590" s="686"/>
      <c r="S590" s="686"/>
      <c r="T590" s="686"/>
      <c r="U590" s="686"/>
      <c r="V590" s="686"/>
      <c r="W590" s="686"/>
      <c r="X590" s="686"/>
      <c r="Y590" s="686"/>
      <c r="Z590" s="686"/>
      <c r="AA590" s="203"/>
      <c r="AB590" s="374"/>
      <c r="AC590" s="687"/>
      <c r="AD590" s="687"/>
      <c r="AE590" s="687"/>
      <c r="AF590" s="687"/>
      <c r="AG590" s="526"/>
      <c r="AH590" s="203"/>
      <c r="AI590" s="203"/>
      <c r="AJ590" s="203"/>
      <c r="AK590" s="203"/>
      <c r="AL590" s="204"/>
    </row>
    <row r="591" spans="1:51" ht="1.35" customHeight="1" x14ac:dyDescent="0.25">
      <c r="F591" s="261"/>
      <c r="J591" s="200"/>
      <c r="K591" s="200"/>
      <c r="O591" s="207"/>
      <c r="P591" s="207"/>
      <c r="T591" s="207"/>
      <c r="U591" s="207"/>
      <c r="Y591" s="207"/>
      <c r="AC591" s="191"/>
      <c r="AE591" s="211"/>
      <c r="AF591" s="189"/>
      <c r="AH591" s="207"/>
      <c r="AI591" s="207"/>
    </row>
    <row r="592" spans="1:51" x14ac:dyDescent="0.25">
      <c r="B592" s="201"/>
      <c r="F592" s="261"/>
      <c r="J592" s="200"/>
      <c r="K592" s="200"/>
      <c r="O592" s="207"/>
      <c r="P592" s="207"/>
      <c r="T592" s="207"/>
      <c r="U592" s="207"/>
      <c r="Y592" s="207"/>
      <c r="AC592" s="191"/>
      <c r="AE592" s="211"/>
      <c r="AF592" s="189"/>
      <c r="AH592" s="207"/>
      <c r="AI592" s="207"/>
    </row>
    <row r="593" spans="1:37" x14ac:dyDescent="0.25">
      <c r="F593" s="261"/>
      <c r="J593" s="200"/>
      <c r="K593" s="200"/>
      <c r="O593" s="207"/>
      <c r="P593" s="207"/>
      <c r="T593" s="207"/>
      <c r="U593" s="207"/>
      <c r="Y593" s="207"/>
      <c r="AC593" s="191"/>
      <c r="AE593" s="211"/>
      <c r="AF593" s="189"/>
      <c r="AH593" s="207"/>
      <c r="AI593" s="208"/>
    </row>
    <row r="594" spans="1:37" x14ac:dyDescent="0.25">
      <c r="F594" s="261"/>
      <c r="J594" s="200"/>
      <c r="K594" s="200"/>
      <c r="O594" s="207"/>
      <c r="P594" s="207"/>
      <c r="T594" s="207"/>
      <c r="U594" s="207"/>
      <c r="Y594" s="207"/>
      <c r="AC594" s="191"/>
      <c r="AE594" s="211"/>
      <c r="AF594" s="189"/>
      <c r="AH594" s="207"/>
      <c r="AI594" s="207"/>
    </row>
    <row r="595" spans="1:37" x14ac:dyDescent="0.25">
      <c r="B595" s="195" t="s">
        <v>1267</v>
      </c>
      <c r="C595" s="195"/>
      <c r="D595" s="262" t="e">
        <f>F</f>
        <v>#NAME?</v>
      </c>
      <c r="F595" s="261"/>
      <c r="J595" s="200"/>
      <c r="K595" s="200"/>
      <c r="O595" s="207"/>
      <c r="P595" s="207"/>
      <c r="T595" s="207"/>
      <c r="U595" s="207"/>
      <c r="Y595" s="207"/>
      <c r="AC595" s="191"/>
      <c r="AE595" s="211"/>
      <c r="AF595" s="189"/>
      <c r="AH595" s="207"/>
      <c r="AI595" s="207"/>
    </row>
    <row r="596" spans="1:37" x14ac:dyDescent="0.25">
      <c r="B596" s="195" t="s">
        <v>1268</v>
      </c>
      <c r="C596" s="195"/>
      <c r="D596" s="262">
        <f>G587+L587+Q587+V587+Z587+AE587+AJ587</f>
        <v>6184812.7832599999</v>
      </c>
      <c r="F596" s="261"/>
      <c r="J596" s="200"/>
      <c r="K596" s="200"/>
      <c r="O596" s="207"/>
      <c r="P596" s="207"/>
      <c r="T596" s="207"/>
      <c r="U596" s="207"/>
      <c r="Y596" s="207"/>
      <c r="AC596" s="191"/>
      <c r="AE596" s="211"/>
      <c r="AF596" s="189"/>
      <c r="AH596" s="207"/>
      <c r="AI596" s="207"/>
    </row>
    <row r="597" spans="1:37" x14ac:dyDescent="0.25">
      <c r="B597" s="195" t="s">
        <v>1269</v>
      </c>
      <c r="C597" s="195"/>
      <c r="D597" s="262">
        <f>K587+P587+U587</f>
        <v>1323509.7853700002</v>
      </c>
      <c r="F597" s="261"/>
      <c r="J597" s="200"/>
      <c r="K597" s="200"/>
      <c r="O597" s="207"/>
      <c r="P597" s="207"/>
      <c r="T597" s="207"/>
      <c r="U597" s="207"/>
      <c r="Y597" s="207"/>
      <c r="AC597" s="191"/>
      <c r="AE597" s="211"/>
      <c r="AF597" s="189"/>
      <c r="AH597" s="207"/>
      <c r="AI597" s="207"/>
    </row>
    <row r="598" spans="1:37" x14ac:dyDescent="0.25">
      <c r="F598" s="261"/>
      <c r="J598" s="200"/>
      <c r="K598" s="200"/>
      <c r="O598" s="207"/>
      <c r="P598" s="207"/>
      <c r="T598" s="207"/>
      <c r="U598" s="207"/>
      <c r="Y598" s="207"/>
      <c r="AC598" s="191"/>
      <c r="AE598" s="211"/>
      <c r="AF598" s="189"/>
      <c r="AH598" s="207"/>
      <c r="AI598" s="207"/>
    </row>
    <row r="599" spans="1:37" x14ac:dyDescent="0.25">
      <c r="F599" s="261"/>
      <c r="J599" s="200"/>
      <c r="K599" s="200"/>
      <c r="O599" s="207"/>
      <c r="P599" s="207"/>
      <c r="T599" s="207"/>
      <c r="U599" s="207"/>
      <c r="Y599" s="207"/>
      <c r="AC599" s="191"/>
      <c r="AE599" s="211"/>
      <c r="AF599" s="189"/>
      <c r="AH599" s="207"/>
      <c r="AI599" s="207"/>
    </row>
    <row r="600" spans="1:37" s="215" customFormat="1" x14ac:dyDescent="0.25">
      <c r="A600" s="209"/>
      <c r="B600"/>
      <c r="C600"/>
      <c r="D600" s="261"/>
      <c r="E600" s="210"/>
      <c r="F600" s="261"/>
      <c r="G600" s="261"/>
      <c r="H600" s="261"/>
      <c r="I600" s="210"/>
      <c r="J600" s="200"/>
      <c r="K600" s="200"/>
      <c r="L600" s="189"/>
      <c r="M600" s="189"/>
      <c r="N600" s="189"/>
      <c r="O600" s="207"/>
      <c r="P600" s="207"/>
      <c r="Q600" s="189"/>
      <c r="R600" s="189"/>
      <c r="S600" s="189"/>
      <c r="T600" s="207"/>
      <c r="U600" s="207"/>
      <c r="V600" s="189"/>
      <c r="W600" s="189"/>
      <c r="X600" s="525"/>
      <c r="Y600" s="207"/>
      <c r="Z600" s="212"/>
      <c r="AA600" s="212"/>
      <c r="AB600" s="213"/>
      <c r="AC600" s="191"/>
      <c r="AD600" s="191"/>
      <c r="AE600" s="213"/>
      <c r="AF600" s="212"/>
      <c r="AG600" s="525"/>
      <c r="AH600" s="214"/>
      <c r="AI600" s="214"/>
      <c r="AJ600" s="212"/>
      <c r="AK600" s="212"/>
    </row>
    <row r="601" spans="1:37" s="215" customFormat="1" x14ac:dyDescent="0.25">
      <c r="A601" s="209"/>
      <c r="B601"/>
      <c r="C601"/>
      <c r="D601" s="261"/>
      <c r="E601" s="210"/>
      <c r="F601" s="261"/>
      <c r="G601" s="261"/>
      <c r="H601" s="261"/>
      <c r="I601" s="210"/>
      <c r="J601" s="200"/>
      <c r="K601" s="200"/>
      <c r="L601" s="189"/>
      <c r="M601" s="189"/>
      <c r="N601" s="189"/>
      <c r="O601" s="207"/>
      <c r="P601" s="207"/>
      <c r="Q601" s="189"/>
      <c r="R601" s="189"/>
      <c r="S601" s="189"/>
      <c r="T601" s="207"/>
      <c r="U601" s="207"/>
      <c r="V601" s="189"/>
      <c r="W601" s="189"/>
      <c r="X601" s="525"/>
      <c r="Y601" s="207"/>
      <c r="Z601" s="212"/>
      <c r="AA601" s="212"/>
      <c r="AB601" s="213"/>
      <c r="AC601" s="191"/>
      <c r="AD601" s="191"/>
      <c r="AE601" s="213"/>
      <c r="AF601" s="212"/>
      <c r="AG601" s="525"/>
      <c r="AH601" s="214"/>
      <c r="AI601" s="214"/>
      <c r="AJ601" s="212"/>
      <c r="AK601" s="212"/>
    </row>
    <row r="602" spans="1:37" s="215" customFormat="1" x14ac:dyDescent="0.25">
      <c r="A602" s="209"/>
      <c r="B602"/>
      <c r="C602"/>
      <c r="D602" s="261"/>
      <c r="E602" s="210"/>
      <c r="F602" s="261"/>
      <c r="G602" s="261"/>
      <c r="H602" s="261"/>
      <c r="I602" s="210"/>
      <c r="J602" s="200"/>
      <c r="K602" s="200"/>
      <c r="L602" s="189"/>
      <c r="M602" s="189"/>
      <c r="N602" s="189"/>
      <c r="O602" s="207"/>
      <c r="P602" s="207"/>
      <c r="Q602" s="189"/>
      <c r="R602" s="189"/>
      <c r="S602" s="189"/>
      <c r="T602" s="207"/>
      <c r="U602" s="207"/>
      <c r="V602" s="189"/>
      <c r="W602" s="189"/>
      <c r="X602" s="525"/>
      <c r="Y602" s="207"/>
      <c r="Z602" s="212"/>
      <c r="AA602" s="212"/>
      <c r="AB602" s="213"/>
      <c r="AC602" s="191"/>
      <c r="AD602" s="191"/>
      <c r="AE602" s="213"/>
      <c r="AF602" s="212"/>
      <c r="AG602" s="525"/>
      <c r="AH602" s="214"/>
      <c r="AI602" s="214"/>
      <c r="AJ602" s="212"/>
      <c r="AK602" s="212"/>
    </row>
    <row r="603" spans="1:37" s="215" customFormat="1" x14ac:dyDescent="0.25">
      <c r="A603" s="209"/>
      <c r="B603"/>
      <c r="C603"/>
      <c r="D603" s="261"/>
      <c r="E603" s="210"/>
      <c r="F603" s="261"/>
      <c r="G603" s="261"/>
      <c r="H603" s="261"/>
      <c r="I603" s="210"/>
      <c r="J603" s="200"/>
      <c r="K603" s="200"/>
      <c r="L603" s="189"/>
      <c r="M603" s="189"/>
      <c r="N603" s="189"/>
      <c r="O603" s="207"/>
      <c r="P603" s="207"/>
      <c r="Q603" s="189"/>
      <c r="R603" s="189"/>
      <c r="S603" s="189"/>
      <c r="T603" s="207"/>
      <c r="U603" s="207"/>
      <c r="V603" s="189"/>
      <c r="W603" s="189"/>
      <c r="X603" s="525"/>
      <c r="Y603" s="207"/>
      <c r="Z603" s="212"/>
      <c r="AA603" s="212"/>
      <c r="AB603" s="213"/>
      <c r="AC603" s="191"/>
      <c r="AD603" s="191"/>
      <c r="AE603" s="213"/>
      <c r="AF603" s="212"/>
      <c r="AG603" s="525"/>
      <c r="AH603" s="214"/>
      <c r="AI603" s="214"/>
      <c r="AJ603" s="212"/>
      <c r="AK603" s="212"/>
    </row>
    <row r="604" spans="1:37" s="215" customFormat="1" x14ac:dyDescent="0.25">
      <c r="A604" s="209"/>
      <c r="B604"/>
      <c r="C604"/>
      <c r="D604" s="261"/>
      <c r="E604" s="210"/>
      <c r="F604" s="261"/>
      <c r="G604" s="261"/>
      <c r="H604" s="261"/>
      <c r="I604" s="210"/>
      <c r="J604" s="200"/>
      <c r="K604" s="200"/>
      <c r="L604" s="189"/>
      <c r="M604" s="189"/>
      <c r="N604" s="189"/>
      <c r="O604" s="207"/>
      <c r="P604" s="207"/>
      <c r="Q604" s="189"/>
      <c r="R604" s="189"/>
      <c r="S604" s="189"/>
      <c r="T604" s="207"/>
      <c r="U604" s="207"/>
      <c r="V604" s="189"/>
      <c r="W604" s="189"/>
      <c r="X604" s="525"/>
      <c r="Y604" s="207"/>
      <c r="Z604" s="212"/>
      <c r="AA604" s="212"/>
      <c r="AB604" s="213"/>
      <c r="AC604" s="191"/>
      <c r="AD604" s="191"/>
      <c r="AE604" s="213"/>
      <c r="AF604" s="212"/>
      <c r="AG604" s="525"/>
      <c r="AH604" s="214"/>
      <c r="AI604" s="214"/>
      <c r="AJ604" s="212"/>
      <c r="AK604" s="212"/>
    </row>
    <row r="605" spans="1:37" s="215" customFormat="1" x14ac:dyDescent="0.25">
      <c r="A605" s="209"/>
      <c r="B605"/>
      <c r="C605"/>
      <c r="D605" s="261"/>
      <c r="E605" s="210"/>
      <c r="F605" s="261"/>
      <c r="G605" s="261"/>
      <c r="H605" s="261"/>
      <c r="I605" s="210"/>
      <c r="J605" s="200"/>
      <c r="K605" s="200"/>
      <c r="L605" s="189"/>
      <c r="M605" s="189"/>
      <c r="N605" s="189"/>
      <c r="O605" s="207"/>
      <c r="P605" s="207"/>
      <c r="Q605" s="189"/>
      <c r="R605" s="189"/>
      <c r="S605" s="189"/>
      <c r="T605" s="207"/>
      <c r="U605" s="207"/>
      <c r="V605" s="189"/>
      <c r="W605" s="189"/>
      <c r="X605" s="525"/>
      <c r="Y605" s="207"/>
      <c r="Z605" s="212"/>
      <c r="AA605" s="212"/>
      <c r="AB605" s="213"/>
      <c r="AC605" s="191"/>
      <c r="AD605" s="191"/>
      <c r="AE605" s="213"/>
      <c r="AF605" s="212"/>
      <c r="AG605" s="525"/>
      <c r="AH605" s="214"/>
      <c r="AI605" s="214"/>
      <c r="AJ605" s="212"/>
      <c r="AK605" s="212"/>
    </row>
    <row r="606" spans="1:37" s="215" customFormat="1" x14ac:dyDescent="0.25">
      <c r="A606" s="209"/>
      <c r="B606"/>
      <c r="C606"/>
      <c r="D606" s="261"/>
      <c r="E606" s="210"/>
      <c r="F606" s="261"/>
      <c r="G606" s="261"/>
      <c r="H606" s="261"/>
      <c r="I606" s="210"/>
      <c r="J606" s="200"/>
      <c r="K606" s="200"/>
      <c r="L606" s="189"/>
      <c r="M606" s="189"/>
      <c r="N606" s="189"/>
      <c r="O606" s="207"/>
      <c r="P606" s="207"/>
      <c r="Q606" s="189"/>
      <c r="R606" s="189"/>
      <c r="S606" s="189"/>
      <c r="T606" s="207"/>
      <c r="U606" s="207"/>
      <c r="V606" s="189"/>
      <c r="W606" s="189"/>
      <c r="X606" s="525"/>
      <c r="Y606" s="207"/>
      <c r="Z606" s="212"/>
      <c r="AA606" s="212"/>
      <c r="AB606" s="213"/>
      <c r="AC606" s="191"/>
      <c r="AD606" s="191"/>
      <c r="AE606" s="213"/>
      <c r="AF606" s="212"/>
      <c r="AG606" s="525"/>
      <c r="AH606" s="214"/>
      <c r="AI606" s="214"/>
      <c r="AJ606" s="212"/>
      <c r="AK606" s="212"/>
    </row>
    <row r="607" spans="1:37" s="215" customFormat="1" x14ac:dyDescent="0.25">
      <c r="A607" s="209"/>
      <c r="B607"/>
      <c r="C607"/>
      <c r="D607" s="261"/>
      <c r="E607" s="210"/>
      <c r="F607" s="261"/>
      <c r="G607" s="261"/>
      <c r="H607" s="261"/>
      <c r="I607" s="210"/>
      <c r="J607" s="200"/>
      <c r="K607" s="200"/>
      <c r="L607" s="189"/>
      <c r="M607" s="189"/>
      <c r="N607" s="189"/>
      <c r="O607" s="207"/>
      <c r="P607" s="207"/>
      <c r="Q607" s="189"/>
      <c r="R607" s="189"/>
      <c r="S607" s="189"/>
      <c r="T607" s="207"/>
      <c r="U607" s="207"/>
      <c r="V607" s="189"/>
      <c r="W607" s="189"/>
      <c r="X607" s="525"/>
      <c r="Y607" s="207"/>
      <c r="Z607" s="212"/>
      <c r="AA607" s="212"/>
      <c r="AB607" s="213"/>
      <c r="AC607" s="191"/>
      <c r="AD607" s="191"/>
      <c r="AE607" s="213"/>
      <c r="AF607" s="212"/>
      <c r="AG607" s="525"/>
      <c r="AH607" s="214"/>
      <c r="AI607" s="214"/>
      <c r="AJ607" s="212"/>
      <c r="AK607" s="212"/>
    </row>
    <row r="608" spans="1:37" x14ac:dyDescent="0.25">
      <c r="F608" s="261"/>
      <c r="J608" s="200"/>
      <c r="K608" s="200"/>
      <c r="O608" s="207"/>
      <c r="P608" s="207"/>
      <c r="T608" s="207"/>
      <c r="U608" s="207"/>
      <c r="Y608" s="207"/>
      <c r="AC608" s="191"/>
      <c r="AE608" s="211"/>
      <c r="AF608" s="189"/>
      <c r="AH608" s="207"/>
      <c r="AI608" s="207"/>
    </row>
    <row r="609" spans="6:35" x14ac:dyDescent="0.25">
      <c r="F609" s="261"/>
      <c r="J609" s="200"/>
      <c r="K609" s="200"/>
      <c r="O609" s="207"/>
      <c r="P609" s="207"/>
      <c r="T609" s="207"/>
      <c r="U609" s="207"/>
      <c r="Y609" s="207"/>
      <c r="AC609" s="191"/>
      <c r="AE609" s="211"/>
      <c r="AF609" s="189"/>
      <c r="AH609" s="207"/>
      <c r="AI609" s="207"/>
    </row>
    <row r="610" spans="6:35" x14ac:dyDescent="0.25">
      <c r="F610" s="261"/>
      <c r="J610" s="200"/>
      <c r="K610" s="200"/>
      <c r="O610" s="207"/>
      <c r="P610" s="207"/>
      <c r="T610" s="207"/>
      <c r="U610" s="207"/>
      <c r="Y610" s="207"/>
      <c r="AC610" s="191"/>
      <c r="AE610" s="211"/>
      <c r="AF610" s="189"/>
      <c r="AH610" s="207"/>
      <c r="AI610" s="207"/>
    </row>
    <row r="611" spans="6:35" x14ac:dyDescent="0.25">
      <c r="F611" s="261"/>
      <c r="J611" s="200"/>
      <c r="K611" s="200"/>
      <c r="O611" s="207"/>
      <c r="P611" s="207"/>
      <c r="T611" s="207"/>
      <c r="U611" s="207"/>
      <c r="Y611" s="207"/>
      <c r="AC611" s="191"/>
      <c r="AE611" s="211"/>
      <c r="AF611" s="189"/>
      <c r="AH611" s="207"/>
      <c r="AI611" s="207"/>
    </row>
    <row r="612" spans="6:35" x14ac:dyDescent="0.25">
      <c r="F612" s="261"/>
      <c r="J612" s="200"/>
      <c r="K612" s="200"/>
      <c r="O612" s="207"/>
      <c r="P612" s="207"/>
      <c r="T612" s="207"/>
      <c r="U612" s="207"/>
      <c r="Y612" s="207"/>
      <c r="AC612" s="191"/>
      <c r="AE612" s="211"/>
      <c r="AF612" s="189"/>
      <c r="AH612" s="207"/>
      <c r="AI612" s="207"/>
    </row>
    <row r="613" spans="6:35" x14ac:dyDescent="0.25">
      <c r="F613" s="261"/>
      <c r="J613" s="200"/>
      <c r="K613" s="200"/>
      <c r="O613" s="207"/>
      <c r="P613" s="207"/>
      <c r="T613" s="207"/>
      <c r="U613" s="207"/>
      <c r="Y613" s="207"/>
      <c r="AC613" s="191"/>
      <c r="AE613" s="211"/>
      <c r="AF613" s="189"/>
      <c r="AH613" s="207"/>
      <c r="AI613" s="207"/>
    </row>
    <row r="614" spans="6:35" x14ac:dyDescent="0.25">
      <c r="F614" s="261"/>
      <c r="J614" s="200"/>
      <c r="K614" s="200"/>
      <c r="O614" s="207"/>
      <c r="P614" s="207"/>
      <c r="T614" s="207"/>
      <c r="U614" s="207"/>
      <c r="Y614" s="207"/>
      <c r="AC614" s="191"/>
      <c r="AE614" s="211"/>
      <c r="AF614" s="189"/>
      <c r="AH614" s="207"/>
      <c r="AI614" s="207"/>
    </row>
    <row r="615" spans="6:35" x14ac:dyDescent="0.25">
      <c r="F615" s="261"/>
      <c r="J615" s="200"/>
      <c r="K615" s="200"/>
      <c r="O615" s="207"/>
      <c r="P615" s="207"/>
      <c r="T615" s="207"/>
      <c r="U615" s="207"/>
      <c r="Y615" s="207"/>
      <c r="AC615" s="191"/>
      <c r="AE615" s="211"/>
      <c r="AF615" s="189"/>
      <c r="AH615" s="207"/>
      <c r="AI615" s="207"/>
    </row>
    <row r="616" spans="6:35" x14ac:dyDescent="0.25">
      <c r="F616" s="261"/>
      <c r="J616" s="200"/>
      <c r="K616" s="200"/>
      <c r="O616" s="207"/>
      <c r="P616" s="207"/>
      <c r="T616" s="207"/>
      <c r="U616" s="207"/>
      <c r="Y616" s="207"/>
      <c r="AC616" s="191"/>
      <c r="AE616" s="211"/>
      <c r="AF616" s="189"/>
      <c r="AH616" s="207"/>
      <c r="AI616" s="207"/>
    </row>
    <row r="617" spans="6:35" x14ac:dyDescent="0.25">
      <c r="F617" s="261"/>
      <c r="J617" s="200"/>
      <c r="K617" s="200"/>
      <c r="O617" s="207"/>
      <c r="P617" s="207"/>
      <c r="T617" s="207"/>
      <c r="U617" s="207"/>
      <c r="Y617" s="207"/>
      <c r="AC617" s="191"/>
      <c r="AE617" s="211"/>
      <c r="AF617" s="189"/>
      <c r="AH617" s="207"/>
      <c r="AI617" s="207"/>
    </row>
    <row r="618" spans="6:35" x14ac:dyDescent="0.25">
      <c r="F618" s="261"/>
      <c r="J618" s="200"/>
      <c r="K618" s="200"/>
      <c r="O618" s="207"/>
      <c r="P618" s="207"/>
      <c r="T618" s="207"/>
      <c r="U618" s="207"/>
      <c r="Y618" s="207"/>
      <c r="AC618" s="191"/>
      <c r="AE618" s="211"/>
      <c r="AF618" s="189"/>
      <c r="AH618" s="207"/>
      <c r="AI618" s="207"/>
    </row>
    <row r="619" spans="6:35" x14ac:dyDescent="0.25">
      <c r="F619" s="261"/>
      <c r="J619" s="200"/>
      <c r="K619" s="200"/>
      <c r="O619" s="207"/>
      <c r="P619" s="207"/>
      <c r="T619" s="207"/>
      <c r="U619" s="207"/>
      <c r="Y619" s="207"/>
      <c r="AC619" s="191"/>
      <c r="AE619" s="211"/>
      <c r="AF619" s="189"/>
      <c r="AH619" s="207"/>
      <c r="AI619" s="207"/>
    </row>
    <row r="620" spans="6:35" x14ac:dyDescent="0.25">
      <c r="F620" s="261"/>
      <c r="J620" s="200"/>
      <c r="K620" s="200"/>
      <c r="O620" s="207"/>
      <c r="P620" s="207"/>
      <c r="T620" s="207"/>
      <c r="U620" s="207"/>
      <c r="Y620" s="207"/>
      <c r="AC620" s="191"/>
      <c r="AE620" s="211"/>
      <c r="AF620" s="189"/>
      <c r="AH620" s="207"/>
      <c r="AI620" s="207"/>
    </row>
    <row r="621" spans="6:35" x14ac:dyDescent="0.25">
      <c r="F621" s="261"/>
      <c r="J621" s="200"/>
      <c r="K621" s="200"/>
      <c r="O621" s="207"/>
      <c r="P621" s="207"/>
      <c r="T621" s="207"/>
      <c r="U621" s="207"/>
      <c r="Y621" s="207"/>
      <c r="AC621" s="191"/>
      <c r="AE621" s="211"/>
      <c r="AF621" s="189"/>
      <c r="AH621" s="207"/>
      <c r="AI621" s="207"/>
    </row>
    <row r="622" spans="6:35" x14ac:dyDescent="0.25">
      <c r="F622" s="261"/>
      <c r="J622" s="200"/>
      <c r="K622" s="200"/>
      <c r="O622" s="207"/>
      <c r="P622" s="207"/>
      <c r="T622" s="207"/>
      <c r="U622" s="207"/>
      <c r="Y622" s="207"/>
      <c r="AC622" s="191"/>
      <c r="AE622" s="211"/>
      <c r="AF622" s="189"/>
      <c r="AH622" s="207"/>
      <c r="AI622" s="207"/>
    </row>
    <row r="623" spans="6:35" x14ac:dyDescent="0.25">
      <c r="F623" s="261"/>
      <c r="J623" s="200"/>
      <c r="K623" s="200"/>
      <c r="O623" s="207"/>
      <c r="P623" s="207"/>
      <c r="T623" s="207"/>
      <c r="U623" s="207"/>
      <c r="Y623" s="207"/>
      <c r="AC623" s="191"/>
      <c r="AE623" s="211"/>
      <c r="AF623" s="189"/>
      <c r="AH623" s="207"/>
      <c r="AI623" s="207"/>
    </row>
    <row r="624" spans="6:35" x14ac:dyDescent="0.25">
      <c r="F624" s="261"/>
      <c r="J624" s="200"/>
      <c r="K624" s="200"/>
      <c r="O624" s="207"/>
      <c r="P624" s="207"/>
      <c r="T624" s="207"/>
      <c r="U624" s="207"/>
      <c r="Y624" s="207"/>
      <c r="AC624" s="191"/>
      <c r="AE624" s="211"/>
      <c r="AF624" s="189"/>
      <c r="AH624" s="207"/>
      <c r="AI624" s="207"/>
    </row>
    <row r="625" spans="6:35" x14ac:dyDescent="0.25">
      <c r="F625" s="261"/>
      <c r="J625" s="200"/>
      <c r="K625" s="200"/>
      <c r="O625" s="207"/>
      <c r="P625" s="207"/>
      <c r="T625" s="207"/>
      <c r="U625" s="207"/>
      <c r="Y625" s="207"/>
      <c r="AC625" s="191"/>
      <c r="AE625" s="211"/>
      <c r="AF625" s="189"/>
      <c r="AH625" s="207"/>
      <c r="AI625" s="207"/>
    </row>
    <row r="626" spans="6:35" x14ac:dyDescent="0.25">
      <c r="F626" s="261"/>
      <c r="J626" s="200"/>
      <c r="K626" s="200"/>
      <c r="O626" s="207"/>
      <c r="P626" s="207"/>
      <c r="T626" s="207"/>
      <c r="U626" s="207"/>
      <c r="Y626" s="207"/>
      <c r="AC626" s="191"/>
      <c r="AE626" s="211"/>
      <c r="AF626" s="189"/>
      <c r="AH626" s="207"/>
      <c r="AI626" s="207"/>
    </row>
    <row r="627" spans="6:35" x14ac:dyDescent="0.25">
      <c r="F627" s="261"/>
      <c r="J627" s="200"/>
      <c r="K627" s="200"/>
      <c r="O627" s="207"/>
      <c r="P627" s="207"/>
      <c r="T627" s="207"/>
      <c r="U627" s="207"/>
      <c r="Y627" s="207"/>
      <c r="AC627" s="191"/>
      <c r="AE627" s="211"/>
      <c r="AF627" s="189"/>
      <c r="AH627" s="207"/>
      <c r="AI627" s="207"/>
    </row>
    <row r="628" spans="6:35" x14ac:dyDescent="0.25">
      <c r="F628" s="261"/>
      <c r="J628" s="200"/>
      <c r="K628" s="200"/>
      <c r="O628" s="207"/>
      <c r="P628" s="207"/>
      <c r="T628" s="207"/>
      <c r="U628" s="207"/>
      <c r="Y628" s="207"/>
      <c r="AC628" s="191"/>
      <c r="AE628" s="211"/>
      <c r="AF628" s="189"/>
      <c r="AH628" s="207"/>
      <c r="AI628" s="207"/>
    </row>
    <row r="629" spans="6:35" x14ac:dyDescent="0.25">
      <c r="F629" s="261"/>
      <c r="J629" s="200"/>
      <c r="K629" s="200"/>
      <c r="O629" s="207"/>
      <c r="P629" s="207"/>
      <c r="T629" s="207"/>
      <c r="U629" s="207"/>
      <c r="Y629" s="207"/>
      <c r="AC629" s="191"/>
      <c r="AE629" s="211"/>
      <c r="AF629" s="189"/>
      <c r="AH629" s="207"/>
      <c r="AI629" s="207"/>
    </row>
    <row r="630" spans="6:35" x14ac:dyDescent="0.25">
      <c r="F630" s="261"/>
      <c r="J630" s="200"/>
      <c r="K630" s="200"/>
      <c r="O630" s="207"/>
      <c r="P630" s="207"/>
      <c r="T630" s="207"/>
      <c r="U630" s="207"/>
      <c r="Y630" s="207"/>
      <c r="AC630" s="191"/>
      <c r="AE630" s="211"/>
      <c r="AF630" s="189"/>
      <c r="AH630" s="207"/>
      <c r="AI630" s="207"/>
    </row>
    <row r="631" spans="6:35" x14ac:dyDescent="0.25">
      <c r="F631" s="261"/>
      <c r="J631" s="200"/>
      <c r="K631" s="200"/>
      <c r="O631" s="207"/>
      <c r="P631" s="207"/>
      <c r="T631" s="207"/>
      <c r="U631" s="207"/>
      <c r="Y631" s="207"/>
      <c r="AC631" s="191"/>
      <c r="AE631" s="211"/>
      <c r="AF631" s="189"/>
      <c r="AH631" s="207"/>
      <c r="AI631" s="207"/>
    </row>
    <row r="632" spans="6:35" x14ac:dyDescent="0.25">
      <c r="F632" s="261"/>
      <c r="J632" s="200"/>
      <c r="K632" s="200"/>
      <c r="O632" s="207"/>
      <c r="P632" s="207"/>
      <c r="T632" s="207"/>
      <c r="U632" s="207"/>
      <c r="Y632" s="207"/>
      <c r="AC632" s="191"/>
      <c r="AE632" s="211"/>
      <c r="AF632" s="189"/>
      <c r="AH632" s="207"/>
      <c r="AI632" s="207"/>
    </row>
    <row r="633" spans="6:35" x14ac:dyDescent="0.25">
      <c r="F633" s="261"/>
      <c r="J633" s="200"/>
      <c r="K633" s="200"/>
      <c r="O633" s="207"/>
      <c r="P633" s="207"/>
      <c r="T633" s="207"/>
      <c r="U633" s="207"/>
      <c r="Y633" s="207"/>
      <c r="AC633" s="191"/>
      <c r="AE633" s="211"/>
      <c r="AF633" s="189"/>
      <c r="AH633" s="207"/>
      <c r="AI633" s="207"/>
    </row>
    <row r="634" spans="6:35" x14ac:dyDescent="0.25">
      <c r="F634" s="261"/>
      <c r="J634" s="200"/>
      <c r="K634" s="200"/>
      <c r="O634" s="207"/>
      <c r="P634" s="207"/>
      <c r="T634" s="207"/>
      <c r="U634" s="207"/>
      <c r="Y634" s="207"/>
      <c r="AC634" s="191"/>
      <c r="AE634" s="211"/>
      <c r="AF634" s="189"/>
      <c r="AH634" s="207"/>
      <c r="AI634" s="207"/>
    </row>
    <row r="635" spans="6:35" x14ac:dyDescent="0.25">
      <c r="F635" s="261"/>
      <c r="J635" s="200"/>
      <c r="K635" s="200"/>
      <c r="O635" s="207"/>
      <c r="P635" s="207"/>
      <c r="T635" s="207"/>
      <c r="U635" s="207"/>
      <c r="Y635" s="207"/>
      <c r="AC635" s="191"/>
      <c r="AE635" s="211"/>
      <c r="AF635" s="189"/>
      <c r="AH635" s="207"/>
      <c r="AI635" s="207"/>
    </row>
    <row r="636" spans="6:35" x14ac:dyDescent="0.25">
      <c r="F636" s="261"/>
      <c r="J636" s="200"/>
      <c r="K636" s="200"/>
      <c r="O636" s="207"/>
      <c r="P636" s="207"/>
      <c r="T636" s="207"/>
      <c r="U636" s="207"/>
      <c r="Y636" s="207"/>
      <c r="AC636" s="191"/>
      <c r="AE636" s="211"/>
      <c r="AF636" s="189"/>
      <c r="AH636" s="207"/>
      <c r="AI636" s="207"/>
    </row>
    <row r="637" spans="6:35" x14ac:dyDescent="0.25">
      <c r="F637" s="261"/>
      <c r="J637" s="200"/>
      <c r="K637" s="200"/>
      <c r="O637" s="207"/>
      <c r="P637" s="207"/>
      <c r="T637" s="207"/>
      <c r="U637" s="207"/>
      <c r="Y637" s="207"/>
      <c r="AC637" s="191"/>
      <c r="AE637" s="211"/>
      <c r="AF637" s="189"/>
      <c r="AH637" s="207"/>
      <c r="AI637" s="207"/>
    </row>
    <row r="638" spans="6:35" x14ac:dyDescent="0.25">
      <c r="F638" s="261"/>
      <c r="J638" s="200"/>
      <c r="K638" s="200"/>
      <c r="O638" s="207"/>
      <c r="P638" s="207"/>
      <c r="T638" s="207"/>
      <c r="U638" s="207"/>
      <c r="Y638" s="207"/>
      <c r="AC638" s="191"/>
      <c r="AE638" s="211"/>
      <c r="AF638" s="189"/>
      <c r="AH638" s="207"/>
      <c r="AI638" s="207"/>
    </row>
    <row r="639" spans="6:35" x14ac:dyDescent="0.25">
      <c r="F639" s="261"/>
      <c r="J639" s="200"/>
      <c r="K639" s="200"/>
      <c r="O639" s="207"/>
      <c r="P639" s="207"/>
      <c r="T639" s="207"/>
      <c r="U639" s="207"/>
      <c r="Y639" s="207"/>
      <c r="AC639" s="191"/>
      <c r="AE639" s="211"/>
      <c r="AF639" s="189"/>
      <c r="AH639" s="207"/>
      <c r="AI639" s="207"/>
    </row>
    <row r="640" spans="6:35" x14ac:dyDescent="0.25">
      <c r="F640" s="261"/>
      <c r="J640" s="200"/>
      <c r="K640" s="200"/>
      <c r="O640" s="207"/>
      <c r="P640" s="207"/>
      <c r="T640" s="207"/>
      <c r="U640" s="207"/>
      <c r="Y640" s="207"/>
      <c r="AC640" s="191"/>
      <c r="AE640" s="211"/>
      <c r="AF640" s="189"/>
      <c r="AH640" s="207"/>
      <c r="AI640" s="207"/>
    </row>
    <row r="641" spans="6:35" x14ac:dyDescent="0.25">
      <c r="F641" s="261"/>
      <c r="J641" s="200"/>
      <c r="K641" s="200"/>
      <c r="O641" s="207"/>
      <c r="P641" s="207"/>
      <c r="T641" s="207"/>
      <c r="U641" s="207"/>
      <c r="Y641" s="207"/>
      <c r="AC641" s="191"/>
      <c r="AE641" s="211"/>
      <c r="AF641" s="189"/>
      <c r="AH641" s="207"/>
      <c r="AI641" s="207"/>
    </row>
    <row r="642" spans="6:35" x14ac:dyDescent="0.25">
      <c r="F642" s="261"/>
      <c r="J642" s="200"/>
      <c r="K642" s="200"/>
      <c r="O642" s="207"/>
      <c r="P642" s="207"/>
      <c r="T642" s="207"/>
      <c r="U642" s="207"/>
      <c r="Y642" s="207"/>
      <c r="AC642" s="191"/>
      <c r="AE642" s="211"/>
      <c r="AF642" s="189"/>
      <c r="AH642" s="207"/>
      <c r="AI642" s="207"/>
    </row>
    <row r="643" spans="6:35" x14ac:dyDescent="0.25">
      <c r="F643" s="261"/>
      <c r="J643" s="200"/>
      <c r="K643" s="200"/>
      <c r="O643" s="207"/>
      <c r="P643" s="207"/>
      <c r="T643" s="207"/>
      <c r="U643" s="207"/>
      <c r="Y643" s="207"/>
      <c r="AC643" s="191"/>
      <c r="AE643" s="211"/>
      <c r="AF643" s="189"/>
      <c r="AH643" s="207"/>
      <c r="AI643" s="207"/>
    </row>
    <row r="644" spans="6:35" x14ac:dyDescent="0.25">
      <c r="F644" s="261"/>
      <c r="J644" s="200"/>
      <c r="K644" s="200"/>
      <c r="O644" s="207"/>
      <c r="P644" s="207"/>
      <c r="T644" s="207"/>
      <c r="U644" s="207"/>
      <c r="Y644" s="207"/>
      <c r="AC644" s="191"/>
      <c r="AE644" s="211"/>
      <c r="AF644" s="189"/>
      <c r="AH644" s="207"/>
      <c r="AI644" s="207"/>
    </row>
    <row r="645" spans="6:35" x14ac:dyDescent="0.25">
      <c r="F645" s="261"/>
      <c r="J645" s="200"/>
      <c r="K645" s="200"/>
      <c r="O645" s="207"/>
      <c r="P645" s="207"/>
      <c r="T645" s="207"/>
      <c r="U645" s="207"/>
      <c r="Y645" s="207"/>
      <c r="AC645" s="191"/>
      <c r="AE645" s="211"/>
      <c r="AF645" s="189"/>
      <c r="AH645" s="207"/>
      <c r="AI645" s="207"/>
    </row>
    <row r="646" spans="6:35" x14ac:dyDescent="0.25">
      <c r="F646" s="261"/>
      <c r="J646" s="200"/>
      <c r="K646" s="200"/>
      <c r="O646" s="207"/>
      <c r="P646" s="207"/>
      <c r="T646" s="207"/>
      <c r="U646" s="207"/>
      <c r="Y646" s="207"/>
      <c r="AC646" s="191"/>
      <c r="AE646" s="211"/>
      <c r="AF646" s="189"/>
      <c r="AH646" s="207"/>
      <c r="AI646" s="207"/>
    </row>
    <row r="647" spans="6:35" x14ac:dyDescent="0.25">
      <c r="F647" s="261"/>
      <c r="J647" s="200"/>
      <c r="K647" s="200"/>
      <c r="O647" s="207"/>
      <c r="P647" s="207"/>
      <c r="T647" s="207"/>
      <c r="U647" s="207"/>
      <c r="Y647" s="207"/>
      <c r="AC647" s="191"/>
      <c r="AE647" s="211"/>
      <c r="AF647" s="189"/>
      <c r="AH647" s="207"/>
      <c r="AI647" s="207"/>
    </row>
    <row r="648" spans="6:35" x14ac:dyDescent="0.25">
      <c r="F648" s="261"/>
      <c r="J648" s="200"/>
      <c r="K648" s="200"/>
      <c r="O648" s="207"/>
      <c r="P648" s="207"/>
      <c r="T648" s="207"/>
      <c r="U648" s="207"/>
      <c r="Y648" s="207"/>
      <c r="AC648" s="191"/>
      <c r="AE648" s="211"/>
      <c r="AF648" s="189"/>
      <c r="AH648" s="207"/>
      <c r="AI648" s="207"/>
    </row>
    <row r="649" spans="6:35" x14ac:dyDescent="0.25">
      <c r="F649" s="261"/>
      <c r="J649" s="200"/>
      <c r="K649" s="200"/>
      <c r="O649" s="207"/>
      <c r="P649" s="207"/>
      <c r="T649" s="207"/>
      <c r="U649" s="207"/>
      <c r="Y649" s="207"/>
      <c r="AC649" s="191"/>
      <c r="AE649" s="211"/>
      <c r="AF649" s="189"/>
      <c r="AH649" s="207"/>
      <c r="AI649" s="207"/>
    </row>
    <row r="650" spans="6:35" x14ac:dyDescent="0.25">
      <c r="F650" s="261"/>
      <c r="J650" s="200"/>
      <c r="K650" s="200"/>
      <c r="O650" s="207"/>
      <c r="P650" s="207"/>
      <c r="T650" s="207"/>
      <c r="U650" s="207"/>
      <c r="Y650" s="207"/>
      <c r="AC650" s="191"/>
      <c r="AE650" s="211"/>
      <c r="AF650" s="189"/>
      <c r="AH650" s="207"/>
      <c r="AI650" s="207"/>
    </row>
    <row r="651" spans="6:35" x14ac:dyDescent="0.25">
      <c r="F651" s="261"/>
      <c r="J651" s="200"/>
      <c r="K651" s="200"/>
      <c r="O651" s="207"/>
      <c r="P651" s="207"/>
      <c r="T651" s="207"/>
      <c r="U651" s="207"/>
      <c r="Y651" s="207"/>
      <c r="AC651" s="191"/>
      <c r="AE651" s="211"/>
      <c r="AF651" s="189"/>
      <c r="AH651" s="207"/>
      <c r="AI651" s="207"/>
    </row>
    <row r="652" spans="6:35" x14ac:dyDescent="0.25">
      <c r="F652" s="261"/>
      <c r="J652" s="200"/>
      <c r="K652" s="200"/>
      <c r="O652" s="207"/>
      <c r="P652" s="207"/>
      <c r="T652" s="207"/>
      <c r="U652" s="207"/>
      <c r="Y652" s="207"/>
      <c r="AC652" s="191"/>
      <c r="AE652" s="211"/>
      <c r="AF652" s="189"/>
      <c r="AH652" s="207"/>
      <c r="AI652" s="207"/>
    </row>
    <row r="653" spans="6:35" x14ac:dyDescent="0.25">
      <c r="F653" s="261"/>
      <c r="J653" s="200"/>
      <c r="K653" s="200"/>
      <c r="O653" s="207"/>
      <c r="P653" s="207"/>
      <c r="T653" s="207"/>
      <c r="U653" s="207"/>
      <c r="Y653" s="207"/>
      <c r="AC653" s="191"/>
      <c r="AE653" s="211"/>
      <c r="AF653" s="189"/>
      <c r="AH653" s="207"/>
      <c r="AI653" s="207"/>
    </row>
    <row r="654" spans="6:35" x14ac:dyDescent="0.25">
      <c r="F654" s="261"/>
      <c r="J654" s="200"/>
      <c r="K654" s="200"/>
      <c r="O654" s="207"/>
      <c r="P654" s="207"/>
      <c r="T654" s="207"/>
      <c r="U654" s="207"/>
      <c r="Y654" s="207"/>
      <c r="AC654" s="191"/>
      <c r="AE654" s="211"/>
      <c r="AF654" s="189"/>
      <c r="AH654" s="207"/>
      <c r="AI654" s="207"/>
    </row>
    <row r="655" spans="6:35" x14ac:dyDescent="0.25">
      <c r="F655" s="261"/>
      <c r="J655" s="200"/>
      <c r="K655" s="200"/>
      <c r="O655" s="207"/>
      <c r="P655" s="207"/>
      <c r="T655" s="207"/>
      <c r="U655" s="207"/>
      <c r="Y655" s="207"/>
      <c r="AC655" s="191"/>
      <c r="AE655" s="211"/>
      <c r="AF655" s="189"/>
      <c r="AH655" s="207"/>
      <c r="AI655" s="207"/>
    </row>
    <row r="656" spans="6:35" x14ac:dyDescent="0.25">
      <c r="F656" s="261"/>
      <c r="J656" s="200"/>
      <c r="K656" s="200"/>
      <c r="O656" s="207"/>
      <c r="P656" s="207"/>
      <c r="T656" s="207"/>
      <c r="U656" s="207"/>
      <c r="Y656" s="207"/>
      <c r="AC656" s="191"/>
      <c r="AE656" s="211"/>
      <c r="AF656" s="189"/>
      <c r="AH656" s="207"/>
      <c r="AI656" s="207"/>
    </row>
    <row r="657" spans="6:37" x14ac:dyDescent="0.25">
      <c r="F657" s="261"/>
      <c r="J657" s="200"/>
      <c r="K657" s="200"/>
      <c r="O657" s="207"/>
      <c r="P657" s="207"/>
      <c r="T657" s="207"/>
      <c r="U657" s="207"/>
      <c r="Y657" s="207"/>
      <c r="AC657" s="191"/>
      <c r="AE657" s="211"/>
      <c r="AF657" s="189"/>
      <c r="AH657" s="207"/>
      <c r="AI657" s="207"/>
    </row>
    <row r="658" spans="6:37" x14ac:dyDescent="0.25">
      <c r="F658" s="261"/>
      <c r="J658" s="200"/>
      <c r="K658" s="200"/>
      <c r="O658" s="207"/>
      <c r="P658" s="207"/>
      <c r="T658" s="207"/>
      <c r="U658" s="207"/>
      <c r="Y658" s="207"/>
      <c r="AC658" s="191"/>
      <c r="AE658" s="211"/>
      <c r="AF658" s="189"/>
      <c r="AH658" s="207"/>
      <c r="AI658" s="207"/>
    </row>
    <row r="659" spans="6:37" x14ac:dyDescent="0.25">
      <c r="F659" s="261"/>
      <c r="J659" s="200"/>
      <c r="K659" s="200"/>
      <c r="O659" s="207"/>
      <c r="P659" s="207"/>
      <c r="T659" s="207"/>
      <c r="U659" s="207"/>
      <c r="Y659" s="207"/>
      <c r="AC659" s="191"/>
      <c r="AE659" s="211"/>
      <c r="AF659" s="189"/>
      <c r="AH659" s="207"/>
      <c r="AI659" s="207"/>
    </row>
    <row r="660" spans="6:37" x14ac:dyDescent="0.25">
      <c r="F660" s="261"/>
      <c r="J660" s="200"/>
      <c r="K660" s="200"/>
      <c r="O660" s="207"/>
      <c r="P660" s="207"/>
      <c r="T660" s="207"/>
      <c r="U660" s="207"/>
      <c r="Y660" s="207"/>
      <c r="AC660" s="191"/>
      <c r="AE660" s="211"/>
      <c r="AF660" s="189"/>
      <c r="AH660" s="207"/>
      <c r="AI660" s="207"/>
    </row>
    <row r="661" spans="6:37" x14ac:dyDescent="0.25">
      <c r="F661" s="261"/>
      <c r="J661" s="200"/>
      <c r="K661" s="200"/>
      <c r="O661" s="207"/>
      <c r="P661" s="207"/>
      <c r="T661" s="207"/>
      <c r="U661" s="207"/>
      <c r="Y661" s="207"/>
      <c r="AC661" s="191"/>
      <c r="AE661" s="211"/>
      <c r="AF661" s="189"/>
      <c r="AH661" s="207"/>
      <c r="AI661" s="207"/>
    </row>
    <row r="662" spans="6:37" x14ac:dyDescent="0.25">
      <c r="F662" s="261"/>
      <c r="J662" s="200"/>
      <c r="K662" s="200"/>
      <c r="O662" s="207"/>
      <c r="P662" s="207"/>
      <c r="T662" s="207"/>
      <c r="U662" s="207"/>
      <c r="Y662" s="207"/>
      <c r="AC662" s="191"/>
      <c r="AE662" s="211"/>
      <c r="AF662" s="189"/>
      <c r="AH662" s="207"/>
      <c r="AI662" s="207"/>
    </row>
    <row r="663" spans="6:37" x14ac:dyDescent="0.25">
      <c r="F663" s="261"/>
      <c r="J663" s="200"/>
      <c r="K663" s="200"/>
      <c r="O663" s="207"/>
      <c r="P663" s="207"/>
      <c r="T663" s="207"/>
      <c r="U663" s="207"/>
      <c r="Y663" s="207"/>
      <c r="AC663" s="191"/>
      <c r="AE663" s="211"/>
      <c r="AF663" s="189"/>
      <c r="AH663" s="207"/>
      <c r="AI663" s="207"/>
    </row>
    <row r="664" spans="6:37" x14ac:dyDescent="0.25">
      <c r="F664" s="261"/>
      <c r="J664" s="200"/>
      <c r="K664" s="200"/>
      <c r="O664" s="207"/>
      <c r="P664" s="207"/>
      <c r="T664" s="207"/>
      <c r="U664" s="207"/>
      <c r="Y664" s="207"/>
      <c r="AC664" s="191"/>
      <c r="AE664" s="211"/>
      <c r="AF664" s="189"/>
      <c r="AH664" s="207"/>
      <c r="AI664" s="207"/>
    </row>
    <row r="665" spans="6:37" x14ac:dyDescent="0.25">
      <c r="F665" s="261"/>
      <c r="J665" s="200"/>
      <c r="K665" s="200"/>
      <c r="O665" s="207"/>
      <c r="P665" s="207"/>
      <c r="T665" s="207"/>
      <c r="U665" s="207"/>
      <c r="Y665" s="207"/>
      <c r="AC665" s="191"/>
      <c r="AE665" s="211"/>
      <c r="AF665" s="189"/>
      <c r="AH665" s="207"/>
      <c r="AI665" s="207"/>
    </row>
    <row r="666" spans="6:37" x14ac:dyDescent="0.25">
      <c r="F666" s="261"/>
      <c r="J666" s="200"/>
      <c r="K666" s="200"/>
      <c r="O666" s="207"/>
      <c r="P666" s="207"/>
      <c r="T666" s="207"/>
      <c r="U666" s="207"/>
      <c r="Y666" s="207"/>
      <c r="AC666" s="191"/>
      <c r="AE666" s="211"/>
      <c r="AF666" s="189"/>
      <c r="AH666" s="207"/>
      <c r="AI666" s="207"/>
    </row>
    <row r="667" spans="6:37" x14ac:dyDescent="0.25">
      <c r="F667" s="261"/>
      <c r="J667" s="200"/>
      <c r="K667" s="200"/>
      <c r="O667" s="207"/>
      <c r="P667" s="207"/>
      <c r="T667" s="207"/>
      <c r="U667" s="207"/>
      <c r="Y667" s="207"/>
      <c r="AC667" s="191"/>
      <c r="AE667" s="211"/>
      <c r="AF667" s="189"/>
      <c r="AH667" s="207"/>
      <c r="AI667" s="207"/>
    </row>
    <row r="668" spans="6:37" x14ac:dyDescent="0.25">
      <c r="F668" s="261"/>
      <c r="J668" s="200"/>
      <c r="K668" s="200"/>
      <c r="O668" s="207"/>
      <c r="P668" s="207"/>
      <c r="T668" s="207"/>
      <c r="U668" s="207"/>
      <c r="Y668" s="207"/>
      <c r="AC668" s="191"/>
      <c r="AE668" s="211"/>
      <c r="AF668" s="189"/>
      <c r="AH668" s="207"/>
      <c r="AI668" s="207"/>
    </row>
    <row r="669" spans="6:37" x14ac:dyDescent="0.25">
      <c r="F669" s="261"/>
      <c r="J669" s="200"/>
      <c r="K669" s="200"/>
      <c r="O669" s="207"/>
      <c r="P669" s="207"/>
      <c r="T669" s="207"/>
      <c r="U669" s="207"/>
      <c r="Y669" s="207"/>
      <c r="AC669" s="191"/>
      <c r="AE669" s="211"/>
      <c r="AF669" s="189"/>
      <c r="AH669" s="207"/>
      <c r="AI669" s="207"/>
      <c r="AJ669"/>
      <c r="AK669"/>
    </row>
    <row r="670" spans="6:37" x14ac:dyDescent="0.25">
      <c r="F670" s="261"/>
      <c r="J670" s="200"/>
      <c r="K670" s="200"/>
      <c r="O670" s="207"/>
      <c r="P670" s="207"/>
      <c r="T670" s="207"/>
      <c r="U670" s="207"/>
      <c r="Y670" s="207"/>
      <c r="AC670" s="191"/>
      <c r="AE670" s="211"/>
      <c r="AF670" s="189"/>
      <c r="AH670" s="207"/>
      <c r="AI670" s="207"/>
    </row>
    <row r="671" spans="6:37" x14ac:dyDescent="0.25">
      <c r="F671" s="261"/>
      <c r="J671" s="200"/>
      <c r="K671" s="200"/>
      <c r="O671" s="207"/>
      <c r="P671" s="207"/>
      <c r="T671" s="207"/>
      <c r="U671" s="207"/>
      <c r="Y671" s="207"/>
      <c r="AC671" s="191"/>
      <c r="AE671" s="211"/>
      <c r="AF671" s="189"/>
      <c r="AH671" s="207"/>
      <c r="AI671" s="207"/>
    </row>
    <row r="672" spans="6:37" x14ac:dyDescent="0.25">
      <c r="F672" s="261"/>
      <c r="J672" s="200"/>
      <c r="K672" s="200"/>
      <c r="O672" s="207"/>
      <c r="P672" s="207"/>
      <c r="T672" s="207"/>
      <c r="U672" s="207"/>
      <c r="Y672" s="207"/>
      <c r="AC672" s="191"/>
      <c r="AE672" s="211"/>
      <c r="AF672" s="189"/>
      <c r="AH672" s="207"/>
      <c r="AI672" s="207"/>
    </row>
    <row r="673" spans="6:35" x14ac:dyDescent="0.25">
      <c r="F673" s="261"/>
      <c r="J673" s="200"/>
      <c r="K673" s="200"/>
      <c r="O673" s="207"/>
      <c r="P673" s="207"/>
      <c r="T673" s="207"/>
      <c r="U673" s="207"/>
      <c r="Y673" s="207"/>
      <c r="AC673" s="191"/>
      <c r="AE673" s="211"/>
      <c r="AF673" s="189"/>
      <c r="AH673" s="207"/>
      <c r="AI673" s="207"/>
    </row>
    <row r="674" spans="6:35" x14ac:dyDescent="0.25">
      <c r="F674" s="261"/>
      <c r="J674" s="200"/>
      <c r="K674" s="200"/>
      <c r="O674" s="207"/>
      <c r="P674" s="207"/>
      <c r="T674" s="207"/>
      <c r="U674" s="207"/>
      <c r="Y674" s="207"/>
      <c r="AC674" s="191"/>
      <c r="AE674" s="211"/>
      <c r="AF674" s="189"/>
      <c r="AH674" s="207"/>
      <c r="AI674" s="207"/>
    </row>
    <row r="675" spans="6:35" x14ac:dyDescent="0.25">
      <c r="F675" s="261"/>
      <c r="J675" s="200"/>
      <c r="K675" s="200"/>
      <c r="O675" s="207"/>
      <c r="P675" s="207"/>
      <c r="T675" s="207"/>
      <c r="U675" s="207"/>
      <c r="Y675" s="207"/>
      <c r="AC675" s="191"/>
      <c r="AE675" s="211"/>
      <c r="AF675" s="189"/>
      <c r="AH675" s="207"/>
      <c r="AI675" s="207"/>
    </row>
    <row r="676" spans="6:35" x14ac:dyDescent="0.25">
      <c r="F676" s="261"/>
      <c r="J676" s="200"/>
      <c r="K676" s="200"/>
      <c r="O676" s="207"/>
      <c r="P676" s="207"/>
      <c r="T676" s="207"/>
      <c r="U676" s="207"/>
      <c r="Y676" s="207"/>
      <c r="AC676" s="191"/>
      <c r="AE676" s="211"/>
      <c r="AF676" s="189"/>
      <c r="AH676" s="207"/>
      <c r="AI676" s="207"/>
    </row>
    <row r="677" spans="6:35" x14ac:dyDescent="0.25">
      <c r="F677" s="261"/>
      <c r="J677" s="200"/>
      <c r="K677" s="200"/>
      <c r="O677" s="207"/>
      <c r="P677" s="207"/>
      <c r="T677" s="207"/>
      <c r="U677" s="207"/>
      <c r="Y677" s="207"/>
      <c r="AC677" s="191"/>
      <c r="AE677" s="211"/>
      <c r="AF677" s="189"/>
      <c r="AH677" s="207"/>
      <c r="AI677" s="207"/>
    </row>
    <row r="678" spans="6:35" x14ac:dyDescent="0.25">
      <c r="F678" s="261"/>
      <c r="J678" s="200"/>
      <c r="K678" s="200"/>
      <c r="O678" s="207"/>
      <c r="P678" s="207"/>
      <c r="T678" s="207"/>
      <c r="U678" s="207"/>
      <c r="Y678" s="207"/>
      <c r="AC678" s="191"/>
      <c r="AE678" s="211"/>
      <c r="AF678" s="189"/>
      <c r="AH678" s="207"/>
      <c r="AI678" s="207"/>
    </row>
    <row r="679" spans="6:35" x14ac:dyDescent="0.25">
      <c r="F679" s="261"/>
      <c r="J679" s="200"/>
      <c r="K679" s="200"/>
      <c r="O679" s="207"/>
      <c r="P679" s="207"/>
      <c r="T679" s="207"/>
      <c r="U679" s="207"/>
      <c r="Y679" s="207"/>
      <c r="AC679" s="191"/>
      <c r="AE679" s="211"/>
      <c r="AF679" s="189"/>
      <c r="AH679" s="207"/>
      <c r="AI679" s="207"/>
    </row>
    <row r="680" spans="6:35" x14ac:dyDescent="0.25">
      <c r="F680" s="261"/>
      <c r="J680" s="200"/>
      <c r="K680" s="200"/>
      <c r="O680" s="207"/>
      <c r="P680" s="207"/>
      <c r="T680" s="207"/>
      <c r="U680" s="207"/>
      <c r="Y680" s="207"/>
      <c r="AC680" s="191"/>
      <c r="AE680" s="211"/>
      <c r="AF680" s="189"/>
      <c r="AH680" s="207"/>
      <c r="AI680" s="207"/>
    </row>
    <row r="681" spans="6:35" x14ac:dyDescent="0.25">
      <c r="F681" s="261"/>
      <c r="J681" s="200"/>
      <c r="K681" s="200"/>
      <c r="O681" s="207"/>
      <c r="P681" s="207"/>
      <c r="T681" s="207"/>
      <c r="U681" s="207"/>
      <c r="Y681" s="207"/>
      <c r="AC681" s="191"/>
      <c r="AE681" s="211"/>
      <c r="AF681" s="189"/>
      <c r="AH681" s="207"/>
      <c r="AI681" s="207"/>
    </row>
    <row r="682" spans="6:35" x14ac:dyDescent="0.25">
      <c r="F682" s="261"/>
      <c r="J682" s="200"/>
      <c r="K682" s="200"/>
      <c r="O682" s="207"/>
      <c r="P682" s="207"/>
      <c r="T682" s="207"/>
      <c r="U682" s="207"/>
      <c r="Y682" s="207"/>
      <c r="AC682" s="191"/>
      <c r="AE682" s="211"/>
      <c r="AF682" s="189"/>
      <c r="AH682" s="207"/>
      <c r="AI682" s="207"/>
    </row>
    <row r="683" spans="6:35" x14ac:dyDescent="0.25">
      <c r="F683" s="261"/>
      <c r="J683" s="200"/>
      <c r="K683" s="200"/>
      <c r="O683" s="207"/>
      <c r="P683" s="207"/>
      <c r="T683" s="207"/>
      <c r="U683" s="207"/>
      <c r="Y683" s="207"/>
      <c r="AC683" s="191"/>
      <c r="AE683" s="211"/>
      <c r="AF683" s="189"/>
      <c r="AH683" s="207"/>
      <c r="AI683" s="207"/>
    </row>
    <row r="684" spans="6:35" x14ac:dyDescent="0.25">
      <c r="F684" s="261"/>
      <c r="J684" s="200"/>
      <c r="K684" s="200"/>
      <c r="O684" s="207"/>
      <c r="P684" s="207"/>
      <c r="T684" s="207"/>
      <c r="U684" s="207"/>
      <c r="Y684" s="207"/>
      <c r="AC684" s="191"/>
      <c r="AE684" s="211"/>
      <c r="AF684" s="189"/>
      <c r="AH684" s="207"/>
      <c r="AI684" s="207"/>
    </row>
    <row r="685" spans="6:35" x14ac:dyDescent="0.25">
      <c r="F685" s="261"/>
      <c r="J685" s="200"/>
      <c r="K685" s="200"/>
      <c r="O685" s="207"/>
      <c r="P685" s="207"/>
      <c r="T685" s="207"/>
      <c r="U685" s="207"/>
      <c r="Y685" s="207"/>
      <c r="AC685" s="191"/>
      <c r="AE685" s="211"/>
      <c r="AF685" s="189"/>
      <c r="AH685" s="207"/>
      <c r="AI685" s="207"/>
    </row>
    <row r="686" spans="6:35" x14ac:dyDescent="0.25">
      <c r="F686" s="261"/>
      <c r="J686" s="200"/>
      <c r="K686" s="200"/>
      <c r="O686" s="207"/>
      <c r="P686" s="207"/>
      <c r="T686" s="207"/>
      <c r="U686" s="207"/>
      <c r="Y686" s="207"/>
      <c r="AC686" s="191"/>
      <c r="AE686" s="211"/>
      <c r="AF686" s="189"/>
      <c r="AH686" s="207"/>
      <c r="AI686" s="207"/>
    </row>
    <row r="687" spans="6:35" x14ac:dyDescent="0.25">
      <c r="F687" s="261"/>
      <c r="J687" s="200"/>
      <c r="K687" s="200"/>
      <c r="O687" s="207"/>
      <c r="P687" s="207"/>
      <c r="T687" s="207"/>
      <c r="U687" s="207"/>
      <c r="Y687" s="207"/>
      <c r="AC687" s="191"/>
      <c r="AE687" s="211"/>
      <c r="AF687" s="189"/>
      <c r="AH687" s="207"/>
      <c r="AI687" s="207"/>
    </row>
    <row r="688" spans="6:35" x14ac:dyDescent="0.25">
      <c r="F688" s="261"/>
      <c r="J688" s="200"/>
      <c r="K688" s="200"/>
      <c r="O688" s="207"/>
      <c r="P688" s="207"/>
      <c r="T688" s="207"/>
      <c r="U688" s="207"/>
      <c r="Y688" s="207"/>
      <c r="AC688" s="191"/>
      <c r="AE688" s="211"/>
      <c r="AF688" s="189"/>
      <c r="AH688" s="207"/>
      <c r="AI688" s="207"/>
    </row>
    <row r="689" spans="6:35" x14ac:dyDescent="0.25">
      <c r="F689" s="261"/>
      <c r="J689" s="200"/>
      <c r="K689" s="200"/>
      <c r="O689" s="207"/>
      <c r="P689" s="207"/>
      <c r="T689" s="207"/>
      <c r="U689" s="207"/>
      <c r="Y689" s="207"/>
      <c r="AC689" s="191"/>
      <c r="AE689" s="211"/>
      <c r="AF689" s="189"/>
      <c r="AH689" s="207"/>
      <c r="AI689" s="207"/>
    </row>
    <row r="690" spans="6:35" x14ac:dyDescent="0.25">
      <c r="F690" s="261"/>
      <c r="J690" s="200"/>
      <c r="K690" s="200"/>
      <c r="O690" s="207"/>
      <c r="P690" s="207"/>
      <c r="T690" s="207"/>
      <c r="U690" s="207"/>
      <c r="Y690" s="207"/>
      <c r="AC690" s="191"/>
      <c r="AE690" s="211"/>
      <c r="AF690" s="189"/>
      <c r="AH690" s="207"/>
      <c r="AI690" s="207"/>
    </row>
    <row r="691" spans="6:35" x14ac:dyDescent="0.25">
      <c r="F691" s="261"/>
      <c r="J691" s="200"/>
      <c r="K691" s="200"/>
      <c r="O691" s="207"/>
      <c r="P691" s="207"/>
      <c r="T691" s="207"/>
      <c r="U691" s="207"/>
      <c r="Y691" s="207"/>
      <c r="AC691" s="191"/>
      <c r="AE691" s="211"/>
      <c r="AF691" s="189"/>
      <c r="AH691" s="207"/>
      <c r="AI691" s="207"/>
    </row>
    <row r="692" spans="6:35" x14ac:dyDescent="0.25">
      <c r="F692" s="261"/>
      <c r="J692" s="200"/>
      <c r="K692" s="200"/>
      <c r="O692" s="207"/>
      <c r="P692" s="207"/>
      <c r="T692" s="207"/>
      <c r="U692" s="207"/>
      <c r="Y692" s="207"/>
      <c r="AC692" s="191"/>
      <c r="AE692" s="211"/>
      <c r="AF692" s="189"/>
      <c r="AH692" s="207"/>
      <c r="AI692" s="207"/>
    </row>
    <row r="693" spans="6:35" x14ac:dyDescent="0.25">
      <c r="F693" s="261"/>
      <c r="J693" s="200"/>
      <c r="K693" s="200"/>
      <c r="O693" s="207"/>
      <c r="P693" s="207"/>
      <c r="T693" s="207"/>
      <c r="U693" s="207"/>
      <c r="Y693" s="207"/>
      <c r="AC693" s="191"/>
      <c r="AE693" s="211"/>
      <c r="AF693" s="189"/>
      <c r="AH693" s="207"/>
      <c r="AI693" s="207"/>
    </row>
    <row r="694" spans="6:35" x14ac:dyDescent="0.25">
      <c r="F694" s="261"/>
      <c r="J694" s="200"/>
      <c r="K694" s="200"/>
      <c r="O694" s="207"/>
      <c r="P694" s="207"/>
      <c r="T694" s="207"/>
      <c r="U694" s="207"/>
      <c r="Y694" s="207"/>
      <c r="AC694" s="191"/>
      <c r="AE694" s="211"/>
      <c r="AF694" s="189"/>
      <c r="AH694" s="207"/>
      <c r="AI694" s="207"/>
    </row>
    <row r="695" spans="6:35" x14ac:dyDescent="0.25">
      <c r="F695" s="261"/>
      <c r="J695" s="200"/>
      <c r="K695" s="200"/>
      <c r="O695" s="207"/>
      <c r="P695" s="207"/>
      <c r="T695" s="207"/>
      <c r="U695" s="207"/>
      <c r="Y695" s="207"/>
      <c r="AC695" s="191"/>
      <c r="AE695" s="211"/>
      <c r="AF695" s="189"/>
      <c r="AH695" s="207"/>
      <c r="AI695" s="207"/>
    </row>
    <row r="696" spans="6:35" x14ac:dyDescent="0.25">
      <c r="F696" s="261"/>
      <c r="J696" s="200"/>
      <c r="K696" s="200"/>
      <c r="O696" s="207"/>
      <c r="P696" s="207"/>
      <c r="T696" s="207"/>
      <c r="U696" s="207"/>
      <c r="Y696" s="207"/>
      <c r="AC696" s="191"/>
      <c r="AE696" s="211"/>
      <c r="AF696" s="189"/>
      <c r="AH696" s="207"/>
      <c r="AI696" s="207"/>
    </row>
    <row r="697" spans="6:35" x14ac:dyDescent="0.25">
      <c r="F697" s="261"/>
      <c r="J697" s="200"/>
      <c r="K697" s="200"/>
      <c r="O697" s="207"/>
      <c r="P697" s="207"/>
      <c r="T697" s="207"/>
      <c r="U697" s="207"/>
      <c r="Y697" s="207"/>
      <c r="AC697" s="191"/>
      <c r="AE697" s="211"/>
      <c r="AF697" s="189"/>
      <c r="AH697" s="207"/>
      <c r="AI697" s="207"/>
    </row>
    <row r="698" spans="6:35" x14ac:dyDescent="0.25">
      <c r="F698" s="261"/>
      <c r="J698" s="200"/>
      <c r="K698" s="200"/>
      <c r="O698" s="207"/>
      <c r="P698" s="207"/>
      <c r="T698" s="207"/>
      <c r="U698" s="207"/>
      <c r="Y698" s="207"/>
      <c r="AC698" s="191"/>
      <c r="AE698" s="211"/>
      <c r="AF698" s="189"/>
      <c r="AH698" s="207"/>
      <c r="AI698" s="207"/>
    </row>
    <row r="699" spans="6:35" x14ac:dyDescent="0.25">
      <c r="F699" s="261"/>
      <c r="J699" s="200"/>
      <c r="K699" s="200"/>
      <c r="O699" s="207"/>
      <c r="P699" s="207"/>
      <c r="T699" s="207"/>
      <c r="U699" s="207"/>
      <c r="Y699" s="207"/>
      <c r="AC699" s="191"/>
      <c r="AE699" s="211"/>
      <c r="AF699" s="189"/>
      <c r="AH699" s="207"/>
      <c r="AI699" s="207"/>
    </row>
    <row r="700" spans="6:35" x14ac:dyDescent="0.25">
      <c r="F700" s="261"/>
      <c r="J700" s="200"/>
      <c r="K700" s="200"/>
      <c r="O700" s="207"/>
      <c r="P700" s="207"/>
      <c r="T700" s="207"/>
      <c r="U700" s="207"/>
      <c r="Y700" s="207"/>
      <c r="AC700" s="191"/>
      <c r="AE700" s="211"/>
      <c r="AF700" s="189"/>
      <c r="AH700" s="207"/>
      <c r="AI700" s="207"/>
    </row>
    <row r="701" spans="6:35" x14ac:dyDescent="0.25">
      <c r="F701" s="261"/>
      <c r="J701" s="200"/>
      <c r="K701" s="200"/>
      <c r="O701" s="207"/>
      <c r="P701" s="207"/>
      <c r="T701" s="207"/>
      <c r="U701" s="207"/>
      <c r="Y701" s="207"/>
      <c r="AC701" s="191"/>
      <c r="AE701" s="211"/>
      <c r="AF701" s="189"/>
      <c r="AH701" s="207"/>
      <c r="AI701" s="207"/>
    </row>
    <row r="702" spans="6:35" x14ac:dyDescent="0.25">
      <c r="F702" s="261"/>
      <c r="J702" s="200"/>
      <c r="K702" s="200"/>
      <c r="O702" s="207"/>
      <c r="P702" s="207"/>
      <c r="T702" s="207"/>
      <c r="U702" s="207"/>
      <c r="Y702" s="207"/>
      <c r="AC702" s="191"/>
      <c r="AE702" s="211"/>
      <c r="AF702" s="189"/>
      <c r="AH702" s="207"/>
      <c r="AI702" s="207"/>
    </row>
    <row r="703" spans="6:35" x14ac:dyDescent="0.25">
      <c r="F703" s="261"/>
      <c r="J703" s="200"/>
      <c r="K703" s="200"/>
      <c r="O703" s="207"/>
      <c r="P703" s="207"/>
      <c r="T703" s="207"/>
      <c r="U703" s="207"/>
      <c r="Y703" s="207"/>
      <c r="AC703" s="191"/>
      <c r="AE703" s="211"/>
      <c r="AF703" s="189"/>
      <c r="AH703" s="207"/>
      <c r="AI703" s="207"/>
    </row>
    <row r="704" spans="6:35" x14ac:dyDescent="0.25">
      <c r="F704" s="261"/>
      <c r="J704" s="200"/>
      <c r="K704" s="200"/>
      <c r="O704" s="207"/>
      <c r="P704" s="207"/>
      <c r="T704" s="207"/>
      <c r="U704" s="207"/>
      <c r="Y704" s="207"/>
      <c r="AC704" s="191"/>
      <c r="AE704" s="211"/>
      <c r="AF704" s="189"/>
      <c r="AH704" s="207"/>
      <c r="AI704" s="207"/>
    </row>
    <row r="705" spans="1:35" x14ac:dyDescent="0.25">
      <c r="F705" s="261"/>
      <c r="J705" s="200"/>
      <c r="K705" s="200"/>
      <c r="O705" s="207"/>
      <c r="P705" s="207"/>
      <c r="T705" s="207"/>
      <c r="U705" s="207"/>
      <c r="Y705" s="207"/>
      <c r="AC705" s="191"/>
      <c r="AE705" s="211"/>
      <c r="AF705" s="189"/>
      <c r="AH705" s="207"/>
      <c r="AI705" s="207"/>
    </row>
    <row r="706" spans="1:35" x14ac:dyDescent="0.25">
      <c r="F706" s="261"/>
      <c r="J706" s="200"/>
      <c r="K706" s="200"/>
      <c r="O706" s="207"/>
      <c r="P706" s="207"/>
      <c r="T706" s="207"/>
      <c r="U706" s="207"/>
      <c r="Y706" s="207"/>
      <c r="AC706" s="191"/>
      <c r="AE706" s="211"/>
      <c r="AF706" s="189"/>
      <c r="AH706" s="207"/>
      <c r="AI706" s="207"/>
    </row>
    <row r="707" spans="1:35" x14ac:dyDescent="0.25">
      <c r="F707" s="261"/>
      <c r="J707" s="200"/>
      <c r="K707" s="200"/>
      <c r="O707" s="207"/>
      <c r="P707" s="207"/>
      <c r="T707" s="207"/>
      <c r="U707" s="207"/>
      <c r="Y707" s="207"/>
      <c r="AC707" s="191"/>
      <c r="AE707" s="211"/>
      <c r="AF707" s="189"/>
      <c r="AH707" s="207"/>
      <c r="AI707" s="207"/>
    </row>
    <row r="708" spans="1:35" x14ac:dyDescent="0.25">
      <c r="F708" s="261"/>
      <c r="J708" s="200"/>
      <c r="K708" s="200"/>
      <c r="O708" s="207"/>
      <c r="P708" s="207"/>
      <c r="T708" s="207"/>
      <c r="U708" s="207"/>
      <c r="Y708" s="207"/>
      <c r="AC708" s="191"/>
      <c r="AE708" s="211"/>
      <c r="AF708" s="189"/>
      <c r="AH708" s="207"/>
      <c r="AI708" s="207"/>
    </row>
    <row r="709" spans="1:35" x14ac:dyDescent="0.25">
      <c r="F709" s="261"/>
      <c r="J709" s="200"/>
      <c r="K709" s="200"/>
      <c r="O709" s="207"/>
      <c r="P709" s="207"/>
      <c r="T709" s="207"/>
      <c r="U709" s="207"/>
      <c r="Y709" s="207"/>
      <c r="AC709" s="191"/>
      <c r="AE709" s="211"/>
      <c r="AF709" s="189"/>
      <c r="AH709" s="207"/>
      <c r="AI709" s="207"/>
    </row>
    <row r="710" spans="1:35" x14ac:dyDescent="0.25">
      <c r="F710" s="261"/>
      <c r="J710" s="200"/>
      <c r="K710" s="200"/>
      <c r="O710" s="207"/>
      <c r="P710" s="207"/>
      <c r="T710" s="207"/>
      <c r="U710" s="207"/>
      <c r="Y710" s="207"/>
      <c r="AC710" s="191"/>
      <c r="AE710" s="211"/>
      <c r="AF710" s="189"/>
      <c r="AH710" s="207"/>
      <c r="AI710" s="207"/>
    </row>
    <row r="711" spans="1:35" x14ac:dyDescent="0.25">
      <c r="F711" s="261"/>
      <c r="J711" s="200"/>
      <c r="K711" s="200"/>
      <c r="O711" s="207"/>
      <c r="P711" s="207"/>
      <c r="T711" s="207"/>
      <c r="U711" s="207"/>
      <c r="Y711" s="207"/>
      <c r="AC711" s="191"/>
      <c r="AE711" s="211"/>
      <c r="AF711" s="189"/>
      <c r="AH711" s="207"/>
      <c r="AI711" s="207"/>
    </row>
    <row r="712" spans="1:35" x14ac:dyDescent="0.25">
      <c r="F712" s="261"/>
      <c r="J712" s="200"/>
      <c r="K712" s="200"/>
      <c r="O712" s="207"/>
      <c r="P712" s="207"/>
      <c r="T712" s="207"/>
      <c r="U712" s="207"/>
      <c r="Y712" s="207"/>
      <c r="AC712" s="191"/>
      <c r="AE712" s="211"/>
      <c r="AF712" s="189"/>
      <c r="AH712" s="207"/>
      <c r="AI712" s="207"/>
    </row>
    <row r="713" spans="1:35" x14ac:dyDescent="0.25">
      <c r="F713" s="261"/>
      <c r="J713" s="200"/>
      <c r="K713" s="200"/>
      <c r="O713" s="207"/>
      <c r="P713" s="207"/>
      <c r="T713" s="207"/>
      <c r="U713" s="207"/>
      <c r="Y713" s="207"/>
      <c r="AC713" s="191"/>
      <c r="AE713" s="211"/>
      <c r="AF713" s="189"/>
      <c r="AH713" s="207"/>
      <c r="AI713" s="207"/>
    </row>
    <row r="714" spans="1:35" x14ac:dyDescent="0.25">
      <c r="F714" s="261"/>
      <c r="J714" s="200"/>
      <c r="K714" s="200"/>
      <c r="O714" s="207"/>
      <c r="P714" s="207"/>
      <c r="T714" s="207"/>
      <c r="U714" s="207"/>
      <c r="Y714" s="207"/>
      <c r="AC714" s="191"/>
      <c r="AE714" s="211"/>
      <c r="AF714" s="189"/>
      <c r="AH714" s="207"/>
      <c r="AI714" s="207"/>
    </row>
    <row r="715" spans="1:35" x14ac:dyDescent="0.25">
      <c r="F715" s="261"/>
      <c r="J715" s="200"/>
      <c r="K715" s="200"/>
      <c r="O715" s="207"/>
      <c r="P715" s="207"/>
      <c r="T715" s="207"/>
      <c r="U715" s="207"/>
      <c r="Y715" s="207"/>
      <c r="AC715" s="191"/>
      <c r="AE715" s="211"/>
      <c r="AF715" s="189"/>
      <c r="AH715" s="207"/>
      <c r="AI715" s="207"/>
    </row>
    <row r="716" spans="1:35" x14ac:dyDescent="0.25">
      <c r="F716" s="261"/>
      <c r="J716" s="200"/>
      <c r="K716" s="200"/>
      <c r="O716" s="207"/>
      <c r="P716" s="207"/>
      <c r="T716" s="207"/>
      <c r="U716" s="207"/>
      <c r="Y716" s="207"/>
      <c r="AC716" s="191"/>
      <c r="AE716" s="211"/>
      <c r="AF716" s="189"/>
      <c r="AH716" s="207"/>
      <c r="AI716" s="207"/>
    </row>
    <row r="717" spans="1:35" x14ac:dyDescent="0.25">
      <c r="A717"/>
      <c r="D717" s="263"/>
      <c r="E717"/>
      <c r="F717" s="261"/>
      <c r="J717" s="200"/>
      <c r="K717" s="200"/>
      <c r="O717" s="207"/>
      <c r="P717" s="207"/>
      <c r="T717" s="207"/>
      <c r="U717" s="207"/>
      <c r="Y717" s="207"/>
      <c r="AC717" s="191"/>
      <c r="AE717" s="211"/>
      <c r="AF717" s="189"/>
      <c r="AH717" s="207"/>
      <c r="AI717" s="207"/>
    </row>
    <row r="718" spans="1:35" x14ac:dyDescent="0.25">
      <c r="F718" s="261"/>
      <c r="J718" s="200"/>
      <c r="K718" s="200"/>
      <c r="O718" s="207"/>
      <c r="P718" s="207"/>
      <c r="T718" s="207"/>
      <c r="U718" s="207"/>
      <c r="Y718" s="207"/>
      <c r="AC718" s="191"/>
      <c r="AE718" s="211"/>
      <c r="AF718" s="189"/>
      <c r="AH718" s="207"/>
      <c r="AI718" s="207"/>
    </row>
    <row r="719" spans="1:35" x14ac:dyDescent="0.25">
      <c r="F719" s="261"/>
      <c r="J719" s="200"/>
      <c r="K719" s="200"/>
      <c r="O719" s="207"/>
      <c r="P719" s="207"/>
      <c r="T719" s="207"/>
      <c r="U719" s="207"/>
      <c r="Y719" s="207"/>
      <c r="AC719" s="191"/>
      <c r="AE719" s="211"/>
      <c r="AF719" s="189"/>
      <c r="AH719" s="207"/>
      <c r="AI719" s="207"/>
    </row>
    <row r="720" spans="1:35" x14ac:dyDescent="0.25">
      <c r="F720" s="261"/>
      <c r="J720" s="200"/>
      <c r="K720" s="200"/>
      <c r="O720" s="207"/>
      <c r="P720" s="207"/>
      <c r="T720" s="207"/>
      <c r="U720" s="207"/>
      <c r="Y720" s="207"/>
      <c r="AC720" s="191"/>
      <c r="AE720" s="211"/>
      <c r="AF720" s="189"/>
      <c r="AH720" s="207"/>
      <c r="AI720" s="207"/>
    </row>
    <row r="721" spans="6:35" x14ac:dyDescent="0.25">
      <c r="F721" s="261"/>
      <c r="J721" s="200"/>
      <c r="K721" s="200"/>
      <c r="O721" s="207"/>
      <c r="P721" s="207"/>
      <c r="T721" s="207"/>
      <c r="U721" s="207"/>
      <c r="Y721" s="207"/>
      <c r="AC721" s="191"/>
      <c r="AE721" s="211"/>
      <c r="AF721" s="189"/>
      <c r="AH721" s="207"/>
      <c r="AI721" s="207"/>
    </row>
    <row r="722" spans="6:35" x14ac:dyDescent="0.25">
      <c r="F722" s="261"/>
      <c r="J722" s="200"/>
      <c r="K722" s="200"/>
      <c r="O722" s="207"/>
      <c r="P722" s="207"/>
      <c r="T722" s="207"/>
      <c r="U722" s="207"/>
      <c r="Y722" s="207"/>
      <c r="AC722" s="191"/>
      <c r="AE722" s="211"/>
      <c r="AF722" s="189"/>
      <c r="AH722" s="207"/>
      <c r="AI722" s="207"/>
    </row>
    <row r="723" spans="6:35" x14ac:dyDescent="0.25">
      <c r="F723" s="261"/>
      <c r="J723" s="200"/>
      <c r="K723" s="200"/>
      <c r="O723" s="207"/>
      <c r="P723" s="207"/>
      <c r="T723" s="207"/>
      <c r="U723" s="207"/>
      <c r="Y723" s="207"/>
      <c r="AC723" s="191"/>
      <c r="AE723" s="211"/>
      <c r="AF723" s="189"/>
      <c r="AH723" s="207"/>
      <c r="AI723" s="207"/>
    </row>
    <row r="724" spans="6:35" x14ac:dyDescent="0.25">
      <c r="F724" s="261"/>
      <c r="J724" s="200"/>
      <c r="K724" s="200"/>
      <c r="O724" s="207"/>
      <c r="P724" s="207"/>
      <c r="T724" s="207"/>
      <c r="U724" s="207"/>
      <c r="Y724" s="207"/>
      <c r="AC724" s="191"/>
      <c r="AE724" s="211"/>
      <c r="AF724" s="189"/>
      <c r="AH724" s="207"/>
      <c r="AI724" s="207"/>
    </row>
    <row r="725" spans="6:35" x14ac:dyDescent="0.25">
      <c r="F725" s="261"/>
      <c r="J725" s="200"/>
      <c r="K725" s="200"/>
      <c r="O725" s="207"/>
      <c r="P725" s="207"/>
      <c r="T725" s="207"/>
      <c r="U725" s="207"/>
      <c r="Y725" s="207"/>
      <c r="AC725" s="191"/>
      <c r="AE725" s="211"/>
      <c r="AF725" s="189"/>
      <c r="AH725" s="207"/>
      <c r="AI725" s="207"/>
    </row>
    <row r="726" spans="6:35" x14ac:dyDescent="0.25">
      <c r="F726" s="261"/>
      <c r="J726" s="200"/>
      <c r="K726" s="200"/>
      <c r="O726" s="207"/>
      <c r="P726" s="207"/>
      <c r="T726" s="207"/>
      <c r="U726" s="207"/>
      <c r="Y726" s="207"/>
      <c r="AC726" s="191"/>
      <c r="AE726" s="211"/>
      <c r="AF726" s="189"/>
      <c r="AH726" s="207"/>
      <c r="AI726" s="207"/>
    </row>
    <row r="727" spans="6:35" x14ac:dyDescent="0.25">
      <c r="F727" s="261"/>
      <c r="J727" s="200"/>
      <c r="K727" s="200"/>
      <c r="O727" s="207"/>
      <c r="P727" s="207"/>
      <c r="T727" s="207"/>
      <c r="U727" s="207"/>
      <c r="Y727" s="207"/>
      <c r="AC727" s="191"/>
      <c r="AE727" s="211"/>
      <c r="AF727" s="189"/>
      <c r="AH727" s="207"/>
      <c r="AI727" s="207"/>
    </row>
    <row r="728" spans="6:35" x14ac:dyDescent="0.25">
      <c r="F728" s="261"/>
      <c r="J728" s="200"/>
      <c r="K728" s="200"/>
      <c r="O728" s="207"/>
      <c r="P728" s="207"/>
      <c r="T728" s="207"/>
      <c r="U728" s="207"/>
      <c r="Y728" s="207"/>
      <c r="AC728" s="191"/>
      <c r="AE728" s="211"/>
      <c r="AF728" s="189"/>
      <c r="AH728" s="207"/>
      <c r="AI728" s="207"/>
    </row>
    <row r="729" spans="6:35" x14ac:dyDescent="0.25">
      <c r="F729" s="261"/>
      <c r="J729" s="200"/>
      <c r="K729" s="200"/>
      <c r="O729" s="207"/>
      <c r="P729" s="207"/>
      <c r="T729" s="207"/>
      <c r="U729" s="207"/>
      <c r="Y729" s="207"/>
      <c r="AC729" s="191"/>
      <c r="AE729" s="211"/>
      <c r="AF729" s="189"/>
      <c r="AH729" s="207"/>
      <c r="AI729" s="207"/>
    </row>
    <row r="730" spans="6:35" x14ac:dyDescent="0.25">
      <c r="F730" s="261"/>
      <c r="J730" s="200"/>
      <c r="K730" s="200"/>
      <c r="O730" s="207"/>
      <c r="P730" s="207"/>
      <c r="T730" s="207"/>
      <c r="U730" s="207"/>
      <c r="Y730" s="207"/>
      <c r="AC730" s="191"/>
      <c r="AE730" s="211"/>
      <c r="AF730" s="189"/>
      <c r="AH730" s="207"/>
      <c r="AI730" s="207"/>
    </row>
    <row r="731" spans="6:35" x14ac:dyDescent="0.25">
      <c r="F731" s="261"/>
      <c r="J731" s="200"/>
      <c r="K731" s="200"/>
      <c r="O731" s="207"/>
      <c r="P731" s="207"/>
      <c r="T731" s="207"/>
      <c r="U731" s="207"/>
      <c r="Y731" s="207"/>
      <c r="AC731" s="191"/>
      <c r="AE731" s="211"/>
      <c r="AF731" s="189"/>
      <c r="AH731" s="207"/>
      <c r="AI731" s="207"/>
    </row>
    <row r="732" spans="6:35" x14ac:dyDescent="0.25">
      <c r="F732" s="261"/>
      <c r="J732" s="200"/>
      <c r="K732" s="200"/>
      <c r="O732" s="207"/>
      <c r="P732" s="207"/>
      <c r="T732" s="207"/>
      <c r="U732" s="207"/>
      <c r="Y732" s="207"/>
      <c r="AC732" s="191"/>
      <c r="AE732" s="211"/>
      <c r="AF732" s="189"/>
      <c r="AH732" s="207"/>
      <c r="AI732" s="207"/>
    </row>
    <row r="733" spans="6:35" x14ac:dyDescent="0.25">
      <c r="F733" s="261"/>
      <c r="J733" s="200"/>
      <c r="K733" s="200"/>
      <c r="O733" s="207"/>
      <c r="P733" s="207"/>
      <c r="T733" s="207"/>
      <c r="U733" s="207"/>
      <c r="Y733" s="207"/>
      <c r="AC733" s="191"/>
      <c r="AE733" s="211"/>
      <c r="AF733" s="189"/>
      <c r="AH733" s="207"/>
      <c r="AI733" s="207"/>
    </row>
    <row r="734" spans="6:35" x14ac:dyDescent="0.25">
      <c r="F734" s="261"/>
      <c r="J734" s="200"/>
      <c r="K734" s="200"/>
      <c r="O734" s="207"/>
      <c r="P734" s="207"/>
      <c r="T734" s="207"/>
      <c r="U734" s="207"/>
      <c r="Y734" s="207"/>
      <c r="AC734" s="191"/>
      <c r="AE734" s="211"/>
      <c r="AF734" s="189"/>
      <c r="AH734" s="207"/>
      <c r="AI734" s="207"/>
    </row>
    <row r="735" spans="6:35" x14ac:dyDescent="0.25">
      <c r="F735" s="261"/>
      <c r="J735" s="200"/>
      <c r="K735" s="200"/>
      <c r="O735" s="207"/>
      <c r="P735" s="207"/>
      <c r="T735" s="207"/>
      <c r="U735" s="207"/>
      <c r="Y735" s="207"/>
      <c r="AC735" s="191"/>
      <c r="AE735" s="211"/>
      <c r="AF735" s="189"/>
      <c r="AH735" s="207"/>
      <c r="AI735" s="207"/>
    </row>
    <row r="736" spans="6:35" x14ac:dyDescent="0.25">
      <c r="F736" s="261"/>
      <c r="J736" s="200"/>
      <c r="K736" s="200"/>
      <c r="O736" s="207"/>
      <c r="P736" s="207"/>
      <c r="T736" s="207"/>
      <c r="U736" s="207"/>
      <c r="Y736" s="207"/>
      <c r="AC736" s="191"/>
      <c r="AE736" s="211"/>
      <c r="AF736" s="189"/>
      <c r="AH736" s="207"/>
      <c r="AI736" s="207"/>
    </row>
    <row r="737" spans="6:35" x14ac:dyDescent="0.25">
      <c r="F737" s="261"/>
      <c r="J737" s="200"/>
      <c r="K737" s="200"/>
      <c r="O737" s="207"/>
      <c r="P737" s="207"/>
      <c r="T737" s="207"/>
      <c r="U737" s="207"/>
      <c r="Y737" s="207"/>
      <c r="AC737" s="191"/>
      <c r="AE737" s="211"/>
      <c r="AF737" s="189"/>
      <c r="AH737" s="207"/>
      <c r="AI737" s="207"/>
    </row>
    <row r="738" spans="6:35" x14ac:dyDescent="0.25">
      <c r="F738" s="261"/>
      <c r="J738" s="200"/>
      <c r="K738" s="200"/>
      <c r="O738" s="207"/>
      <c r="P738" s="207"/>
      <c r="T738" s="207"/>
      <c r="U738" s="207"/>
      <c r="Y738" s="207"/>
      <c r="AC738" s="191"/>
      <c r="AE738" s="211"/>
      <c r="AF738" s="189"/>
      <c r="AH738" s="207"/>
      <c r="AI738" s="207"/>
    </row>
    <row r="739" spans="6:35" x14ac:dyDescent="0.25">
      <c r="F739" s="261"/>
      <c r="J739" s="200"/>
      <c r="K739" s="200"/>
      <c r="O739" s="207"/>
      <c r="P739" s="207"/>
      <c r="T739" s="207"/>
      <c r="U739" s="207"/>
      <c r="Y739" s="207"/>
      <c r="AC739" s="191"/>
      <c r="AE739" s="211"/>
      <c r="AF739" s="189"/>
      <c r="AH739" s="207"/>
      <c r="AI739" s="207"/>
    </row>
    <row r="740" spans="6:35" x14ac:dyDescent="0.25">
      <c r="F740" s="261"/>
      <c r="J740" s="200"/>
      <c r="K740" s="200"/>
      <c r="O740" s="207"/>
      <c r="P740" s="207"/>
      <c r="T740" s="207"/>
      <c r="U740" s="207"/>
      <c r="Y740" s="207"/>
      <c r="AC740" s="191"/>
      <c r="AE740" s="211"/>
      <c r="AF740" s="189"/>
      <c r="AH740" s="207"/>
      <c r="AI740" s="207"/>
    </row>
    <row r="741" spans="6:35" x14ac:dyDescent="0.25">
      <c r="F741" s="261"/>
      <c r="J741" s="200"/>
      <c r="K741" s="200"/>
      <c r="O741" s="207"/>
      <c r="P741" s="207"/>
      <c r="T741" s="207"/>
      <c r="U741" s="207"/>
      <c r="Y741" s="207"/>
      <c r="AC741" s="191"/>
      <c r="AE741" s="211"/>
      <c r="AF741" s="189"/>
      <c r="AH741" s="207"/>
      <c r="AI741" s="207"/>
    </row>
    <row r="742" spans="6:35" x14ac:dyDescent="0.25">
      <c r="F742" s="261"/>
      <c r="J742" s="200"/>
      <c r="K742" s="200"/>
      <c r="O742" s="207"/>
      <c r="P742" s="207"/>
      <c r="T742" s="207"/>
      <c r="U742" s="207"/>
      <c r="Y742" s="207"/>
      <c r="AC742" s="191"/>
      <c r="AE742" s="211"/>
      <c r="AF742" s="189"/>
      <c r="AH742" s="207"/>
      <c r="AI742" s="207"/>
    </row>
    <row r="743" spans="6:35" x14ac:dyDescent="0.25">
      <c r="F743" s="261"/>
      <c r="J743" s="200"/>
      <c r="K743" s="200"/>
      <c r="O743" s="207"/>
      <c r="P743" s="207"/>
      <c r="T743" s="207"/>
      <c r="U743" s="207"/>
      <c r="Y743" s="207"/>
      <c r="AC743" s="191"/>
      <c r="AE743" s="211"/>
      <c r="AF743" s="189"/>
      <c r="AH743" s="207"/>
      <c r="AI743" s="207"/>
    </row>
    <row r="744" spans="6:35" x14ac:dyDescent="0.25">
      <c r="F744" s="261"/>
      <c r="J744" s="200"/>
      <c r="K744" s="200"/>
      <c r="O744" s="207"/>
      <c r="P744" s="207"/>
      <c r="T744" s="207"/>
      <c r="U744" s="207"/>
      <c r="Y744" s="207"/>
      <c r="AC744" s="191"/>
      <c r="AE744" s="211"/>
      <c r="AF744" s="189"/>
      <c r="AH744" s="207"/>
      <c r="AI744" s="207"/>
    </row>
    <row r="745" spans="6:35" x14ac:dyDescent="0.25">
      <c r="F745" s="261"/>
      <c r="J745" s="200"/>
      <c r="K745" s="200"/>
      <c r="O745" s="207"/>
      <c r="P745" s="207"/>
      <c r="T745" s="207"/>
      <c r="U745" s="207"/>
      <c r="Y745" s="207"/>
      <c r="AC745" s="191"/>
      <c r="AE745" s="211"/>
      <c r="AF745" s="189"/>
      <c r="AH745" s="207"/>
      <c r="AI745" s="207"/>
    </row>
    <row r="746" spans="6:35" x14ac:dyDescent="0.25">
      <c r="F746" s="261"/>
      <c r="J746" s="200"/>
      <c r="K746" s="200"/>
      <c r="O746" s="207"/>
      <c r="P746" s="207"/>
      <c r="T746" s="207"/>
      <c r="U746" s="207"/>
      <c r="Y746" s="207"/>
      <c r="AC746" s="191"/>
      <c r="AE746" s="211"/>
      <c r="AF746" s="189"/>
      <c r="AH746" s="207"/>
      <c r="AI746" s="207"/>
    </row>
    <row r="747" spans="6:35" x14ac:dyDescent="0.25">
      <c r="F747" s="261"/>
      <c r="J747" s="200"/>
      <c r="K747" s="200"/>
      <c r="O747" s="207"/>
      <c r="P747" s="207"/>
      <c r="T747" s="207"/>
      <c r="U747" s="207"/>
      <c r="Y747" s="207"/>
      <c r="AC747" s="191"/>
      <c r="AE747" s="211"/>
      <c r="AF747" s="189"/>
      <c r="AH747" s="207"/>
      <c r="AI747" s="207"/>
    </row>
    <row r="748" spans="6:35" x14ac:dyDescent="0.25">
      <c r="F748" s="261"/>
      <c r="J748" s="200"/>
      <c r="K748" s="200"/>
      <c r="O748" s="207"/>
      <c r="P748" s="207"/>
      <c r="T748" s="207"/>
      <c r="U748" s="207"/>
      <c r="Y748" s="207"/>
      <c r="AC748" s="191"/>
      <c r="AE748" s="211"/>
      <c r="AF748" s="189"/>
      <c r="AH748" s="207"/>
      <c r="AI748" s="207"/>
    </row>
    <row r="749" spans="6:35" x14ac:dyDescent="0.25">
      <c r="F749" s="261"/>
      <c r="J749" s="200"/>
      <c r="K749" s="200"/>
      <c r="O749" s="207"/>
      <c r="P749" s="207"/>
      <c r="T749" s="207"/>
      <c r="U749" s="207"/>
      <c r="Y749" s="207"/>
      <c r="AC749" s="191"/>
      <c r="AE749" s="211"/>
      <c r="AF749" s="189"/>
      <c r="AH749" s="207"/>
      <c r="AI749" s="207"/>
    </row>
    <row r="750" spans="6:35" x14ac:dyDescent="0.25">
      <c r="F750" s="261"/>
      <c r="J750" s="200"/>
      <c r="K750" s="200"/>
      <c r="O750" s="207"/>
      <c r="P750" s="207"/>
      <c r="T750" s="207"/>
      <c r="U750" s="207"/>
      <c r="Y750" s="207"/>
      <c r="AC750" s="191"/>
      <c r="AE750" s="211"/>
      <c r="AF750" s="189"/>
      <c r="AH750" s="207"/>
      <c r="AI750" s="207"/>
    </row>
    <row r="751" spans="6:35" x14ac:dyDescent="0.25">
      <c r="F751" s="261"/>
      <c r="J751" s="200"/>
      <c r="K751" s="200"/>
      <c r="O751" s="207"/>
      <c r="P751" s="207"/>
      <c r="T751" s="207"/>
      <c r="U751" s="207"/>
      <c r="Y751" s="207"/>
      <c r="AC751" s="191"/>
      <c r="AE751" s="211"/>
      <c r="AF751" s="189"/>
      <c r="AH751" s="207"/>
      <c r="AI751" s="207"/>
    </row>
    <row r="752" spans="6:35" x14ac:dyDescent="0.25">
      <c r="F752" s="261"/>
      <c r="J752" s="200"/>
      <c r="K752" s="200"/>
      <c r="O752" s="207"/>
      <c r="P752" s="207"/>
      <c r="T752" s="207"/>
      <c r="U752" s="207"/>
      <c r="Y752" s="207"/>
      <c r="AC752" s="191"/>
      <c r="AE752" s="211"/>
      <c r="AF752" s="189"/>
      <c r="AH752" s="207"/>
      <c r="AI752" s="207"/>
    </row>
    <row r="753" spans="6:35" x14ac:dyDescent="0.25">
      <c r="F753" s="261"/>
      <c r="J753" s="200"/>
      <c r="K753" s="200"/>
      <c r="O753" s="207"/>
      <c r="P753" s="207"/>
      <c r="T753" s="207"/>
      <c r="U753" s="207"/>
      <c r="Y753" s="207"/>
      <c r="AC753" s="191"/>
      <c r="AE753" s="211"/>
      <c r="AF753" s="189"/>
      <c r="AH753" s="207"/>
      <c r="AI753" s="207"/>
    </row>
    <row r="754" spans="6:35" x14ac:dyDescent="0.25">
      <c r="F754" s="261"/>
      <c r="J754" s="200"/>
      <c r="K754" s="200"/>
      <c r="O754" s="207"/>
      <c r="P754" s="207"/>
      <c r="T754" s="207"/>
      <c r="U754" s="207"/>
      <c r="Y754" s="207"/>
      <c r="AC754" s="191"/>
      <c r="AE754" s="211"/>
      <c r="AF754" s="189"/>
      <c r="AH754" s="207"/>
      <c r="AI754" s="207"/>
    </row>
    <row r="755" spans="6:35" x14ac:dyDescent="0.25">
      <c r="F755" s="261"/>
      <c r="J755" s="200"/>
      <c r="K755" s="200"/>
      <c r="O755" s="207"/>
      <c r="P755" s="207"/>
      <c r="T755" s="207"/>
      <c r="U755" s="207"/>
      <c r="Y755" s="207"/>
      <c r="AC755" s="191"/>
      <c r="AE755" s="211"/>
      <c r="AF755" s="189"/>
      <c r="AH755" s="207"/>
      <c r="AI755" s="207"/>
    </row>
    <row r="756" spans="6:35" x14ac:dyDescent="0.25">
      <c r="F756" s="261"/>
      <c r="J756" s="200"/>
      <c r="K756" s="200"/>
      <c r="O756" s="207"/>
      <c r="P756" s="207"/>
      <c r="T756" s="207"/>
      <c r="U756" s="207"/>
      <c r="Y756" s="207"/>
      <c r="AC756" s="191"/>
      <c r="AE756" s="211"/>
      <c r="AF756" s="189"/>
      <c r="AH756" s="207"/>
      <c r="AI756" s="207"/>
    </row>
    <row r="757" spans="6:35" x14ac:dyDescent="0.25">
      <c r="F757" s="261"/>
      <c r="J757" s="200"/>
      <c r="K757" s="200"/>
      <c r="O757" s="207"/>
      <c r="P757" s="207"/>
      <c r="T757" s="207"/>
      <c r="U757" s="207"/>
      <c r="Y757" s="207"/>
      <c r="AC757" s="191"/>
      <c r="AE757" s="211"/>
      <c r="AF757" s="189"/>
      <c r="AH757" s="207"/>
      <c r="AI757" s="207"/>
    </row>
    <row r="758" spans="6:35" x14ac:dyDescent="0.25">
      <c r="F758" s="261"/>
      <c r="J758" s="200"/>
      <c r="K758" s="200"/>
      <c r="O758" s="207"/>
      <c r="P758" s="207"/>
      <c r="T758" s="207"/>
      <c r="U758" s="207"/>
      <c r="Y758" s="207"/>
      <c r="AC758" s="191"/>
      <c r="AE758" s="211"/>
      <c r="AF758" s="189"/>
      <c r="AH758" s="207"/>
      <c r="AI758" s="207"/>
    </row>
  </sheetData>
  <mergeCells count="61">
    <mergeCell ref="I11:M11"/>
    <mergeCell ref="N11:R11"/>
    <mergeCell ref="S11:W11"/>
    <mergeCell ref="X11:AA11"/>
    <mergeCell ref="AF1:AK1"/>
    <mergeCell ref="AF4:AK4"/>
    <mergeCell ref="A5:AK5"/>
    <mergeCell ref="A6:AK6"/>
    <mergeCell ref="A7:AK7"/>
    <mergeCell ref="A8:AK8"/>
    <mergeCell ref="AB11:AF11"/>
    <mergeCell ref="AG11:AK11"/>
    <mergeCell ref="A10:A12"/>
    <mergeCell ref="B10:B12"/>
    <mergeCell ref="C10:C12"/>
    <mergeCell ref="D10:D12"/>
    <mergeCell ref="A14:AK14"/>
    <mergeCell ref="A138:AK138"/>
    <mergeCell ref="A174:A175"/>
    <mergeCell ref="B174:B175"/>
    <mergeCell ref="C174:C175"/>
    <mergeCell ref="D174:D175"/>
    <mergeCell ref="E174:E175"/>
    <mergeCell ref="F174:F175"/>
    <mergeCell ref="N174:N175"/>
    <mergeCell ref="O174:O175"/>
    <mergeCell ref="AH174:AH175"/>
    <mergeCell ref="AJ174:AJ175"/>
    <mergeCell ref="AK174:AK175"/>
    <mergeCell ref="E10:AK10"/>
    <mergeCell ref="E11:H11"/>
    <mergeCell ref="A300:AK300"/>
    <mergeCell ref="AA174:AA175"/>
    <mergeCell ref="AB174:AB175"/>
    <mergeCell ref="AC174:AC175"/>
    <mergeCell ref="AE174:AE175"/>
    <mergeCell ref="AF174:AF175"/>
    <mergeCell ref="AG174:AG175"/>
    <mergeCell ref="T174:T175"/>
    <mergeCell ref="V174:V175"/>
    <mergeCell ref="W174:W175"/>
    <mergeCell ref="X174:X175"/>
    <mergeCell ref="Y174:Y175"/>
    <mergeCell ref="Z174:Z175"/>
    <mergeCell ref="M174:M175"/>
    <mergeCell ref="A224:AK224"/>
    <mergeCell ref="A271:AK271"/>
    <mergeCell ref="Q174:Q175"/>
    <mergeCell ref="R174:R175"/>
    <mergeCell ref="S174:S175"/>
    <mergeCell ref="G174:G175"/>
    <mergeCell ref="H174:H175"/>
    <mergeCell ref="I174:I175"/>
    <mergeCell ref="J174:J175"/>
    <mergeCell ref="K174:K175"/>
    <mergeCell ref="L174:L175"/>
    <mergeCell ref="A419:AK419"/>
    <mergeCell ref="AN573:AO573"/>
    <mergeCell ref="A574:AK574"/>
    <mergeCell ref="B590:Z590"/>
    <mergeCell ref="AC590:AF590"/>
  </mergeCells>
  <printOptions horizontalCentered="1"/>
  <pageMargins left="0" right="0" top="0.19685039370078741" bottom="0.19685039370078741" header="0.19685039370078741" footer="0.19685039370078741"/>
  <pageSetup paperSize="9" scale="34" fitToHeight="0" orientation="landscape" r:id="rId1"/>
  <headerFooter alignWithMargins="0"/>
  <colBreaks count="1" manualBreakCount="1">
    <brk id="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1мероприятия</vt:lpstr>
      <vt:lpstr>2индикаторы </vt:lpstr>
      <vt:lpstr>3переч.ПБДД</vt:lpstr>
      <vt:lpstr>4переч.МРАД</vt:lpstr>
      <vt:lpstr>'1мероприятия'!Заголовки_для_печати</vt:lpstr>
      <vt:lpstr>'2индикаторы '!Заголовки_для_печати</vt:lpstr>
      <vt:lpstr>'3переч.ПБДД'!Заголовки_для_печати</vt:lpstr>
      <vt:lpstr>'4переч.МРАД'!Заголовки_для_печати</vt:lpstr>
      <vt:lpstr>'1мероприятия'!Область_печати</vt:lpstr>
      <vt:lpstr>'2индикаторы '!Область_печати</vt:lpstr>
      <vt:lpstr>'3переч.ПБДД'!Область_печати</vt:lpstr>
      <vt:lpstr>'4переч.МРАД'!Область_печати</vt:lpstr>
    </vt:vector>
  </TitlesOfParts>
  <Company>Мэрия Тольятти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demidova.man</cp:lastModifiedBy>
  <cp:lastPrinted>2020-12-08T12:50:22Z</cp:lastPrinted>
  <dcterms:created xsi:type="dcterms:W3CDTF">2010-09-21T12:17:32Z</dcterms:created>
  <dcterms:modified xsi:type="dcterms:W3CDTF">2020-12-08T12:57:08Z</dcterms:modified>
</cp:coreProperties>
</file>