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20" windowWidth="19170" windowHeight="10620" tabRatio="874" activeTab="0"/>
  </bookViews>
  <sheets>
    <sheet name="Прил." sheetId="1" r:id="rId1"/>
  </sheets>
  <definedNames>
    <definedName name="_xlnm.Print_Titles" localSheetId="0">'Прил.'!$2:$5</definedName>
    <definedName name="_xlnm.Print_Area" localSheetId="0">'Прил.'!$A$1:$AE$75</definedName>
  </definedNames>
  <calcPr fullCalcOnLoad="1"/>
</workbook>
</file>

<file path=xl/sharedStrings.xml><?xml version="1.0" encoding="utf-8"?>
<sst xmlns="http://schemas.openxmlformats.org/spreadsheetml/2006/main" count="251" uniqueCount="144">
  <si>
    <t>1.1</t>
  </si>
  <si>
    <t>1.2</t>
  </si>
  <si>
    <t>1.3</t>
  </si>
  <si>
    <t>2.1</t>
  </si>
  <si>
    <t>4.1</t>
  </si>
  <si>
    <t>Сроки реализации</t>
  </si>
  <si>
    <t>ИТОГО</t>
  </si>
  <si>
    <t>Всего</t>
  </si>
  <si>
    <t>Местный бюджет</t>
  </si>
  <si>
    <t>Областной бюджет</t>
  </si>
  <si>
    <t>ДГХ</t>
  </si>
  <si>
    <t>Итого по задаче 1:</t>
  </si>
  <si>
    <t>Итого по задаче 2:</t>
  </si>
  <si>
    <t>Итого по задаче 3:</t>
  </si>
  <si>
    <t>4.2</t>
  </si>
  <si>
    <t>Итого по задаче 4:</t>
  </si>
  <si>
    <t>5.1</t>
  </si>
  <si>
    <t>4.3</t>
  </si>
  <si>
    <t>Текущее содержание дорог  в зимнее и летнее время</t>
  </si>
  <si>
    <t>Ликвидация несанкционированных свалок</t>
  </si>
  <si>
    <t>Обеспечение водоснабжения</t>
  </si>
  <si>
    <t>Итого по задаче 5:</t>
  </si>
  <si>
    <t>3.1</t>
  </si>
  <si>
    <t>3.2</t>
  </si>
  <si>
    <t>3.3</t>
  </si>
  <si>
    <t>3.4</t>
  </si>
  <si>
    <t>3.5</t>
  </si>
  <si>
    <t>3.6</t>
  </si>
  <si>
    <t>Текущий ремонт памятных мест</t>
  </si>
  <si>
    <t>Федеральный бюджет</t>
  </si>
  <si>
    <t>Внебюджетные средства</t>
  </si>
  <si>
    <t>Удаление аварийно-опасных, сухостойных и упавших деревьев</t>
  </si>
  <si>
    <t>Обработка территорий пляжей</t>
  </si>
  <si>
    <t>Обработка территорий парков</t>
  </si>
  <si>
    <t>2.2</t>
  </si>
  <si>
    <t>2.3</t>
  </si>
  <si>
    <t>Обработка земельных участков общего пользования, расположенных в границах городского округа Тольятти</t>
  </si>
  <si>
    <t xml:space="preserve">Задача 3: Содержание мест погребения (мест захоронения) городского округа Тольятти </t>
  </si>
  <si>
    <t>3.7</t>
  </si>
  <si>
    <t xml:space="preserve"> ДГХ</t>
  </si>
  <si>
    <t xml:space="preserve"> ДГХ </t>
  </si>
  <si>
    <t>№ п/п</t>
  </si>
  <si>
    <t xml:space="preserve">Наименование целей, задач и мероприятий муниципальной программы  </t>
  </si>
  <si>
    <t>Ответсвенный исполнитель</t>
  </si>
  <si>
    <t>Финансовое обеспечение реализации муниципальной программы, тыс. руб.</t>
  </si>
  <si>
    <t>Подготовка мест проведения праздничных мероприятий</t>
  </si>
  <si>
    <t>2.4</t>
  </si>
  <si>
    <t>План на 2020 год</t>
  </si>
  <si>
    <t>План на 2021 год</t>
  </si>
  <si>
    <t>План на 2022 год</t>
  </si>
  <si>
    <t>План на 2023 год</t>
  </si>
  <si>
    <t>План на 2024 год</t>
  </si>
  <si>
    <t>2020-2024</t>
  </si>
  <si>
    <t>Содержание пляжа и прилегающей территории</t>
  </si>
  <si>
    <t xml:space="preserve">Предоставление субсидий на выплату ежемесячных доплат и компенсационных выплат матерям (или другим родственникам, фактически осуществляющим уход за ребенком), находящимся в отпуске </t>
  </si>
  <si>
    <t>4540*</t>
  </si>
  <si>
    <t>*планируемые к поступлению средства областного бюджета.</t>
  </si>
  <si>
    <t>Содержание  территории парков города</t>
  </si>
  <si>
    <t>Перечень мероприятий муниципальной программы "Тольятти - чистый город на 2020-2024 годы"</t>
  </si>
  <si>
    <t>Содержание  объектов озеленения</t>
  </si>
  <si>
    <t>Содержание автодорог</t>
  </si>
  <si>
    <t>Задача 2: Проведение акарицидной обработки и дератизации территорий общего пользования городского округа Тольятти</t>
  </si>
  <si>
    <t>Задача 1: Содержание территорий общего пользования, комплексное содержание жилых кварталов и объектов озеленения городского округа Тольятти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</si>
  <si>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</si>
  <si>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</si>
  <si>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</si>
  <si>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</si>
  <si>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</si>
  <si>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</si>
  <si>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</si>
  <si>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</si>
  <si>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</si>
  <si>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 xml:space="preserve">Содержание объектов благоустройства </t>
  </si>
  <si>
    <t>Задача 4: Праздничное оформление городских общественных пространств</t>
  </si>
  <si>
    <t>Задача 5: Обеспечение безопасности населения городского округа Тольятти от неблагоприятного воздействия животных без владельцев</t>
  </si>
  <si>
    <t>Цель: Обеспечение выполнения комплекса мероприятий по содержанию территории городского округа Тольятти, направленных на предупреждение потенциального экологического вреда и обеспечение соответствия городских общественных пространств высоким стандартам качества городской среды</t>
  </si>
  <si>
    <t>Санитарная очистка мест проведения праздничных мероприятий</t>
  </si>
  <si>
    <t>Обращение с твердыми коммунальными отходами</t>
  </si>
  <si>
    <t xml:space="preserve">Осуществление деятельности по обращению с животными без владельцев </t>
  </si>
  <si>
    <t>Содержание территории берегоукрепления</t>
  </si>
  <si>
    <t>Текущий (ямочный)  ремонт асфальтобетонного покрытия дорог, тротуаров Автозаводского, Комсомольского и мкр. Поволжский</t>
  </si>
  <si>
    <t xml:space="preserve">Содержание тротуаров </t>
  </si>
  <si>
    <t xml:space="preserve">Содержание газонов </t>
  </si>
  <si>
    <t>1.13</t>
  </si>
  <si>
    <t>1.14</t>
  </si>
  <si>
    <t>Содержание катков и  кортов</t>
  </si>
  <si>
    <t>Текущий (ямочный) ремонт асфальтобетонного покрытия дорог, тротуаров в Центральном районе</t>
  </si>
  <si>
    <t>Содержание скверов и площадок семейного отдыха</t>
  </si>
  <si>
    <t>ДГХ (МБУ "Зеленстрой")</t>
  </si>
  <si>
    <t>3.8</t>
  </si>
  <si>
    <t>2020-2022</t>
  </si>
  <si>
    <t>Захоронение смета</t>
  </si>
  <si>
    <t>Транспортные услуги по вывозу смета</t>
  </si>
  <si>
    <t>Приобретение мусоросборников, предназначенных для складирования ТКО</t>
  </si>
  <si>
    <t>3.9</t>
  </si>
  <si>
    <t>3.10</t>
  </si>
  <si>
    <t>3.11</t>
  </si>
  <si>
    <t>Предоставление субсидий на иные цели, в том числе на реализацию мероприятий,  направленных на содержание мест погребения (мест захоронения)</t>
  </si>
  <si>
    <t>2021-2024</t>
  </si>
  <si>
    <t>Освобождение земельных участков и благоустройство после сноса (демонтаж сооружений)</t>
  </si>
  <si>
    <t>Дератизация территории кладбищ</t>
  </si>
  <si>
    <t>2020,2023, 2024</t>
  </si>
  <si>
    <t>Ремонт территории воинских захоронений, захоронений участников Великой Отечественной войны</t>
  </si>
  <si>
    <t>Ремонт покрытий проездов и пешеходных дорожек</t>
  </si>
  <si>
    <t>Предоставление субсидий на иные цели, в том числе на приобретение, и (или) модернизацию, и (или) дооборудование, и (или) капитальный ремонт основных средств Учреждений, не              относящихся к объектам капитального                      строительства;</t>
  </si>
  <si>
    <t>6.1</t>
  </si>
  <si>
    <t>6.2</t>
  </si>
  <si>
    <t>6.3</t>
  </si>
  <si>
    <t>6.5</t>
  </si>
  <si>
    <t>6.4</t>
  </si>
  <si>
    <t>Задача 6: Проведение санитарной очистки территорий общего пользования городского округа Тольятти</t>
  </si>
  <si>
    <t>ДК</t>
  </si>
  <si>
    <t>ДО</t>
  </si>
  <si>
    <t>УФиС</t>
  </si>
  <si>
    <t>Х</t>
  </si>
  <si>
    <t>2020 (оплата принятых в 2019 г. обязательств)</t>
  </si>
  <si>
    <t>4250 добавлено 2.9 в полосатике</t>
  </si>
  <si>
    <t xml:space="preserve">с 2.9. в полосатике снимается 1076 </t>
  </si>
  <si>
    <t>снимается 14 тыс. с ограждений и 18 тыс. с флагов</t>
  </si>
  <si>
    <t>Уход за зелеными насаждениями</t>
  </si>
  <si>
    <t xml:space="preserve">Акарицидная обработка </t>
  </si>
  <si>
    <t xml:space="preserve">снимается 3638 </t>
  </si>
  <si>
    <t>снимается экономия 132 и добавляпется 2100 на праздники</t>
  </si>
  <si>
    <t>снимается 950 свободные ассигнования</t>
  </si>
  <si>
    <t xml:space="preserve">снимается экономия 43 </t>
  </si>
  <si>
    <t>контракт 156</t>
  </si>
  <si>
    <t>контракт на 3808,5 = какие то 5</t>
  </si>
  <si>
    <t>контракт на 218,5</t>
  </si>
  <si>
    <t xml:space="preserve">контракт 625,6 </t>
  </si>
  <si>
    <t>18 экономия и 1256,7 свободные</t>
  </si>
  <si>
    <t>4706 свободные</t>
  </si>
  <si>
    <t>8743,3 свободные</t>
  </si>
  <si>
    <t>Итого с учетом оплаты ранее принятых обязательств:</t>
  </si>
  <si>
    <t>** Оплата ранее принятых обязательств:</t>
  </si>
  <si>
    <t>Итого по Программе, без учета оплаты ранее принятых обязательств:</t>
  </si>
  <si>
    <t>Итого по задаче 6 без учета оплаты ранее принятых обязательств:</t>
  </si>
  <si>
    <t xml:space="preserve">Дератизация набережной Комсомольского района и территорий общего пользования </t>
  </si>
  <si>
    <t>+ 165</t>
  </si>
  <si>
    <t>- 487,2</t>
  </si>
  <si>
    <t>+15+67+430-11</t>
  </si>
  <si>
    <t>Инвентаризация захоронений</t>
  </si>
  <si>
    <t>3.12</t>
  </si>
  <si>
    <t>2021</t>
  </si>
  <si>
    <t>Обращение с твердыми коммунальными отходами, содержание контейнерных площадок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</si>
</sst>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_-* #,##0_р_._-;\-* #,##0_р_._-;_-* &quot;-&quot;??_р_._-;_-@_-"/>
    <numFmt numFmtId="182" formatCode="[$-F800]dddd\,\ mmmm\ dd\,\ yyyy"/>
    <numFmt numFmtId="183" formatCode="_-* #,##0.0_р_._-;\-* #,##0.0_р_._-;_-* &quot;-&quot;??_р_._-;_-@_-"/>
    <numFmt numFmtId="184" formatCode="[$-FC19]d\ mmmm\ yyyy\ &quot;г.&quot;"/>
    <numFmt numFmtId="185" formatCode="#,##0.00_ ;\-#,##0.00\ "/>
    <numFmt numFmtId="186" formatCode="#,##0.0"/>
    <numFmt numFmtId="187" formatCode="_-* #,##0.00_р_._-;\-* #,##0.00_р_._-;_-* \-??_р_._-;_-@_-"/>
    <numFmt numFmtId="188" formatCode="_-* #,##0_р_._-;\-* #,##0_р_._-;_-* \-??_р_._-;_-@_-"/>
    <numFmt numFmtId="189" formatCode="dddd&quot;, &quot;mmmm\ dd&quot;, &quot;yyyy"/>
    <numFmt numFmtId="190" formatCode="#,##0.00;[Red]#,##0.00"/>
    <numFmt numFmtId="191" formatCode="#,##0.000;[Red]#,##0.000"/>
    <numFmt numFmtId="192" formatCode="#,##0.0;[Red]#,##0.0"/>
    <numFmt numFmtId="193" formatCode="#,##0;[Red]#,##0"/>
    <numFmt numFmtId="194" formatCode="0.0;[Red]0.0"/>
    <numFmt numFmtId="195" formatCode="#,##0.000"/>
    <numFmt numFmtId="196" formatCode="#,##0.0000"/>
    <numFmt numFmtId="197" formatCode="#,##0.00000"/>
    <numFmt numFmtId="198" formatCode="#,##0.0000;[Red]#,##0.0000"/>
    <numFmt numFmtId="199" formatCode="#,##0.000000"/>
    <numFmt numFmtId="200" formatCode="0.00;[Red]0.00"/>
    <numFmt numFmtId="201" formatCode="0.000000"/>
    <numFmt numFmtId="202" formatCode="0.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#,##0.0000000"/>
    <numFmt numFmtId="213" formatCode="#\ ##0.0"/>
    <numFmt numFmtId="214" formatCode="#,##0.00000000"/>
    <numFmt numFmtId="215" formatCode="#,##0.000000000"/>
    <numFmt numFmtId="216" formatCode="#,##0.0000000000"/>
    <numFmt numFmtId="217" formatCode="#,##0.00000000000"/>
    <numFmt numFmtId="218" formatCode="_-* #,##0.000_р_._-;\-* #,##0.000_р_._-;_-* &quot;-&quot;??_р_._-;_-@_-"/>
    <numFmt numFmtId="219" formatCode="_-* #,##0.0_р_._-;\-* #,##0.0_р_._-;_-* &quot;-&quot;?_р_._-;_-@_-"/>
    <numFmt numFmtId="220" formatCode="_-* #,##0.0\ _₽_-;\-* #,##0.0\ _₽_-;_-* &quot;-&quot;?\ _₽_-;_-@_-"/>
    <numFmt numFmtId="221" formatCode="#,##0.00\ &quot;₽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0" fontId="49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6" fillId="32" borderId="0" xfId="0" applyFont="1" applyFill="1" applyAlignment="1">
      <alignment vertical="center" wrapText="1"/>
    </xf>
    <xf numFmtId="186" fontId="6" fillId="32" borderId="0" xfId="0" applyNumberFormat="1" applyFont="1" applyFill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186" fontId="12" fillId="32" borderId="0" xfId="0" applyNumberFormat="1" applyFont="1" applyFill="1" applyBorder="1" applyAlignment="1">
      <alignment vertical="center" wrapText="1"/>
    </xf>
    <xf numFmtId="186" fontId="6" fillId="32" borderId="0" xfId="0" applyNumberFormat="1" applyFont="1" applyFill="1" applyBorder="1" applyAlignment="1">
      <alignment vertical="center" wrapText="1"/>
    </xf>
    <xf numFmtId="49" fontId="6" fillId="32" borderId="0" xfId="0" applyNumberFormat="1" applyFont="1" applyFill="1" applyBorder="1" applyAlignment="1">
      <alignment vertical="center" wrapText="1"/>
    </xf>
    <xf numFmtId="180" fontId="6" fillId="32" borderId="0" xfId="0" applyNumberFormat="1" applyFont="1" applyFill="1" applyAlignment="1">
      <alignment vertical="center" wrapText="1"/>
    </xf>
    <xf numFmtId="186" fontId="9" fillId="32" borderId="0" xfId="0" applyNumberFormat="1" applyFont="1" applyFill="1" applyAlignment="1">
      <alignment vertical="center" wrapText="1"/>
    </xf>
    <xf numFmtId="0" fontId="9" fillId="32" borderId="0" xfId="0" applyFont="1" applyFill="1" applyAlignment="1">
      <alignment vertical="center" wrapText="1"/>
    </xf>
    <xf numFmtId="4" fontId="6" fillId="32" borderId="0" xfId="0" applyNumberFormat="1" applyFont="1" applyFill="1" applyAlignment="1">
      <alignment vertical="center" wrapText="1"/>
    </xf>
    <xf numFmtId="4" fontId="9" fillId="32" borderId="0" xfId="0" applyNumberFormat="1" applyFont="1" applyFill="1" applyAlignment="1">
      <alignment vertical="center" wrapText="1"/>
    </xf>
    <xf numFmtId="195" fontId="6" fillId="32" borderId="0" xfId="0" applyNumberFormat="1" applyFont="1" applyFill="1" applyAlignment="1">
      <alignment vertical="center" wrapText="1"/>
    </xf>
    <xf numFmtId="212" fontId="6" fillId="32" borderId="0" xfId="0" applyNumberFormat="1" applyFont="1" applyFill="1" applyAlignment="1">
      <alignment vertical="center" wrapText="1"/>
    </xf>
    <xf numFmtId="1" fontId="6" fillId="32" borderId="0" xfId="0" applyNumberFormat="1" applyFont="1" applyFill="1" applyBorder="1" applyAlignment="1">
      <alignment vertical="center" wrapText="1"/>
    </xf>
    <xf numFmtId="214" fontId="6" fillId="32" borderId="0" xfId="0" applyNumberFormat="1" applyFont="1" applyFill="1" applyAlignment="1">
      <alignment vertical="center" wrapText="1"/>
    </xf>
    <xf numFmtId="215" fontId="6" fillId="32" borderId="0" xfId="0" applyNumberFormat="1" applyFont="1" applyFill="1" applyAlignment="1">
      <alignment vertical="center" wrapText="1"/>
    </xf>
    <xf numFmtId="186" fontId="12" fillId="32" borderId="0" xfId="0" applyNumberFormat="1" applyFont="1" applyFill="1" applyAlignment="1">
      <alignment vertical="center" wrapText="1"/>
    </xf>
    <xf numFmtId="49" fontId="6" fillId="32" borderId="0" xfId="0" applyNumberFormat="1" applyFont="1" applyFill="1" applyAlignment="1">
      <alignment vertical="center" wrapText="1"/>
    </xf>
    <xf numFmtId="2" fontId="6" fillId="32" borderId="0" xfId="0" applyNumberFormat="1" applyFont="1" applyFill="1" applyAlignment="1">
      <alignment vertical="center" wrapText="1"/>
    </xf>
    <xf numFmtId="186" fontId="10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86" fontId="6" fillId="0" borderId="0" xfId="0" applyNumberFormat="1" applyFont="1" applyFill="1" applyBorder="1" applyAlignment="1">
      <alignment vertical="center" wrapText="1"/>
    </xf>
    <xf numFmtId="186" fontId="12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4" fontId="12" fillId="32" borderId="0" xfId="0" applyNumberFormat="1" applyFont="1" applyFill="1" applyBorder="1" applyAlignment="1">
      <alignment vertical="center" wrapText="1"/>
    </xf>
    <xf numFmtId="186" fontId="12" fillId="0" borderId="10" xfId="0" applyNumberFormat="1" applyFont="1" applyFill="1" applyBorder="1" applyAlignment="1">
      <alignment vertical="center" wrapText="1"/>
    </xf>
    <xf numFmtId="186" fontId="6" fillId="0" borderId="0" xfId="0" applyNumberFormat="1" applyFont="1" applyFill="1" applyAlignment="1">
      <alignment vertical="center" wrapText="1"/>
    </xf>
    <xf numFmtId="186" fontId="11" fillId="32" borderId="0" xfId="0" applyNumberFormat="1" applyFont="1" applyFill="1" applyBorder="1" applyAlignment="1">
      <alignment horizontal="center" vertical="center" wrapText="1"/>
    </xf>
    <xf numFmtId="186" fontId="4" fillId="32" borderId="0" xfId="0" applyNumberFormat="1" applyFont="1" applyFill="1" applyBorder="1" applyAlignment="1">
      <alignment vertical="center" wrapText="1"/>
    </xf>
    <xf numFmtId="186" fontId="10" fillId="32" borderId="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186" fontId="6" fillId="33" borderId="0" xfId="0" applyNumberFormat="1" applyFont="1" applyFill="1" applyAlignment="1">
      <alignment vertical="center" wrapText="1"/>
    </xf>
    <xf numFmtId="186" fontId="10" fillId="32" borderId="0" xfId="0" applyNumberFormat="1" applyFont="1" applyFill="1" applyAlignment="1">
      <alignment vertical="center" wrapText="1"/>
    </xf>
    <xf numFmtId="0" fontId="50" fillId="0" borderId="0" xfId="0" applyFont="1" applyAlignment="1">
      <alignment/>
    </xf>
    <xf numFmtId="186" fontId="6" fillId="34" borderId="0" xfId="0" applyNumberFormat="1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186" fontId="6" fillId="34" borderId="0" xfId="0" applyNumberFormat="1" applyFont="1" applyFill="1" applyAlignment="1">
      <alignment vertical="center" wrapText="1"/>
    </xf>
    <xf numFmtId="214" fontId="6" fillId="34" borderId="0" xfId="0" applyNumberFormat="1" applyFont="1" applyFill="1" applyAlignment="1">
      <alignment vertical="center" wrapText="1"/>
    </xf>
    <xf numFmtId="214" fontId="6" fillId="0" borderId="0" xfId="0" applyNumberFormat="1" applyFont="1" applyFill="1" applyAlignment="1">
      <alignment vertical="center" wrapText="1"/>
    </xf>
    <xf numFmtId="2" fontId="6" fillId="34" borderId="0" xfId="0" applyNumberFormat="1" applyFont="1" applyFill="1" applyAlignment="1">
      <alignment vertical="center" wrapText="1"/>
    </xf>
    <xf numFmtId="2" fontId="6" fillId="33" borderId="0" xfId="0" applyNumberFormat="1" applyFont="1" applyFill="1" applyAlignment="1">
      <alignment vertical="center" wrapText="1"/>
    </xf>
    <xf numFmtId="2" fontId="9" fillId="32" borderId="0" xfId="0" applyNumberFormat="1" applyFont="1" applyFill="1" applyAlignment="1">
      <alignment vertical="center" wrapText="1"/>
    </xf>
    <xf numFmtId="2" fontId="4" fillId="32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2" fontId="9" fillId="32" borderId="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186" fontId="11" fillId="0" borderId="11" xfId="0" applyNumberFormat="1" applyFont="1" applyFill="1" applyBorder="1" applyAlignment="1">
      <alignment horizontal="center" vertical="center" wrapText="1"/>
    </xf>
    <xf numFmtId="183" fontId="11" fillId="0" borderId="11" xfId="67" applyNumberFormat="1" applyFont="1" applyFill="1" applyBorder="1" applyAlignment="1">
      <alignment horizontal="center" vertical="center" wrapText="1"/>
    </xf>
    <xf numFmtId="186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86" fontId="14" fillId="0" borderId="11" xfId="0" applyNumberFormat="1" applyFont="1" applyFill="1" applyBorder="1" applyAlignment="1">
      <alignment horizontal="center" vertical="center" wrapText="1"/>
    </xf>
    <xf numFmtId="186" fontId="14" fillId="0" borderId="13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vertical="center" wrapText="1"/>
    </xf>
    <xf numFmtId="178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186" fontId="13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86" fontId="53" fillId="0" borderId="11" xfId="0" applyNumberFormat="1" applyFont="1" applyFill="1" applyBorder="1" applyAlignment="1">
      <alignment horizontal="center" vertical="center" wrapText="1"/>
    </xf>
    <xf numFmtId="186" fontId="5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6" fontId="53" fillId="0" borderId="11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186" fontId="14" fillId="0" borderId="16" xfId="0" applyNumberFormat="1" applyFont="1" applyFill="1" applyBorder="1" applyAlignment="1">
      <alignment horizontal="center" vertical="center" wrapText="1"/>
    </xf>
    <xf numFmtId="220" fontId="6" fillId="32" borderId="0" xfId="0" applyNumberFormat="1" applyFont="1" applyFill="1" applyAlignment="1">
      <alignment vertical="center" wrapText="1"/>
    </xf>
    <xf numFmtId="220" fontId="6" fillId="34" borderId="0" xfId="0" applyNumberFormat="1" applyFont="1" applyFill="1" applyAlignment="1">
      <alignment vertical="center" wrapText="1"/>
    </xf>
    <xf numFmtId="180" fontId="6" fillId="34" borderId="0" xfId="0" applyNumberFormat="1" applyFont="1" applyFill="1" applyAlignment="1">
      <alignment vertical="center" wrapText="1"/>
    </xf>
    <xf numFmtId="195" fontId="6" fillId="34" borderId="0" xfId="0" applyNumberFormat="1" applyFont="1" applyFill="1" applyAlignment="1">
      <alignment vertical="center" wrapText="1"/>
    </xf>
    <xf numFmtId="49" fontId="6" fillId="34" borderId="0" xfId="0" applyNumberFormat="1" applyFont="1" applyFill="1" applyAlignment="1">
      <alignment vertical="center" wrapText="1"/>
    </xf>
    <xf numFmtId="178" fontId="6" fillId="34" borderId="0" xfId="0" applyNumberFormat="1" applyFont="1" applyFill="1" applyAlignment="1">
      <alignment vertical="center" wrapText="1"/>
    </xf>
    <xf numFmtId="4" fontId="6" fillId="34" borderId="0" xfId="0" applyNumberFormat="1" applyFont="1" applyFill="1" applyAlignment="1">
      <alignment vertical="center" wrapText="1"/>
    </xf>
    <xf numFmtId="3" fontId="9" fillId="32" borderId="0" xfId="0" applyNumberFormat="1" applyFont="1" applyFill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186" fontId="53" fillId="0" borderId="0" xfId="0" applyNumberFormat="1" applyFont="1" applyFill="1" applyAlignment="1">
      <alignment horizontal="center" vertical="center"/>
    </xf>
    <xf numFmtId="186" fontId="14" fillId="0" borderId="1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6" fillId="32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left" vertical="center" wrapText="1"/>
    </xf>
    <xf numFmtId="4" fontId="11" fillId="0" borderId="12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/>
    </xf>
    <xf numFmtId="0" fontId="32" fillId="0" borderId="12" xfId="0" applyFont="1" applyFill="1" applyBorder="1" applyAlignment="1">
      <alignment/>
    </xf>
    <xf numFmtId="2" fontId="11" fillId="0" borderId="14" xfId="0" applyNumberFormat="1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left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left" vertical="center" wrapText="1"/>
    </xf>
    <xf numFmtId="49" fontId="11" fillId="0" borderId="23" xfId="0" applyNumberFormat="1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2" fontId="6" fillId="33" borderId="0" xfId="0" applyNumberFormat="1" applyFont="1" applyFill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6"/>
  <sheetViews>
    <sheetView tabSelected="1" view="pageBreakPreview" zoomScale="80" zoomScaleNormal="75" zoomScaleSheetLayoutView="80" zoomScalePageLayoutView="75" workbookViewId="0" topLeftCell="A1">
      <pane ySplit="5" topLeftCell="A6" activePane="bottomLeft" state="frozen"/>
      <selection pane="topLeft" activeCell="A1" sqref="A1"/>
      <selection pane="bottomLeft" activeCell="BJ13" sqref="BJ13"/>
    </sheetView>
  </sheetViews>
  <sheetFormatPr defaultColWidth="9.140625" defaultRowHeight="15"/>
  <cols>
    <col min="1" max="1" width="6.00390625" style="18" customWidth="1"/>
    <col min="2" max="2" width="17.421875" style="1" customWidth="1"/>
    <col min="3" max="3" width="11.8515625" style="1" customWidth="1"/>
    <col min="4" max="4" width="9.421875" style="18" customWidth="1"/>
    <col min="5" max="5" width="8.57421875" style="1" customWidth="1"/>
    <col min="6" max="6" width="9.57421875" style="1" customWidth="1"/>
    <col min="7" max="7" width="7.7109375" style="1" customWidth="1"/>
    <col min="8" max="8" width="7.421875" style="1" customWidth="1"/>
    <col min="9" max="9" width="6.7109375" style="1" customWidth="1"/>
    <col min="10" max="10" width="8.57421875" style="1" customWidth="1"/>
    <col min="11" max="11" width="9.8515625" style="1" customWidth="1"/>
    <col min="12" max="12" width="7.421875" style="1" customWidth="1"/>
    <col min="13" max="13" width="4.8515625" style="1" customWidth="1"/>
    <col min="14" max="14" width="5.00390625" style="1" customWidth="1"/>
    <col min="15" max="15" width="9.00390625" style="1" customWidth="1"/>
    <col min="16" max="16" width="9.8515625" style="1" customWidth="1"/>
    <col min="17" max="17" width="5.8515625" style="1" customWidth="1"/>
    <col min="18" max="18" width="4.421875" style="1" customWidth="1"/>
    <col min="19" max="19" width="4.28125" style="1" customWidth="1"/>
    <col min="20" max="20" width="10.00390625" style="25" customWidth="1"/>
    <col min="21" max="21" width="9.8515625" style="25" customWidth="1"/>
    <col min="22" max="22" width="7.00390625" style="1" customWidth="1"/>
    <col min="23" max="23" width="6.00390625" style="1" customWidth="1"/>
    <col min="24" max="24" width="5.140625" style="1" customWidth="1"/>
    <col min="25" max="26" width="9.8515625" style="25" customWidth="1"/>
    <col min="27" max="27" width="7.28125" style="1" customWidth="1"/>
    <col min="28" max="28" width="4.28125" style="1" customWidth="1"/>
    <col min="29" max="29" width="5.00390625" style="1" customWidth="1"/>
    <col min="30" max="30" width="10.00390625" style="1" customWidth="1"/>
    <col min="31" max="31" width="22.28125" style="1" hidden="1" customWidth="1"/>
    <col min="32" max="32" width="25.28125" style="1" hidden="1" customWidth="1"/>
    <col min="33" max="33" width="12.140625" style="1" hidden="1" customWidth="1"/>
    <col min="34" max="34" width="10.421875" style="1" hidden="1" customWidth="1"/>
    <col min="35" max="35" width="12.140625" style="19" hidden="1" customWidth="1"/>
    <col min="36" max="36" width="12.140625" style="1" hidden="1" customWidth="1"/>
    <col min="37" max="37" width="13.28125" style="1" hidden="1" customWidth="1"/>
    <col min="38" max="38" width="14.00390625" style="1" hidden="1" customWidth="1"/>
    <col min="39" max="39" width="14.421875" style="1" hidden="1" customWidth="1"/>
    <col min="40" max="41" width="10.421875" style="1" hidden="1" customWidth="1"/>
    <col min="42" max="43" width="9.140625" style="1" hidden="1" customWidth="1"/>
    <col min="44" max="44" width="14.8515625" style="1" hidden="1" customWidth="1"/>
    <col min="45" max="45" width="14.00390625" style="1" hidden="1" customWidth="1"/>
    <col min="46" max="46" width="12.140625" style="1" hidden="1" customWidth="1"/>
    <col min="47" max="51" width="9.140625" style="1" hidden="1" customWidth="1"/>
    <col min="52" max="52" width="13.28125" style="1" hidden="1" customWidth="1"/>
    <col min="53" max="53" width="15.140625" style="1" hidden="1" customWidth="1"/>
    <col min="54" max="55" width="12.7109375" style="1" hidden="1" customWidth="1"/>
    <col min="56" max="56" width="9.140625" style="1" customWidth="1"/>
    <col min="57" max="57" width="16.28125" style="1" customWidth="1"/>
    <col min="58" max="58" width="11.28125" style="1" customWidth="1"/>
    <col min="59" max="59" width="9.140625" style="1" customWidth="1"/>
    <col min="60" max="60" width="13.421875" style="1" customWidth="1"/>
    <col min="61" max="61" width="9.140625" style="1" customWidth="1"/>
    <col min="62" max="62" width="12.140625" style="1" bestFit="1" customWidth="1"/>
    <col min="63" max="16384" width="9.140625" style="1" customWidth="1"/>
  </cols>
  <sheetData>
    <row r="1" spans="1:37" ht="34.5" customHeight="1" thickBot="1">
      <c r="A1" s="117" t="s">
        <v>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K1" s="1">
        <f>AK2-AK3</f>
        <v>21402</v>
      </c>
    </row>
    <row r="2" spans="1:46" ht="15.75" customHeight="1">
      <c r="A2" s="94" t="s">
        <v>41</v>
      </c>
      <c r="B2" s="104" t="s">
        <v>42</v>
      </c>
      <c r="C2" s="104" t="s">
        <v>43</v>
      </c>
      <c r="D2" s="99" t="s">
        <v>5</v>
      </c>
      <c r="E2" s="101" t="s">
        <v>44</v>
      </c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3"/>
      <c r="AJ2" s="1">
        <f>AK2-AJ3</f>
        <v>18096.70000000001</v>
      </c>
      <c r="AK2" s="1">
        <v>198743</v>
      </c>
      <c r="AL2" s="1">
        <f>210733-AK3</f>
        <v>33392</v>
      </c>
      <c r="AS2" s="1">
        <f>800+1297</f>
        <v>2097</v>
      </c>
      <c r="AT2" s="1">
        <f>173082+4259+800+1297</f>
        <v>179438</v>
      </c>
    </row>
    <row r="3" spans="1:46" ht="15.75" customHeight="1">
      <c r="A3" s="95"/>
      <c r="B3" s="105"/>
      <c r="C3" s="105"/>
      <c r="D3" s="100"/>
      <c r="E3" s="96" t="s">
        <v>47</v>
      </c>
      <c r="F3" s="96"/>
      <c r="G3" s="96"/>
      <c r="H3" s="96"/>
      <c r="I3" s="96"/>
      <c r="J3" s="96" t="s">
        <v>48</v>
      </c>
      <c r="K3" s="96"/>
      <c r="L3" s="96"/>
      <c r="M3" s="96"/>
      <c r="N3" s="96"/>
      <c r="O3" s="96" t="s">
        <v>49</v>
      </c>
      <c r="P3" s="96"/>
      <c r="Q3" s="96"/>
      <c r="R3" s="96"/>
      <c r="S3" s="96"/>
      <c r="T3" s="96" t="s">
        <v>50</v>
      </c>
      <c r="U3" s="96"/>
      <c r="V3" s="96"/>
      <c r="W3" s="96"/>
      <c r="X3" s="96"/>
      <c r="Y3" s="96" t="s">
        <v>51</v>
      </c>
      <c r="Z3" s="96"/>
      <c r="AA3" s="96"/>
      <c r="AB3" s="96"/>
      <c r="AC3" s="96"/>
      <c r="AD3" s="116" t="s">
        <v>6</v>
      </c>
      <c r="AJ3" s="1">
        <f>AK3+3305.3</f>
        <v>180646.3</v>
      </c>
      <c r="AK3" s="1">
        <f>173082+4259</f>
        <v>177341</v>
      </c>
      <c r="AL3" s="1">
        <f>210733-AK3</f>
        <v>33392</v>
      </c>
      <c r="AR3" s="1">
        <f>31289</f>
        <v>31289</v>
      </c>
      <c r="AS3" s="1">
        <f>AL3-800-1297</f>
        <v>31295</v>
      </c>
      <c r="AT3" s="1">
        <f>AT2+AR3</f>
        <v>210727</v>
      </c>
    </row>
    <row r="4" spans="1:46" ht="76.5" customHeight="1">
      <c r="A4" s="95"/>
      <c r="B4" s="105"/>
      <c r="C4" s="105"/>
      <c r="D4" s="100"/>
      <c r="E4" s="55" t="s">
        <v>7</v>
      </c>
      <c r="F4" s="55" t="s">
        <v>8</v>
      </c>
      <c r="G4" s="55" t="s">
        <v>9</v>
      </c>
      <c r="H4" s="55" t="s">
        <v>29</v>
      </c>
      <c r="I4" s="55" t="s">
        <v>30</v>
      </c>
      <c r="J4" s="55" t="s">
        <v>7</v>
      </c>
      <c r="K4" s="55" t="s">
        <v>8</v>
      </c>
      <c r="L4" s="55" t="s">
        <v>9</v>
      </c>
      <c r="M4" s="55" t="s">
        <v>29</v>
      </c>
      <c r="N4" s="55" t="s">
        <v>30</v>
      </c>
      <c r="O4" s="55" t="s">
        <v>7</v>
      </c>
      <c r="P4" s="55" t="s">
        <v>8</v>
      </c>
      <c r="Q4" s="55" t="s">
        <v>9</v>
      </c>
      <c r="R4" s="55" t="s">
        <v>29</v>
      </c>
      <c r="S4" s="55" t="s">
        <v>30</v>
      </c>
      <c r="T4" s="55" t="s">
        <v>7</v>
      </c>
      <c r="U4" s="55" t="s">
        <v>8</v>
      </c>
      <c r="V4" s="55" t="s">
        <v>9</v>
      </c>
      <c r="W4" s="55" t="s">
        <v>29</v>
      </c>
      <c r="X4" s="55" t="s">
        <v>30</v>
      </c>
      <c r="Y4" s="55" t="s">
        <v>7</v>
      </c>
      <c r="Z4" s="55" t="s">
        <v>8</v>
      </c>
      <c r="AA4" s="55" t="s">
        <v>9</v>
      </c>
      <c r="AB4" s="55" t="s">
        <v>29</v>
      </c>
      <c r="AC4" s="55" t="s">
        <v>30</v>
      </c>
      <c r="AD4" s="116"/>
      <c r="AF4" s="7"/>
      <c r="AJ4" s="1">
        <f>174957+4259</f>
        <v>179216</v>
      </c>
      <c r="AK4" s="1">
        <f>210733-AJ4</f>
        <v>31517</v>
      </c>
      <c r="AL4" s="1">
        <f>210733-AR4</f>
        <v>11990</v>
      </c>
      <c r="AR4" s="1">
        <v>198743</v>
      </c>
      <c r="AS4" s="83">
        <f>AR4-AR6</f>
        <v>-11989.99999999997</v>
      </c>
      <c r="AT4" s="1">
        <f>210733-AT3</f>
        <v>6</v>
      </c>
    </row>
    <row r="5" spans="1:46" ht="27.75" customHeight="1">
      <c r="A5" s="61">
        <v>1</v>
      </c>
      <c r="B5" s="55">
        <v>2</v>
      </c>
      <c r="C5" s="55">
        <v>3</v>
      </c>
      <c r="D5" s="56">
        <v>4</v>
      </c>
      <c r="E5" s="55">
        <v>5</v>
      </c>
      <c r="F5" s="55">
        <v>6</v>
      </c>
      <c r="G5" s="55">
        <v>7</v>
      </c>
      <c r="H5" s="55">
        <v>8</v>
      </c>
      <c r="I5" s="55">
        <v>9</v>
      </c>
      <c r="J5" s="55">
        <v>10</v>
      </c>
      <c r="K5" s="55">
        <v>11</v>
      </c>
      <c r="L5" s="55">
        <v>12</v>
      </c>
      <c r="M5" s="55">
        <v>13</v>
      </c>
      <c r="N5" s="55">
        <v>14</v>
      </c>
      <c r="O5" s="55">
        <v>15</v>
      </c>
      <c r="P5" s="55">
        <v>16</v>
      </c>
      <c r="Q5" s="55">
        <v>17</v>
      </c>
      <c r="R5" s="55">
        <v>18</v>
      </c>
      <c r="S5" s="55">
        <v>19</v>
      </c>
      <c r="T5" s="55">
        <v>20</v>
      </c>
      <c r="U5" s="55">
        <v>21</v>
      </c>
      <c r="V5" s="55">
        <v>22</v>
      </c>
      <c r="W5" s="55">
        <v>23</v>
      </c>
      <c r="X5" s="55">
        <v>24</v>
      </c>
      <c r="Y5" s="55">
        <v>25</v>
      </c>
      <c r="Z5" s="55">
        <v>26</v>
      </c>
      <c r="AA5" s="55">
        <v>27</v>
      </c>
      <c r="AB5" s="55">
        <v>28</v>
      </c>
      <c r="AC5" s="55">
        <v>29</v>
      </c>
      <c r="AD5" s="60">
        <v>30</v>
      </c>
      <c r="AJ5" s="2">
        <f>K8+K10+K12+K14+K16+K18+4065+2097</f>
        <v>208635.99999999997</v>
      </c>
      <c r="AK5" s="2">
        <f>AJ5+1297+800</f>
        <v>210732.99999999997</v>
      </c>
      <c r="AS5" s="1">
        <f>174957+4259</f>
        <v>179216</v>
      </c>
      <c r="AT5" s="1">
        <f>198743</f>
        <v>198743</v>
      </c>
    </row>
    <row r="6" spans="1:46" ht="32.25" customHeight="1">
      <c r="A6" s="121" t="s">
        <v>75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3"/>
      <c r="AK6" s="83">
        <f>AR6-AL6</f>
        <v>210732.99999999997</v>
      </c>
      <c r="AR6" s="84">
        <f>K8+K10+K12+K14+K16+K18+K20+K21</f>
        <v>210732.99999999997</v>
      </c>
      <c r="AS6" s="1">
        <v>210733</v>
      </c>
      <c r="AT6" s="83">
        <f>AS6-AR6</f>
        <v>0</v>
      </c>
    </row>
    <row r="7" spans="1:55" ht="26.25" customHeight="1">
      <c r="A7" s="118" t="s">
        <v>62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20"/>
      <c r="AM7" s="10"/>
      <c r="BB7" s="1">
        <v>113187</v>
      </c>
      <c r="BC7" s="2" t="e">
        <f>#REF!+6230.3</f>
        <v>#REF!</v>
      </c>
    </row>
    <row r="8" spans="1:60" ht="30.75" customHeight="1">
      <c r="A8" s="124" t="s">
        <v>0</v>
      </c>
      <c r="B8" s="114" t="s">
        <v>81</v>
      </c>
      <c r="C8" s="55" t="s">
        <v>10</v>
      </c>
      <c r="D8" s="56" t="s">
        <v>52</v>
      </c>
      <c r="E8" s="51">
        <f aca="true" t="shared" si="0" ref="E8:E28">F8+G8+H8+I8</f>
        <v>45433.3</v>
      </c>
      <c r="F8" s="51">
        <v>45433.3</v>
      </c>
      <c r="G8" s="51">
        <v>0</v>
      </c>
      <c r="H8" s="51">
        <v>0</v>
      </c>
      <c r="I8" s="51">
        <v>0</v>
      </c>
      <c r="J8" s="51">
        <f>K8+L8+M8+N8</f>
        <v>50205.3</v>
      </c>
      <c r="K8" s="51">
        <f>45433.3+4772</f>
        <v>50205.3</v>
      </c>
      <c r="L8" s="51">
        <v>0</v>
      </c>
      <c r="M8" s="51">
        <v>0</v>
      </c>
      <c r="N8" s="51">
        <v>0</v>
      </c>
      <c r="O8" s="51">
        <f>P8+Q8+R8+S8</f>
        <v>45433.3</v>
      </c>
      <c r="P8" s="51">
        <v>45433.3</v>
      </c>
      <c r="Q8" s="51">
        <v>0</v>
      </c>
      <c r="R8" s="51">
        <v>0</v>
      </c>
      <c r="S8" s="51">
        <v>0</v>
      </c>
      <c r="T8" s="51">
        <f>U8+V8+W8+X8</f>
        <v>45433.3</v>
      </c>
      <c r="U8" s="51">
        <v>45433.3</v>
      </c>
      <c r="V8" s="51">
        <v>0</v>
      </c>
      <c r="W8" s="51">
        <v>0</v>
      </c>
      <c r="X8" s="51">
        <v>0</v>
      </c>
      <c r="Y8" s="51">
        <f>Z8</f>
        <v>351232.5</v>
      </c>
      <c r="Z8" s="51">
        <f>308063.7+43168.8</f>
        <v>351232.5</v>
      </c>
      <c r="AA8" s="51">
        <v>0</v>
      </c>
      <c r="AB8" s="51">
        <v>0</v>
      </c>
      <c r="AC8" s="51">
        <v>0</v>
      </c>
      <c r="AD8" s="53">
        <f>Y8+T8+O8+J8+E8</f>
        <v>537737.7</v>
      </c>
      <c r="AE8" s="2">
        <f>F8+F10+F12+F14+F16+F18+F20</f>
        <v>179215.99999999997</v>
      </c>
      <c r="AF8" s="2">
        <f>179216-190403.5</f>
        <v>-11187.5</v>
      </c>
      <c r="AK8" s="1">
        <f>-631+344.7</f>
        <v>-286.3</v>
      </c>
      <c r="AR8" s="2">
        <f>F9+F11+F13+F15+F17+F19+F22+F23+F24+F25+F52+F55+F62+F65</f>
        <v>149100</v>
      </c>
      <c r="AS8" s="2">
        <f>396163-AR8-AR9</f>
        <v>234774</v>
      </c>
      <c r="BB8" s="2" t="e">
        <f>#REF!+#REF!+#REF!+#REF!+#REF!+#REF!+#REF!+#REF!+#REF!+#REF!</f>
        <v>#REF!</v>
      </c>
      <c r="BC8" s="1">
        <f>9080-6038</f>
        <v>3042</v>
      </c>
      <c r="BE8" s="2"/>
      <c r="BF8" s="2"/>
      <c r="BH8" s="2"/>
    </row>
    <row r="9" spans="1:60" s="40" customFormat="1" ht="41.25" customHeight="1">
      <c r="A9" s="124"/>
      <c r="B9" s="114"/>
      <c r="C9" s="55" t="s">
        <v>88</v>
      </c>
      <c r="D9" s="56" t="s">
        <v>52</v>
      </c>
      <c r="E9" s="51">
        <f t="shared" si="0"/>
        <v>28059.5</v>
      </c>
      <c r="F9" s="51">
        <f>28059.5</f>
        <v>28059.5</v>
      </c>
      <c r="G9" s="51">
        <v>0</v>
      </c>
      <c r="H9" s="51">
        <v>0</v>
      </c>
      <c r="I9" s="51">
        <v>0</v>
      </c>
      <c r="J9" s="51">
        <f>K9+L9+M9+N9</f>
        <v>28498</v>
      </c>
      <c r="K9" s="51">
        <v>28498</v>
      </c>
      <c r="L9" s="51">
        <v>0</v>
      </c>
      <c r="M9" s="51">
        <v>0</v>
      </c>
      <c r="N9" s="51">
        <v>0</v>
      </c>
      <c r="O9" s="51">
        <f>P9+Q9+R9+S9</f>
        <v>30038</v>
      </c>
      <c r="P9" s="51">
        <v>30038</v>
      </c>
      <c r="Q9" s="51">
        <v>0</v>
      </c>
      <c r="R9" s="51">
        <v>0</v>
      </c>
      <c r="S9" s="51">
        <v>0</v>
      </c>
      <c r="T9" s="51">
        <f>U9+V9+W9+X9</f>
        <v>30038</v>
      </c>
      <c r="U9" s="51">
        <v>30038</v>
      </c>
      <c r="V9" s="51">
        <v>0</v>
      </c>
      <c r="W9" s="51">
        <v>0</v>
      </c>
      <c r="X9" s="51">
        <v>0</v>
      </c>
      <c r="Y9" s="51">
        <f>Z9+AA9+AB9+AC9</f>
        <v>20398</v>
      </c>
      <c r="Z9" s="51">
        <f>22120-1722</f>
        <v>20398</v>
      </c>
      <c r="AA9" s="51">
        <v>0</v>
      </c>
      <c r="AB9" s="51">
        <v>0</v>
      </c>
      <c r="AC9" s="51">
        <v>0</v>
      </c>
      <c r="AD9" s="53">
        <f aca="true" t="shared" si="1" ref="AD9:AD27">Y9+T9+O9+J9+E9</f>
        <v>137031.5</v>
      </c>
      <c r="AE9" s="41">
        <f>K8+K10+K12+K14+K16+K18+K20+K21</f>
        <v>210732.99999999997</v>
      </c>
      <c r="AF9" s="41">
        <f>E8+E10+E12+E14+E16+E18+E20+E21+E61+E34+E49+E51+E53+E54+E58+15694</f>
        <v>258407.99999999997</v>
      </c>
      <c r="AG9" s="41">
        <f>AF9-AE9</f>
        <v>47675</v>
      </c>
      <c r="AI9" s="44"/>
      <c r="AM9" s="41"/>
      <c r="AR9" s="41">
        <f>F27+F47+F26</f>
        <v>12289</v>
      </c>
      <c r="BA9" s="41"/>
      <c r="BB9" s="41"/>
      <c r="BE9" s="84"/>
      <c r="BF9" s="41"/>
      <c r="BH9" s="2"/>
    </row>
    <row r="10" spans="1:60" ht="34.5" customHeight="1">
      <c r="A10" s="109" t="s">
        <v>1</v>
      </c>
      <c r="B10" s="114" t="s">
        <v>82</v>
      </c>
      <c r="C10" s="55" t="s">
        <v>10</v>
      </c>
      <c r="D10" s="56" t="s">
        <v>52</v>
      </c>
      <c r="E10" s="51">
        <f t="shared" si="0"/>
        <v>55397.7</v>
      </c>
      <c r="F10" s="51">
        <f>64141-8743.3</f>
        <v>55397.7</v>
      </c>
      <c r="G10" s="51">
        <v>0</v>
      </c>
      <c r="H10" s="51">
        <v>0</v>
      </c>
      <c r="I10" s="51">
        <v>0</v>
      </c>
      <c r="J10" s="51">
        <f>K10+L10+M10+N10</f>
        <v>64141</v>
      </c>
      <c r="K10" s="51">
        <v>64141</v>
      </c>
      <c r="L10" s="51">
        <v>0</v>
      </c>
      <c r="M10" s="51">
        <v>0</v>
      </c>
      <c r="N10" s="51">
        <v>0</v>
      </c>
      <c r="O10" s="51">
        <f>P10+Q10+R10+S10</f>
        <v>64141</v>
      </c>
      <c r="P10" s="51">
        <v>64141</v>
      </c>
      <c r="Q10" s="51">
        <v>0</v>
      </c>
      <c r="R10" s="51">
        <v>0</v>
      </c>
      <c r="S10" s="51">
        <v>0</v>
      </c>
      <c r="T10" s="51">
        <f>U10+V10+W10+X10</f>
        <v>64141</v>
      </c>
      <c r="U10" s="51">
        <v>64141</v>
      </c>
      <c r="V10" s="51">
        <v>0</v>
      </c>
      <c r="W10" s="51">
        <v>0</v>
      </c>
      <c r="X10" s="51">
        <v>0</v>
      </c>
      <c r="Y10" s="51">
        <f>Z10+AA10+AB10+AC10</f>
        <v>316914</v>
      </c>
      <c r="Z10" s="51">
        <f>205759+111155</f>
        <v>316914</v>
      </c>
      <c r="AA10" s="51">
        <v>0</v>
      </c>
      <c r="AB10" s="51">
        <v>0</v>
      </c>
      <c r="AC10" s="51">
        <v>0</v>
      </c>
      <c r="AD10" s="53">
        <f t="shared" si="1"/>
        <v>564734.7</v>
      </c>
      <c r="AE10" s="2"/>
      <c r="AF10" s="2"/>
      <c r="AI10" s="19" t="s">
        <v>131</v>
      </c>
      <c r="AM10" s="2"/>
      <c r="AR10" s="2">
        <f>K9+K11+K13+K15+K17+K19+K22+K23+K24+K25+K26+K27+K41+K52+K55+K62+K65-K26</f>
        <v>160996</v>
      </c>
      <c r="AS10" s="1">
        <v>160396</v>
      </c>
      <c r="AT10" s="2">
        <f>AS10-AR10</f>
        <v>-600</v>
      </c>
      <c r="BA10" s="2"/>
      <c r="BB10" s="2"/>
      <c r="BE10" s="84"/>
      <c r="BF10" s="2"/>
      <c r="BH10" s="2"/>
    </row>
    <row r="11" spans="1:54" s="40" customFormat="1" ht="33.75" customHeight="1">
      <c r="A11" s="115"/>
      <c r="B11" s="114"/>
      <c r="C11" s="55" t="s">
        <v>88</v>
      </c>
      <c r="D11" s="56" t="s">
        <v>52</v>
      </c>
      <c r="E11" s="51">
        <f t="shared" si="0"/>
        <v>34261</v>
      </c>
      <c r="F11" s="51">
        <f>30000.4+4250-1076+921+165.6</f>
        <v>34261</v>
      </c>
      <c r="G11" s="51">
        <v>0</v>
      </c>
      <c r="H11" s="51">
        <v>0</v>
      </c>
      <c r="I11" s="51">
        <v>0</v>
      </c>
      <c r="J11" s="51">
        <f aca="true" t="shared" si="2" ref="J11:J21">K11+L11+M11+N11</f>
        <v>29880</v>
      </c>
      <c r="K11" s="51">
        <v>29880</v>
      </c>
      <c r="L11" s="51">
        <v>0</v>
      </c>
      <c r="M11" s="51">
        <v>0</v>
      </c>
      <c r="N11" s="51">
        <v>0</v>
      </c>
      <c r="O11" s="51">
        <f>P11+Q11+R11+S11</f>
        <v>32232</v>
      </c>
      <c r="P11" s="51">
        <v>32232</v>
      </c>
      <c r="Q11" s="51">
        <v>0</v>
      </c>
      <c r="R11" s="51">
        <v>0</v>
      </c>
      <c r="S11" s="51">
        <v>0</v>
      </c>
      <c r="T11" s="51">
        <f>U11+V11+W11+X11</f>
        <v>32234</v>
      </c>
      <c r="U11" s="51">
        <v>32234</v>
      </c>
      <c r="V11" s="51">
        <v>0</v>
      </c>
      <c r="W11" s="51">
        <v>0</v>
      </c>
      <c r="X11" s="51">
        <v>0</v>
      </c>
      <c r="Y11" s="51">
        <f>Z11+AA11+AB11+AC11</f>
        <v>22104</v>
      </c>
      <c r="Z11" s="51">
        <v>22104</v>
      </c>
      <c r="AA11" s="51">
        <v>0</v>
      </c>
      <c r="AB11" s="51">
        <v>0</v>
      </c>
      <c r="AC11" s="51">
        <v>0</v>
      </c>
      <c r="AD11" s="53">
        <f t="shared" si="1"/>
        <v>150711</v>
      </c>
      <c r="AE11" s="41"/>
      <c r="AF11" s="41"/>
      <c r="AI11" s="44" t="s">
        <v>116</v>
      </c>
      <c r="AJ11" s="40" t="s">
        <v>117</v>
      </c>
      <c r="AK11" s="87" t="s">
        <v>137</v>
      </c>
      <c r="AM11" s="41"/>
      <c r="AR11" s="41">
        <f>U9+U11+U13+U15+U17+U19+U22+U23+U24+U25+U41+U52+U55+U62+U65</f>
        <v>170716</v>
      </c>
      <c r="AS11" s="41">
        <f>Z9+Z11+Z13+Z15+Z17+Z19+Z22+Z23+Z24+Z25+Z41++Z52+Z55+Z62+Z65</f>
        <v>116817</v>
      </c>
      <c r="BA11" s="41"/>
      <c r="BB11" s="41"/>
    </row>
    <row r="12" spans="1:53" s="9" customFormat="1" ht="24.75" customHeight="1">
      <c r="A12" s="112" t="s">
        <v>2</v>
      </c>
      <c r="B12" s="114" t="s">
        <v>60</v>
      </c>
      <c r="C12" s="55" t="s">
        <v>10</v>
      </c>
      <c r="D12" s="56" t="s">
        <v>52</v>
      </c>
      <c r="E12" s="51">
        <f t="shared" si="0"/>
        <v>34609.3</v>
      </c>
      <c r="F12" s="52">
        <v>34609.3</v>
      </c>
      <c r="G12" s="51">
        <v>0</v>
      </c>
      <c r="H12" s="51">
        <v>0</v>
      </c>
      <c r="I12" s="51">
        <v>0</v>
      </c>
      <c r="J12" s="51">
        <f t="shared" si="2"/>
        <v>43855</v>
      </c>
      <c r="K12" s="92">
        <f>34609.3+3176+6069.7</f>
        <v>43855</v>
      </c>
      <c r="L12" s="51">
        <v>0</v>
      </c>
      <c r="M12" s="51">
        <v>0</v>
      </c>
      <c r="N12" s="51">
        <v>0</v>
      </c>
      <c r="O12" s="51">
        <f>P12+G12+H12+I12</f>
        <v>34609.3</v>
      </c>
      <c r="P12" s="52">
        <v>34609.3</v>
      </c>
      <c r="Q12" s="51">
        <v>0</v>
      </c>
      <c r="R12" s="51">
        <v>0</v>
      </c>
      <c r="S12" s="51">
        <v>0</v>
      </c>
      <c r="T12" s="51">
        <f>U12+L12+M12+N12</f>
        <v>34609.3</v>
      </c>
      <c r="U12" s="52">
        <v>34609.3</v>
      </c>
      <c r="V12" s="51">
        <v>0</v>
      </c>
      <c r="W12" s="51">
        <v>0</v>
      </c>
      <c r="X12" s="51">
        <v>0</v>
      </c>
      <c r="Y12" s="51">
        <f>Z12+Q12+R12+S12</f>
        <v>128575.3</v>
      </c>
      <c r="Z12" s="51">
        <f>61697+45926+20952.3</f>
        <v>128575.3</v>
      </c>
      <c r="AA12" s="51">
        <v>0</v>
      </c>
      <c r="AB12" s="51">
        <v>0</v>
      </c>
      <c r="AC12" s="51">
        <v>0</v>
      </c>
      <c r="AD12" s="53">
        <f t="shared" si="1"/>
        <v>276258.2</v>
      </c>
      <c r="AE12" s="8"/>
      <c r="AF12" s="8"/>
      <c r="AG12" s="8"/>
      <c r="AI12" s="19"/>
      <c r="AM12" s="11"/>
      <c r="BA12" s="8"/>
    </row>
    <row r="13" spans="1:46" s="40" customFormat="1" ht="32.25" customHeight="1">
      <c r="A13" s="113"/>
      <c r="B13" s="114"/>
      <c r="C13" s="55" t="s">
        <v>88</v>
      </c>
      <c r="D13" s="56" t="s">
        <v>52</v>
      </c>
      <c r="E13" s="51">
        <f>F13+G13+H13+I13</f>
        <v>8476</v>
      </c>
      <c r="F13" s="51">
        <f>8446.3+29.7</f>
        <v>8476</v>
      </c>
      <c r="G13" s="51">
        <v>0</v>
      </c>
      <c r="H13" s="51">
        <v>0</v>
      </c>
      <c r="I13" s="51">
        <v>0</v>
      </c>
      <c r="J13" s="51">
        <f t="shared" si="2"/>
        <v>8553</v>
      </c>
      <c r="K13" s="51">
        <v>8553</v>
      </c>
      <c r="L13" s="51">
        <v>0</v>
      </c>
      <c r="M13" s="51">
        <v>0</v>
      </c>
      <c r="N13" s="51">
        <v>0</v>
      </c>
      <c r="O13" s="51">
        <f>P13+Q13+R13+S13</f>
        <v>8568</v>
      </c>
      <c r="P13" s="51">
        <v>8568</v>
      </c>
      <c r="Q13" s="51">
        <v>0</v>
      </c>
      <c r="R13" s="51">
        <v>0</v>
      </c>
      <c r="S13" s="51">
        <v>0</v>
      </c>
      <c r="T13" s="51">
        <f>U13+V13+W13+X13</f>
        <v>8568</v>
      </c>
      <c r="U13" s="51">
        <v>8568</v>
      </c>
      <c r="V13" s="51">
        <v>0</v>
      </c>
      <c r="W13" s="51">
        <v>0</v>
      </c>
      <c r="X13" s="51">
        <v>0</v>
      </c>
      <c r="Y13" s="51">
        <f>Z13+AA13+AB13+AC13</f>
        <v>8247</v>
      </c>
      <c r="Z13" s="51">
        <v>8247</v>
      </c>
      <c r="AA13" s="51">
        <v>0</v>
      </c>
      <c r="AB13" s="51">
        <v>0</v>
      </c>
      <c r="AC13" s="51">
        <v>0</v>
      </c>
      <c r="AD13" s="53">
        <f t="shared" si="1"/>
        <v>42412</v>
      </c>
      <c r="AE13" s="88"/>
      <c r="AI13" s="44">
        <f>2021.5+34.5+518.2+2291.1+1756.6</f>
        <v>6621.9</v>
      </c>
      <c r="AJ13" s="41">
        <f>6622-AL16</f>
        <v>718</v>
      </c>
      <c r="AM13" s="89"/>
      <c r="AR13" s="40">
        <f>183+203.5+487.2</f>
        <v>873.7</v>
      </c>
      <c r="AS13" s="40">
        <f>501+165</f>
        <v>666</v>
      </c>
      <c r="AT13" s="40">
        <f>165+50.6+2+343.8+430+67+15</f>
        <v>1073.4</v>
      </c>
    </row>
    <row r="14" spans="1:47" ht="24" customHeight="1">
      <c r="A14" s="109" t="s">
        <v>63</v>
      </c>
      <c r="B14" s="110" t="s">
        <v>59</v>
      </c>
      <c r="C14" s="55" t="s">
        <v>10</v>
      </c>
      <c r="D14" s="56" t="s">
        <v>52</v>
      </c>
      <c r="E14" s="51">
        <f t="shared" si="0"/>
        <v>12515.6</v>
      </c>
      <c r="F14" s="51">
        <v>12515.6</v>
      </c>
      <c r="G14" s="51">
        <v>0</v>
      </c>
      <c r="H14" s="51">
        <v>0</v>
      </c>
      <c r="I14" s="51">
        <v>0</v>
      </c>
      <c r="J14" s="51">
        <f t="shared" si="2"/>
        <v>12515.6</v>
      </c>
      <c r="K14" s="51">
        <v>12515.6</v>
      </c>
      <c r="L14" s="51">
        <v>0</v>
      </c>
      <c r="M14" s="51">
        <v>0</v>
      </c>
      <c r="N14" s="51">
        <v>0</v>
      </c>
      <c r="O14" s="51">
        <f>P14</f>
        <v>12515.6</v>
      </c>
      <c r="P14" s="51">
        <v>12515.6</v>
      </c>
      <c r="Q14" s="51">
        <v>0</v>
      </c>
      <c r="R14" s="51">
        <v>0</v>
      </c>
      <c r="S14" s="51">
        <v>0</v>
      </c>
      <c r="T14" s="51">
        <f>U14</f>
        <v>12515.6</v>
      </c>
      <c r="U14" s="51">
        <v>12515.6</v>
      </c>
      <c r="V14" s="51">
        <v>0</v>
      </c>
      <c r="W14" s="51">
        <v>0</v>
      </c>
      <c r="X14" s="51">
        <v>0</v>
      </c>
      <c r="Y14" s="51">
        <f>Z14</f>
        <v>20089</v>
      </c>
      <c r="Z14" s="51">
        <f>20089</f>
        <v>20089</v>
      </c>
      <c r="AA14" s="51">
        <v>0</v>
      </c>
      <c r="AB14" s="51">
        <v>0</v>
      </c>
      <c r="AC14" s="51">
        <v>0</v>
      </c>
      <c r="AD14" s="53">
        <f t="shared" si="1"/>
        <v>70151.4</v>
      </c>
      <c r="AE14" s="2"/>
      <c r="AJ14" s="1">
        <v>4876</v>
      </c>
      <c r="AK14" s="19">
        <f>AJ14+AI15+AI16+AI17</f>
        <v>5904</v>
      </c>
      <c r="AM14" s="10"/>
      <c r="AT14" s="1">
        <f>180+245+179.5+79+183+200+11</f>
        <v>1077.5</v>
      </c>
      <c r="AU14" s="1">
        <f>AT14-AT13</f>
        <v>4.099999999999909</v>
      </c>
    </row>
    <row r="15" spans="1:47" s="40" customFormat="1" ht="35.25" customHeight="1">
      <c r="A15" s="109"/>
      <c r="B15" s="111"/>
      <c r="C15" s="55" t="s">
        <v>88</v>
      </c>
      <c r="D15" s="56" t="s">
        <v>52</v>
      </c>
      <c r="E15" s="51">
        <f t="shared" si="0"/>
        <v>24010</v>
      </c>
      <c r="F15" s="51">
        <f>19587+4632+77.3-631+344.7</f>
        <v>24010</v>
      </c>
      <c r="G15" s="51">
        <v>0</v>
      </c>
      <c r="H15" s="51">
        <v>0</v>
      </c>
      <c r="I15" s="51">
        <v>0</v>
      </c>
      <c r="J15" s="51">
        <f t="shared" si="2"/>
        <v>21295</v>
      </c>
      <c r="K15" s="51">
        <v>21295</v>
      </c>
      <c r="L15" s="51">
        <v>0</v>
      </c>
      <c r="M15" s="51">
        <v>0</v>
      </c>
      <c r="N15" s="51">
        <v>0</v>
      </c>
      <c r="O15" s="51">
        <f>P15+Q15+R15+S15</f>
        <v>21543</v>
      </c>
      <c r="P15" s="51">
        <v>21543</v>
      </c>
      <c r="Q15" s="51">
        <v>0</v>
      </c>
      <c r="R15" s="51">
        <v>0</v>
      </c>
      <c r="S15" s="51">
        <v>0</v>
      </c>
      <c r="T15" s="51">
        <f>U15+V15+W15+X15</f>
        <v>21543</v>
      </c>
      <c r="U15" s="51">
        <v>21543</v>
      </c>
      <c r="V15" s="51">
        <v>0</v>
      </c>
      <c r="W15" s="51">
        <v>0</v>
      </c>
      <c r="X15" s="51">
        <v>0</v>
      </c>
      <c r="Y15" s="51">
        <f>Z15+AA15+AB15+AC15</f>
        <v>11675</v>
      </c>
      <c r="Z15" s="51">
        <v>11675</v>
      </c>
      <c r="AA15" s="51">
        <v>0</v>
      </c>
      <c r="AB15" s="51">
        <v>0</v>
      </c>
      <c r="AC15" s="51">
        <v>0</v>
      </c>
      <c r="AD15" s="53">
        <f t="shared" si="1"/>
        <v>100066</v>
      </c>
      <c r="AF15" s="40">
        <f>173082+4259</f>
        <v>177341</v>
      </c>
      <c r="AG15" s="40">
        <f>4259+4259+284</f>
        <v>8802</v>
      </c>
      <c r="AI15" s="44">
        <v>921</v>
      </c>
      <c r="AJ15" s="87" t="s">
        <v>138</v>
      </c>
      <c r="AK15" s="41">
        <f>343.8-831</f>
        <v>-487.2</v>
      </c>
      <c r="AU15" s="40">
        <f>AR13-AS13</f>
        <v>207.70000000000005</v>
      </c>
    </row>
    <row r="16" spans="1:38" ht="28.5" customHeight="1">
      <c r="A16" s="109" t="s">
        <v>64</v>
      </c>
      <c r="B16" s="110" t="s">
        <v>85</v>
      </c>
      <c r="C16" s="55" t="s">
        <v>10</v>
      </c>
      <c r="D16" s="56" t="s">
        <v>52</v>
      </c>
      <c r="E16" s="51">
        <f t="shared" si="0"/>
        <v>9396.3</v>
      </c>
      <c r="F16" s="51">
        <v>9396.3</v>
      </c>
      <c r="G16" s="51">
        <v>0</v>
      </c>
      <c r="H16" s="51">
        <v>0</v>
      </c>
      <c r="I16" s="51">
        <v>0</v>
      </c>
      <c r="J16" s="51">
        <f t="shared" si="2"/>
        <v>9396.3</v>
      </c>
      <c r="K16" s="51">
        <f>9396.3</f>
        <v>9396.3</v>
      </c>
      <c r="L16" s="51">
        <v>0</v>
      </c>
      <c r="M16" s="51">
        <v>0</v>
      </c>
      <c r="N16" s="51">
        <v>0</v>
      </c>
      <c r="O16" s="51">
        <f>P16</f>
        <v>9396.3</v>
      </c>
      <c r="P16" s="51">
        <v>9396.3</v>
      </c>
      <c r="Q16" s="51">
        <v>0</v>
      </c>
      <c r="R16" s="51">
        <v>0</v>
      </c>
      <c r="S16" s="51">
        <v>0</v>
      </c>
      <c r="T16" s="51">
        <f>U16</f>
        <v>9396.3</v>
      </c>
      <c r="U16" s="51">
        <v>9396.3</v>
      </c>
      <c r="V16" s="51">
        <v>0</v>
      </c>
      <c r="W16" s="51">
        <v>0</v>
      </c>
      <c r="X16" s="51">
        <v>0</v>
      </c>
      <c r="Y16" s="51">
        <f>Z16</f>
        <v>33526.6</v>
      </c>
      <c r="Z16" s="51">
        <f>28212+3742.5+1572.1</f>
        <v>33526.6</v>
      </c>
      <c r="AA16" s="51">
        <v>0</v>
      </c>
      <c r="AB16" s="51">
        <v>0</v>
      </c>
      <c r="AC16" s="51">
        <v>0</v>
      </c>
      <c r="AD16" s="53">
        <f t="shared" si="1"/>
        <v>71111.8</v>
      </c>
      <c r="AH16" s="12"/>
      <c r="AI16" s="19">
        <v>29.7</v>
      </c>
      <c r="AK16" s="2"/>
      <c r="AL16" s="2">
        <f>6429-525</f>
        <v>5904</v>
      </c>
    </row>
    <row r="17" spans="1:52" s="40" customFormat="1" ht="33.75" customHeight="1">
      <c r="A17" s="109"/>
      <c r="B17" s="110"/>
      <c r="C17" s="55" t="s">
        <v>88</v>
      </c>
      <c r="D17" s="56" t="s">
        <v>52</v>
      </c>
      <c r="E17" s="51">
        <f t="shared" si="0"/>
        <v>2072.5</v>
      </c>
      <c r="F17" s="51">
        <f>2072.5</f>
        <v>2072.5</v>
      </c>
      <c r="G17" s="51">
        <v>0</v>
      </c>
      <c r="H17" s="51">
        <v>0</v>
      </c>
      <c r="I17" s="51">
        <v>0</v>
      </c>
      <c r="J17" s="51">
        <f t="shared" si="2"/>
        <v>2081</v>
      </c>
      <c r="K17" s="51">
        <v>2081</v>
      </c>
      <c r="L17" s="51">
        <v>0</v>
      </c>
      <c r="M17" s="51">
        <v>0</v>
      </c>
      <c r="N17" s="51">
        <v>0</v>
      </c>
      <c r="O17" s="51">
        <f aca="true" t="shared" si="3" ref="O17:O26">P17+Q17+R17+S17</f>
        <v>2187</v>
      </c>
      <c r="P17" s="51">
        <v>2187</v>
      </c>
      <c r="Q17" s="51">
        <v>0</v>
      </c>
      <c r="R17" s="51">
        <v>0</v>
      </c>
      <c r="S17" s="51">
        <v>0</v>
      </c>
      <c r="T17" s="51">
        <f aca="true" t="shared" si="4" ref="T17:T26">U17+V17+W17+X17</f>
        <v>2187</v>
      </c>
      <c r="U17" s="51">
        <v>2187</v>
      </c>
      <c r="V17" s="51">
        <v>0</v>
      </c>
      <c r="W17" s="51">
        <v>0</v>
      </c>
      <c r="X17" s="51">
        <v>0</v>
      </c>
      <c r="Y17" s="51">
        <f>Z17+AA17+AB17+AC17</f>
        <v>2048</v>
      </c>
      <c r="Z17" s="51">
        <f>326+1722</f>
        <v>2048</v>
      </c>
      <c r="AA17" s="51">
        <v>0</v>
      </c>
      <c r="AB17" s="51">
        <v>0</v>
      </c>
      <c r="AC17" s="51">
        <v>0</v>
      </c>
      <c r="AD17" s="53">
        <f t="shared" si="1"/>
        <v>10575.5</v>
      </c>
      <c r="AE17" s="41"/>
      <c r="AH17" s="86"/>
      <c r="AI17" s="44">
        <v>77.3</v>
      </c>
      <c r="AZ17" s="41"/>
    </row>
    <row r="18" spans="1:52" ht="23.25" customHeight="1">
      <c r="A18" s="109" t="s">
        <v>65</v>
      </c>
      <c r="B18" s="110" t="s">
        <v>87</v>
      </c>
      <c r="C18" s="55" t="s">
        <v>10</v>
      </c>
      <c r="D18" s="56" t="s">
        <v>52</v>
      </c>
      <c r="E18" s="51">
        <f t="shared" si="0"/>
        <v>15536.8</v>
      </c>
      <c r="F18" s="51">
        <f>20242.8-4706</f>
        <v>15536.8</v>
      </c>
      <c r="G18" s="51">
        <v>0</v>
      </c>
      <c r="H18" s="51">
        <v>0</v>
      </c>
      <c r="I18" s="51">
        <v>0</v>
      </c>
      <c r="J18" s="51">
        <f t="shared" si="2"/>
        <v>22360.8</v>
      </c>
      <c r="K18" s="51">
        <f>20242.8+2118</f>
        <v>22360.8</v>
      </c>
      <c r="L18" s="51">
        <v>0</v>
      </c>
      <c r="M18" s="51">
        <v>0</v>
      </c>
      <c r="N18" s="51">
        <v>0</v>
      </c>
      <c r="O18" s="51">
        <f t="shared" si="3"/>
        <v>20242.8</v>
      </c>
      <c r="P18" s="51">
        <v>20242.8</v>
      </c>
      <c r="Q18" s="51">
        <v>0</v>
      </c>
      <c r="R18" s="51">
        <v>0</v>
      </c>
      <c r="S18" s="51">
        <v>0</v>
      </c>
      <c r="T18" s="51">
        <f t="shared" si="4"/>
        <v>20242.8</v>
      </c>
      <c r="U18" s="51">
        <v>20242.8</v>
      </c>
      <c r="V18" s="51">
        <v>0</v>
      </c>
      <c r="W18" s="51">
        <v>0</v>
      </c>
      <c r="X18" s="51">
        <v>0</v>
      </c>
      <c r="Y18" s="51">
        <f>Z18+AA18+AB18+AC18</f>
        <v>148619</v>
      </c>
      <c r="Z18" s="51">
        <f>121350.6+27268.4</f>
        <v>148619</v>
      </c>
      <c r="AA18" s="51">
        <v>0</v>
      </c>
      <c r="AB18" s="51">
        <v>0</v>
      </c>
      <c r="AC18" s="51">
        <v>0</v>
      </c>
      <c r="AD18" s="53">
        <f t="shared" si="1"/>
        <v>227002.19999999995</v>
      </c>
      <c r="AH18" s="12"/>
      <c r="AI18" s="19" t="s">
        <v>130</v>
      </c>
      <c r="AJ18" s="1">
        <v>2021.5</v>
      </c>
      <c r="AK18" s="1">
        <v>34.5</v>
      </c>
      <c r="AL18" s="1">
        <f>1756.7+2291.1</f>
        <v>4047.8</v>
      </c>
      <c r="AR18" s="19" t="e">
        <f>AI18+AJ18+AK18+AL18</f>
        <v>#VALUE!</v>
      </c>
      <c r="AS18" s="19" t="e">
        <f>AR18+895</f>
        <v>#VALUE!</v>
      </c>
      <c r="AZ18" s="2"/>
    </row>
    <row r="19" spans="1:52" s="40" customFormat="1" ht="35.25" customHeight="1">
      <c r="A19" s="109"/>
      <c r="B19" s="110"/>
      <c r="C19" s="55" t="s">
        <v>88</v>
      </c>
      <c r="D19" s="56" t="s">
        <v>52</v>
      </c>
      <c r="E19" s="51">
        <f t="shared" si="0"/>
        <v>11464.4</v>
      </c>
      <c r="F19" s="51">
        <f>6588.4+4876</f>
        <v>11464.4</v>
      </c>
      <c r="G19" s="51">
        <v>0</v>
      </c>
      <c r="H19" s="51">
        <v>0</v>
      </c>
      <c r="I19" s="51">
        <v>0</v>
      </c>
      <c r="J19" s="51">
        <f t="shared" si="2"/>
        <v>28207</v>
      </c>
      <c r="K19" s="51">
        <v>28207</v>
      </c>
      <c r="L19" s="51">
        <v>0</v>
      </c>
      <c r="M19" s="51">
        <v>0</v>
      </c>
      <c r="N19" s="51">
        <v>0</v>
      </c>
      <c r="O19" s="51">
        <f t="shared" si="3"/>
        <v>30950</v>
      </c>
      <c r="P19" s="51">
        <v>30950</v>
      </c>
      <c r="Q19" s="51">
        <v>0</v>
      </c>
      <c r="R19" s="51">
        <v>0</v>
      </c>
      <c r="S19" s="51">
        <v>0</v>
      </c>
      <c r="T19" s="51">
        <f t="shared" si="4"/>
        <v>30950</v>
      </c>
      <c r="U19" s="51">
        <v>30950</v>
      </c>
      <c r="V19" s="51">
        <v>0</v>
      </c>
      <c r="W19" s="51">
        <v>0</v>
      </c>
      <c r="X19" s="51">
        <v>0</v>
      </c>
      <c r="Y19" s="51">
        <f>Z19+AA19+AB19+AC19</f>
        <v>16478</v>
      </c>
      <c r="Z19" s="51">
        <v>16478</v>
      </c>
      <c r="AA19" s="51">
        <v>0</v>
      </c>
      <c r="AB19" s="51">
        <v>0</v>
      </c>
      <c r="AC19" s="51">
        <v>0</v>
      </c>
      <c r="AD19" s="53">
        <f t="shared" si="1"/>
        <v>118049.4</v>
      </c>
      <c r="AH19" s="86"/>
      <c r="AI19" s="44"/>
      <c r="AZ19" s="41"/>
    </row>
    <row r="20" spans="1:37" s="9" customFormat="1" ht="106.5" customHeight="1">
      <c r="A20" s="61" t="s">
        <v>66</v>
      </c>
      <c r="B20" s="54" t="s">
        <v>80</v>
      </c>
      <c r="C20" s="55" t="s">
        <v>10</v>
      </c>
      <c r="D20" s="56" t="s">
        <v>52</v>
      </c>
      <c r="E20" s="51">
        <f t="shared" si="0"/>
        <v>6327</v>
      </c>
      <c r="F20" s="51">
        <f>2500-238+4065</f>
        <v>6327</v>
      </c>
      <c r="G20" s="51">
        <v>0</v>
      </c>
      <c r="H20" s="51">
        <v>0</v>
      </c>
      <c r="I20" s="51">
        <v>0</v>
      </c>
      <c r="J20" s="51">
        <f t="shared" si="2"/>
        <v>7459</v>
      </c>
      <c r="K20" s="51">
        <f>4065+1297+2097</f>
        <v>7459</v>
      </c>
      <c r="L20" s="51">
        <v>0</v>
      </c>
      <c r="M20" s="51">
        <v>0</v>
      </c>
      <c r="N20" s="51">
        <v>0</v>
      </c>
      <c r="O20" s="51">
        <f t="shared" si="3"/>
        <v>9099.4</v>
      </c>
      <c r="P20" s="51">
        <f>5034.4+4065</f>
        <v>9099.4</v>
      </c>
      <c r="Q20" s="51">
        <v>0</v>
      </c>
      <c r="R20" s="51">
        <v>0</v>
      </c>
      <c r="S20" s="51">
        <v>0</v>
      </c>
      <c r="T20" s="51">
        <f t="shared" si="4"/>
        <v>9099.4</v>
      </c>
      <c r="U20" s="51">
        <f>5034.4+4065</f>
        <v>9099.4</v>
      </c>
      <c r="V20" s="51">
        <v>0</v>
      </c>
      <c r="W20" s="51">
        <v>0</v>
      </c>
      <c r="X20" s="51">
        <v>0</v>
      </c>
      <c r="Y20" s="51">
        <f>Z20+AA20+AB20+AC20</f>
        <v>15388.6</v>
      </c>
      <c r="Z20" s="51">
        <v>15388.6</v>
      </c>
      <c r="AA20" s="51">
        <v>0</v>
      </c>
      <c r="AB20" s="51">
        <v>0</v>
      </c>
      <c r="AC20" s="51">
        <v>0</v>
      </c>
      <c r="AD20" s="53">
        <f t="shared" si="1"/>
        <v>47373.4</v>
      </c>
      <c r="AE20" s="8"/>
      <c r="AF20" s="8"/>
      <c r="AI20" s="19"/>
      <c r="AJ20" s="9">
        <f>187.8-173</f>
        <v>14.800000000000011</v>
      </c>
      <c r="AK20" s="8"/>
    </row>
    <row r="21" spans="1:37" s="9" customFormat="1" ht="82.5" customHeight="1">
      <c r="A21" s="61" t="s">
        <v>67</v>
      </c>
      <c r="B21" s="63" t="s">
        <v>86</v>
      </c>
      <c r="C21" s="55" t="s">
        <v>10</v>
      </c>
      <c r="D21" s="56" t="s">
        <v>52</v>
      </c>
      <c r="E21" s="51">
        <f t="shared" si="0"/>
        <v>732</v>
      </c>
      <c r="F21" s="64">
        <f>2006.7-18-1256.7</f>
        <v>732</v>
      </c>
      <c r="G21" s="64">
        <v>0</v>
      </c>
      <c r="H21" s="64">
        <v>0</v>
      </c>
      <c r="I21" s="64">
        <v>0</v>
      </c>
      <c r="J21" s="51">
        <f t="shared" si="2"/>
        <v>800</v>
      </c>
      <c r="K21" s="51">
        <v>800</v>
      </c>
      <c r="L21" s="64">
        <v>0</v>
      </c>
      <c r="M21" s="64">
        <v>0</v>
      </c>
      <c r="N21" s="64">
        <v>0</v>
      </c>
      <c r="O21" s="51">
        <f t="shared" si="3"/>
        <v>3305.3</v>
      </c>
      <c r="P21" s="51">
        <v>3305.3</v>
      </c>
      <c r="Q21" s="51">
        <v>0</v>
      </c>
      <c r="R21" s="51">
        <v>0</v>
      </c>
      <c r="S21" s="51">
        <v>0</v>
      </c>
      <c r="T21" s="51">
        <f t="shared" si="4"/>
        <v>3305.3</v>
      </c>
      <c r="U21" s="51">
        <v>3305.3</v>
      </c>
      <c r="V21" s="51">
        <v>0</v>
      </c>
      <c r="W21" s="51">
        <v>0</v>
      </c>
      <c r="X21" s="51">
        <v>0</v>
      </c>
      <c r="Y21" s="51">
        <f>Z21</f>
        <v>2000</v>
      </c>
      <c r="Z21" s="51">
        <v>2000</v>
      </c>
      <c r="AA21" s="51">
        <v>0</v>
      </c>
      <c r="AB21" s="51">
        <v>0</v>
      </c>
      <c r="AC21" s="51">
        <v>0</v>
      </c>
      <c r="AD21" s="53">
        <f t="shared" si="1"/>
        <v>10142.6</v>
      </c>
      <c r="AE21" s="8"/>
      <c r="AF21" s="8"/>
      <c r="AI21" s="19" t="s">
        <v>129</v>
      </c>
      <c r="AJ21" s="9">
        <f>7983-7482</f>
        <v>501</v>
      </c>
      <c r="AK21" s="8">
        <f>1256.7+4706+8743.3</f>
        <v>14706</v>
      </c>
    </row>
    <row r="22" spans="1:39" s="40" customFormat="1" ht="39" customHeight="1">
      <c r="A22" s="61" t="s">
        <v>68</v>
      </c>
      <c r="B22" s="54" t="s">
        <v>72</v>
      </c>
      <c r="C22" s="55" t="s">
        <v>88</v>
      </c>
      <c r="D22" s="56" t="s">
        <v>52</v>
      </c>
      <c r="E22" s="51">
        <f t="shared" si="0"/>
        <v>2184.3</v>
      </c>
      <c r="F22" s="51">
        <f>2184.3</f>
        <v>2184.3</v>
      </c>
      <c r="G22" s="51">
        <v>0</v>
      </c>
      <c r="H22" s="51">
        <v>0</v>
      </c>
      <c r="I22" s="51">
        <v>0</v>
      </c>
      <c r="J22" s="51">
        <f aca="true" t="shared" si="5" ref="J22:J27">K22+L22+M22+N22</f>
        <v>2668</v>
      </c>
      <c r="K22" s="51">
        <v>2668</v>
      </c>
      <c r="L22" s="51">
        <v>0</v>
      </c>
      <c r="M22" s="51">
        <v>0</v>
      </c>
      <c r="N22" s="51">
        <v>0</v>
      </c>
      <c r="O22" s="51">
        <f t="shared" si="3"/>
        <v>3878</v>
      </c>
      <c r="P22" s="51">
        <v>3878</v>
      </c>
      <c r="Q22" s="51">
        <v>0</v>
      </c>
      <c r="R22" s="51">
        <v>0</v>
      </c>
      <c r="S22" s="51">
        <v>0</v>
      </c>
      <c r="T22" s="51">
        <f t="shared" si="4"/>
        <v>3972</v>
      </c>
      <c r="U22" s="51">
        <v>3972</v>
      </c>
      <c r="V22" s="51">
        <v>0</v>
      </c>
      <c r="W22" s="51">
        <v>0</v>
      </c>
      <c r="X22" s="51">
        <v>0</v>
      </c>
      <c r="Y22" s="51">
        <f>Z22+AA22+AB22+AC22</f>
        <v>2145</v>
      </c>
      <c r="Z22" s="51">
        <v>2145</v>
      </c>
      <c r="AA22" s="51">
        <v>0</v>
      </c>
      <c r="AB22" s="51">
        <v>0</v>
      </c>
      <c r="AC22" s="51">
        <v>0</v>
      </c>
      <c r="AD22" s="53">
        <f t="shared" si="1"/>
        <v>14847.3</v>
      </c>
      <c r="AE22" s="41"/>
      <c r="AI22" s="44"/>
      <c r="AJ22" s="40">
        <f>497+15-11</f>
        <v>501</v>
      </c>
      <c r="AK22" s="40">
        <f>67+430</f>
        <v>497</v>
      </c>
      <c r="AM22" s="41"/>
    </row>
    <row r="23" spans="1:40" s="40" customFormat="1" ht="43.5" customHeight="1">
      <c r="A23" s="61" t="s">
        <v>69</v>
      </c>
      <c r="B23" s="54" t="s">
        <v>79</v>
      </c>
      <c r="C23" s="55" t="s">
        <v>88</v>
      </c>
      <c r="D23" s="56" t="s">
        <v>52</v>
      </c>
      <c r="E23" s="51">
        <f t="shared" si="0"/>
        <v>6718</v>
      </c>
      <c r="F23" s="51">
        <f>6718</f>
        <v>6718</v>
      </c>
      <c r="G23" s="51">
        <v>0</v>
      </c>
      <c r="H23" s="51">
        <v>0</v>
      </c>
      <c r="I23" s="51">
        <v>0</v>
      </c>
      <c r="J23" s="51">
        <f t="shared" si="5"/>
        <v>6853</v>
      </c>
      <c r="K23" s="51">
        <v>6853</v>
      </c>
      <c r="L23" s="51">
        <v>0</v>
      </c>
      <c r="M23" s="51">
        <v>0</v>
      </c>
      <c r="N23" s="51">
        <v>0</v>
      </c>
      <c r="O23" s="51">
        <f t="shared" si="3"/>
        <v>7225.5</v>
      </c>
      <c r="P23" s="51">
        <v>7225.5</v>
      </c>
      <c r="Q23" s="51">
        <v>0</v>
      </c>
      <c r="R23" s="51">
        <v>0</v>
      </c>
      <c r="S23" s="51">
        <v>0</v>
      </c>
      <c r="T23" s="51">
        <f t="shared" si="4"/>
        <v>7225.5</v>
      </c>
      <c r="U23" s="51">
        <v>7225.5</v>
      </c>
      <c r="V23" s="51">
        <v>0</v>
      </c>
      <c r="W23" s="51">
        <v>0</v>
      </c>
      <c r="X23" s="51">
        <v>0</v>
      </c>
      <c r="Y23" s="51">
        <f>Z23+AA23+AB23+AC23</f>
        <v>6403</v>
      </c>
      <c r="Z23" s="51">
        <v>6403</v>
      </c>
      <c r="AA23" s="51">
        <v>0</v>
      </c>
      <c r="AB23" s="51">
        <v>0</v>
      </c>
      <c r="AC23" s="51">
        <v>0</v>
      </c>
      <c r="AD23" s="53">
        <f t="shared" si="1"/>
        <v>34425</v>
      </c>
      <c r="AE23" s="41"/>
      <c r="AI23" s="44"/>
      <c r="AM23" s="41"/>
      <c r="AN23" s="41"/>
    </row>
    <row r="24" spans="1:40" s="40" customFormat="1" ht="42.75" customHeight="1">
      <c r="A24" s="61" t="s">
        <v>70</v>
      </c>
      <c r="B24" s="54" t="s">
        <v>57</v>
      </c>
      <c r="C24" s="55" t="s">
        <v>88</v>
      </c>
      <c r="D24" s="56" t="s">
        <v>52</v>
      </c>
      <c r="E24" s="51">
        <f t="shared" si="0"/>
        <v>25652.8</v>
      </c>
      <c r="F24" s="51">
        <f>25652.8</f>
        <v>25652.8</v>
      </c>
      <c r="G24" s="51">
        <v>0</v>
      </c>
      <c r="H24" s="51">
        <v>0</v>
      </c>
      <c r="I24" s="51">
        <v>0</v>
      </c>
      <c r="J24" s="51">
        <f t="shared" si="5"/>
        <v>26710</v>
      </c>
      <c r="K24" s="51">
        <v>26710</v>
      </c>
      <c r="L24" s="51">
        <v>0</v>
      </c>
      <c r="M24" s="51">
        <v>0</v>
      </c>
      <c r="N24" s="51">
        <v>0</v>
      </c>
      <c r="O24" s="51">
        <f t="shared" si="3"/>
        <v>27026</v>
      </c>
      <c r="P24" s="51">
        <v>27026</v>
      </c>
      <c r="Q24" s="51">
        <v>0</v>
      </c>
      <c r="R24" s="51">
        <v>0</v>
      </c>
      <c r="S24" s="51">
        <v>0</v>
      </c>
      <c r="T24" s="51">
        <f t="shared" si="4"/>
        <v>27024</v>
      </c>
      <c r="U24" s="51">
        <v>27024</v>
      </c>
      <c r="V24" s="51">
        <v>0</v>
      </c>
      <c r="W24" s="51">
        <v>0</v>
      </c>
      <c r="X24" s="51">
        <v>0</v>
      </c>
      <c r="Y24" s="51">
        <f>Z24+AA24+AB24+AC24</f>
        <v>23777</v>
      </c>
      <c r="Z24" s="51">
        <v>23777</v>
      </c>
      <c r="AA24" s="51">
        <v>0</v>
      </c>
      <c r="AB24" s="51">
        <v>0</v>
      </c>
      <c r="AC24" s="51">
        <v>0</v>
      </c>
      <c r="AD24" s="53">
        <f t="shared" si="1"/>
        <v>130189.8</v>
      </c>
      <c r="AE24" s="85"/>
      <c r="AI24" s="44"/>
      <c r="AM24" s="41"/>
      <c r="AN24" s="41"/>
    </row>
    <row r="25" spans="1:39" s="40" customFormat="1" ht="46.5" customHeight="1">
      <c r="A25" s="61" t="s">
        <v>71</v>
      </c>
      <c r="B25" s="54" t="s">
        <v>53</v>
      </c>
      <c r="C25" s="55" t="s">
        <v>88</v>
      </c>
      <c r="D25" s="56" t="s">
        <v>52</v>
      </c>
      <c r="E25" s="51">
        <f t="shared" si="0"/>
        <v>1660</v>
      </c>
      <c r="F25" s="51">
        <f>1660</f>
        <v>1660</v>
      </c>
      <c r="G25" s="51">
        <v>0</v>
      </c>
      <c r="H25" s="51">
        <v>0</v>
      </c>
      <c r="I25" s="51">
        <v>0</v>
      </c>
      <c r="J25" s="51">
        <f t="shared" si="5"/>
        <v>1802</v>
      </c>
      <c r="K25" s="51">
        <v>1802</v>
      </c>
      <c r="L25" s="51">
        <v>0</v>
      </c>
      <c r="M25" s="51">
        <v>0</v>
      </c>
      <c r="N25" s="51">
        <v>0</v>
      </c>
      <c r="O25" s="51">
        <f t="shared" si="3"/>
        <v>4808</v>
      </c>
      <c r="P25" s="51">
        <v>4808</v>
      </c>
      <c r="Q25" s="51">
        <v>0</v>
      </c>
      <c r="R25" s="51">
        <v>0</v>
      </c>
      <c r="S25" s="51">
        <v>0</v>
      </c>
      <c r="T25" s="51">
        <f t="shared" si="4"/>
        <v>4714</v>
      </c>
      <c r="U25" s="51">
        <v>4714</v>
      </c>
      <c r="V25" s="51">
        <v>0</v>
      </c>
      <c r="W25" s="51">
        <v>0</v>
      </c>
      <c r="X25" s="51">
        <v>0</v>
      </c>
      <c r="Y25" s="51">
        <f>Z25+AA25+AB25+AC25</f>
        <v>1672</v>
      </c>
      <c r="Z25" s="51">
        <f>1284+388</f>
        <v>1672</v>
      </c>
      <c r="AA25" s="51">
        <v>0</v>
      </c>
      <c r="AB25" s="51">
        <v>0</v>
      </c>
      <c r="AC25" s="51">
        <v>0</v>
      </c>
      <c r="AD25" s="53">
        <f t="shared" si="1"/>
        <v>14656</v>
      </c>
      <c r="AE25" s="41"/>
      <c r="AI25" s="44"/>
      <c r="AM25" s="41"/>
    </row>
    <row r="26" spans="1:53" ht="146.25" customHeight="1">
      <c r="A26" s="61" t="s">
        <v>83</v>
      </c>
      <c r="B26" s="54" t="s">
        <v>54</v>
      </c>
      <c r="C26" s="55" t="s">
        <v>88</v>
      </c>
      <c r="D26" s="56" t="s">
        <v>52</v>
      </c>
      <c r="E26" s="51">
        <f t="shared" si="0"/>
        <v>26</v>
      </c>
      <c r="F26" s="51">
        <f>24+2</f>
        <v>26</v>
      </c>
      <c r="G26" s="51">
        <v>0</v>
      </c>
      <c r="H26" s="51">
        <v>0</v>
      </c>
      <c r="I26" s="51">
        <v>0</v>
      </c>
      <c r="J26" s="51">
        <f t="shared" si="5"/>
        <v>8</v>
      </c>
      <c r="K26" s="51">
        <v>8</v>
      </c>
      <c r="L26" s="51">
        <v>0</v>
      </c>
      <c r="M26" s="51">
        <v>0</v>
      </c>
      <c r="N26" s="51">
        <v>0</v>
      </c>
      <c r="O26" s="51">
        <f t="shared" si="3"/>
        <v>1</v>
      </c>
      <c r="P26" s="51">
        <v>1</v>
      </c>
      <c r="Q26" s="51">
        <v>0</v>
      </c>
      <c r="R26" s="51">
        <v>0</v>
      </c>
      <c r="S26" s="51">
        <v>0</v>
      </c>
      <c r="T26" s="51">
        <f t="shared" si="4"/>
        <v>0</v>
      </c>
      <c r="U26" s="51">
        <v>0</v>
      </c>
      <c r="V26" s="51">
        <v>0</v>
      </c>
      <c r="W26" s="51">
        <v>0</v>
      </c>
      <c r="X26" s="51">
        <v>0</v>
      </c>
      <c r="Y26" s="51">
        <f>Z26+AA26+AB26+AC26</f>
        <v>19</v>
      </c>
      <c r="Z26" s="51">
        <v>19</v>
      </c>
      <c r="AA26" s="51">
        <v>0</v>
      </c>
      <c r="AB26" s="51">
        <v>0</v>
      </c>
      <c r="AC26" s="51">
        <v>0</v>
      </c>
      <c r="AD26" s="53">
        <f t="shared" si="1"/>
        <v>54</v>
      </c>
      <c r="AE26" s="2"/>
      <c r="AM26" s="2"/>
      <c r="BA26" s="2"/>
    </row>
    <row r="27" spans="1:53" ht="192.75" customHeight="1">
      <c r="A27" s="61" t="s">
        <v>84</v>
      </c>
      <c r="B27" s="91" t="s">
        <v>104</v>
      </c>
      <c r="C27" s="65" t="s">
        <v>88</v>
      </c>
      <c r="D27" s="56">
        <v>2020</v>
      </c>
      <c r="E27" s="51">
        <f t="shared" si="0"/>
        <v>3123</v>
      </c>
      <c r="F27" s="51">
        <v>3123</v>
      </c>
      <c r="G27" s="51">
        <v>0</v>
      </c>
      <c r="H27" s="51">
        <v>0</v>
      </c>
      <c r="I27" s="51">
        <v>0</v>
      </c>
      <c r="J27" s="51">
        <f t="shared" si="5"/>
        <v>600</v>
      </c>
      <c r="K27" s="51">
        <v>600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3">
        <f t="shared" si="1"/>
        <v>3723</v>
      </c>
      <c r="AE27" s="2"/>
      <c r="AM27" s="2"/>
      <c r="BA27" s="2"/>
    </row>
    <row r="28" spans="1:39" ht="25.5" customHeight="1">
      <c r="A28" s="61"/>
      <c r="B28" s="54" t="s">
        <v>11</v>
      </c>
      <c r="C28" s="55"/>
      <c r="D28" s="56"/>
      <c r="E28" s="66">
        <f t="shared" si="0"/>
        <v>327655.5</v>
      </c>
      <c r="F28" s="66">
        <f>F27+F26+F25+F24+F23+F22+F21+F20+F19+F18+F17+F16+F15+F14+F13+F12+F11+F10+F9+F8</f>
        <v>327655.5</v>
      </c>
      <c r="G28" s="66">
        <f aca="true" t="shared" si="6" ref="G28:AC28">G27+G26+G25+G24+G23+G22+G21+G20+G19+G18+G17+G16+G15+G14+G13+G12+G11+G10+G9+G8</f>
        <v>0</v>
      </c>
      <c r="H28" s="66">
        <f t="shared" si="6"/>
        <v>0</v>
      </c>
      <c r="I28" s="66">
        <f t="shared" si="6"/>
        <v>0</v>
      </c>
      <c r="J28" s="66">
        <f t="shared" si="6"/>
        <v>367888</v>
      </c>
      <c r="K28" s="66">
        <f>K27+K26+K25+K24+K23+K22+K21+K20+K19+K18+K17+K16+K15+K14+K13+K12+K11+K10+K9+K8</f>
        <v>367888</v>
      </c>
      <c r="L28" s="66">
        <f t="shared" si="6"/>
        <v>0</v>
      </c>
      <c r="M28" s="66">
        <f t="shared" si="6"/>
        <v>0</v>
      </c>
      <c r="N28" s="66">
        <f t="shared" si="6"/>
        <v>0</v>
      </c>
      <c r="O28" s="66">
        <f t="shared" si="6"/>
        <v>367199.5</v>
      </c>
      <c r="P28" s="66">
        <f t="shared" si="6"/>
        <v>367199.5</v>
      </c>
      <c r="Q28" s="66">
        <f t="shared" si="6"/>
        <v>0</v>
      </c>
      <c r="R28" s="66">
        <f t="shared" si="6"/>
        <v>0</v>
      </c>
      <c r="S28" s="66">
        <f t="shared" si="6"/>
        <v>0</v>
      </c>
      <c r="T28" s="66">
        <f t="shared" si="6"/>
        <v>367198.5</v>
      </c>
      <c r="U28" s="66">
        <f t="shared" si="6"/>
        <v>367198.5</v>
      </c>
      <c r="V28" s="66">
        <f t="shared" si="6"/>
        <v>0</v>
      </c>
      <c r="W28" s="66">
        <f t="shared" si="6"/>
        <v>0</v>
      </c>
      <c r="X28" s="66">
        <f t="shared" si="6"/>
        <v>0</v>
      </c>
      <c r="Y28" s="66">
        <f t="shared" si="6"/>
        <v>1131311</v>
      </c>
      <c r="Z28" s="66">
        <f>Z27+Z26+Z25+Z24+Z23+Z22+Z21+Z20+Z19+Z18+Z17+Z16+Z15+Z14+Z13+Z12+Z11+Z10+Z9+Z8</f>
        <v>1131311</v>
      </c>
      <c r="AA28" s="66">
        <f t="shared" si="6"/>
        <v>0</v>
      </c>
      <c r="AB28" s="66">
        <f t="shared" si="6"/>
        <v>0</v>
      </c>
      <c r="AC28" s="66">
        <f t="shared" si="6"/>
        <v>0</v>
      </c>
      <c r="AD28" s="53">
        <f>Y28+T28+O28+J28+E28</f>
        <v>2561252.5</v>
      </c>
      <c r="AE28" s="2"/>
      <c r="AF28" s="2"/>
      <c r="AG28" s="2"/>
      <c r="AI28" s="19">
        <f>SUM(AD8:AD27)</f>
        <v>2561252.4999999995</v>
      </c>
      <c r="AJ28" s="2">
        <f>Z28-U28</f>
        <v>764112.5</v>
      </c>
      <c r="AM28" s="2"/>
    </row>
    <row r="29" spans="1:55" ht="24.75" customHeight="1">
      <c r="A29" s="106" t="s">
        <v>61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8"/>
      <c r="AE29" s="12"/>
      <c r="AF29" s="13"/>
      <c r="AG29" s="2"/>
      <c r="AH29" s="2"/>
      <c r="AJ29" s="5"/>
      <c r="AK29" s="3"/>
      <c r="AL29" s="5"/>
      <c r="AM29" s="5"/>
      <c r="AN29" s="5"/>
      <c r="AO29" s="3"/>
      <c r="BA29" s="2"/>
      <c r="BB29" s="2"/>
      <c r="BC29" s="2"/>
    </row>
    <row r="30" spans="1:55" ht="30" customHeight="1">
      <c r="A30" s="61" t="s">
        <v>3</v>
      </c>
      <c r="B30" s="54" t="s">
        <v>32</v>
      </c>
      <c r="C30" s="55" t="s">
        <v>39</v>
      </c>
      <c r="D30" s="56" t="s">
        <v>52</v>
      </c>
      <c r="E30" s="51">
        <f>F30</f>
        <v>9</v>
      </c>
      <c r="F30" s="51">
        <f>43-34</f>
        <v>9</v>
      </c>
      <c r="G30" s="51">
        <v>0</v>
      </c>
      <c r="H30" s="51">
        <v>0</v>
      </c>
      <c r="I30" s="51">
        <v>0</v>
      </c>
      <c r="J30" s="51">
        <f>K30</f>
        <v>43</v>
      </c>
      <c r="K30" s="51">
        <v>43</v>
      </c>
      <c r="L30" s="51">
        <v>0</v>
      </c>
      <c r="M30" s="51">
        <v>0</v>
      </c>
      <c r="N30" s="51">
        <v>0</v>
      </c>
      <c r="O30" s="51">
        <f>P30</f>
        <v>43</v>
      </c>
      <c r="P30" s="51">
        <v>43</v>
      </c>
      <c r="Q30" s="51">
        <v>0</v>
      </c>
      <c r="R30" s="51">
        <v>0</v>
      </c>
      <c r="S30" s="51">
        <v>0</v>
      </c>
      <c r="T30" s="51">
        <f>U30</f>
        <v>43</v>
      </c>
      <c r="U30" s="51">
        <v>43</v>
      </c>
      <c r="V30" s="51">
        <v>0</v>
      </c>
      <c r="W30" s="51">
        <v>0</v>
      </c>
      <c r="X30" s="51">
        <v>0</v>
      </c>
      <c r="Y30" s="51">
        <f>Z30</f>
        <v>43</v>
      </c>
      <c r="Z30" s="51">
        <v>43</v>
      </c>
      <c r="AA30" s="51">
        <v>0</v>
      </c>
      <c r="AB30" s="51">
        <v>0</v>
      </c>
      <c r="AC30" s="51">
        <v>0</v>
      </c>
      <c r="AD30" s="53">
        <f>Y30+T30+O30+J30+E30</f>
        <v>181</v>
      </c>
      <c r="AE30" s="12"/>
      <c r="AF30" s="13"/>
      <c r="AG30" s="2"/>
      <c r="AH30" s="2"/>
      <c r="AJ30" s="5"/>
      <c r="AK30" s="3"/>
      <c r="AL30" s="5"/>
      <c r="AM30" s="5"/>
      <c r="AN30" s="5"/>
      <c r="AO30" s="3"/>
      <c r="BA30" s="2"/>
      <c r="BB30" s="2"/>
      <c r="BC30" s="2"/>
    </row>
    <row r="31" spans="1:55" ht="33" customHeight="1">
      <c r="A31" s="61" t="s">
        <v>34</v>
      </c>
      <c r="B31" s="54" t="s">
        <v>33</v>
      </c>
      <c r="C31" s="55" t="s">
        <v>40</v>
      </c>
      <c r="D31" s="56" t="s">
        <v>52</v>
      </c>
      <c r="E31" s="51">
        <f>F31</f>
        <v>13.5</v>
      </c>
      <c r="F31" s="51">
        <f>68-54.5</f>
        <v>13.5</v>
      </c>
      <c r="G31" s="51">
        <v>0</v>
      </c>
      <c r="H31" s="51">
        <v>0</v>
      </c>
      <c r="I31" s="51">
        <v>0</v>
      </c>
      <c r="J31" s="51">
        <f>K31</f>
        <v>68</v>
      </c>
      <c r="K31" s="51">
        <v>68</v>
      </c>
      <c r="L31" s="51">
        <v>0</v>
      </c>
      <c r="M31" s="51">
        <v>0</v>
      </c>
      <c r="N31" s="51">
        <v>0</v>
      </c>
      <c r="O31" s="51">
        <f>P31</f>
        <v>68</v>
      </c>
      <c r="P31" s="51">
        <v>68</v>
      </c>
      <c r="Q31" s="51">
        <v>0</v>
      </c>
      <c r="R31" s="51">
        <v>0</v>
      </c>
      <c r="S31" s="51">
        <v>0</v>
      </c>
      <c r="T31" s="51">
        <f>U31</f>
        <v>68</v>
      </c>
      <c r="U31" s="51">
        <v>68</v>
      </c>
      <c r="V31" s="51">
        <v>0</v>
      </c>
      <c r="W31" s="51">
        <v>0</v>
      </c>
      <c r="X31" s="51">
        <v>0</v>
      </c>
      <c r="Y31" s="51">
        <f>Z31</f>
        <v>68</v>
      </c>
      <c r="Z31" s="51">
        <v>68</v>
      </c>
      <c r="AA31" s="51">
        <v>0</v>
      </c>
      <c r="AB31" s="51">
        <v>0</v>
      </c>
      <c r="AC31" s="51">
        <v>0</v>
      </c>
      <c r="AD31" s="53">
        <f>Y31+T31+O31+J31+E31</f>
        <v>285.5</v>
      </c>
      <c r="AE31" s="12"/>
      <c r="AF31" s="13"/>
      <c r="AG31" s="2"/>
      <c r="AH31" s="2"/>
      <c r="AJ31" s="5"/>
      <c r="AK31" s="3"/>
      <c r="AL31" s="5"/>
      <c r="AM31" s="5"/>
      <c r="AN31" s="5"/>
      <c r="AO31" s="3"/>
      <c r="BA31" s="2"/>
      <c r="BB31" s="2"/>
      <c r="BC31" s="2"/>
    </row>
    <row r="32" spans="1:53" ht="79.5" customHeight="1">
      <c r="A32" s="61" t="s">
        <v>35</v>
      </c>
      <c r="B32" s="54" t="s">
        <v>36</v>
      </c>
      <c r="C32" s="55" t="s">
        <v>10</v>
      </c>
      <c r="D32" s="56" t="s">
        <v>52</v>
      </c>
      <c r="E32" s="51">
        <f>F32</f>
        <v>87.5</v>
      </c>
      <c r="F32" s="51">
        <f>442-354.5</f>
        <v>87.5</v>
      </c>
      <c r="G32" s="51">
        <v>0</v>
      </c>
      <c r="H32" s="51">
        <v>0</v>
      </c>
      <c r="I32" s="51">
        <v>0</v>
      </c>
      <c r="J32" s="51">
        <f>K32</f>
        <v>442</v>
      </c>
      <c r="K32" s="51">
        <v>442</v>
      </c>
      <c r="L32" s="51">
        <v>0</v>
      </c>
      <c r="M32" s="51">
        <v>0</v>
      </c>
      <c r="N32" s="51">
        <v>0</v>
      </c>
      <c r="O32" s="51">
        <f>P32</f>
        <v>442</v>
      </c>
      <c r="P32" s="51">
        <v>442</v>
      </c>
      <c r="Q32" s="51">
        <v>0</v>
      </c>
      <c r="R32" s="51">
        <v>0</v>
      </c>
      <c r="S32" s="51">
        <v>0</v>
      </c>
      <c r="T32" s="51">
        <f>U32</f>
        <v>442</v>
      </c>
      <c r="U32" s="51">
        <v>442</v>
      </c>
      <c r="V32" s="51">
        <v>0</v>
      </c>
      <c r="W32" s="51">
        <v>0</v>
      </c>
      <c r="X32" s="51">
        <v>0</v>
      </c>
      <c r="Y32" s="51">
        <f>Z32</f>
        <v>560</v>
      </c>
      <c r="Z32" s="51">
        <f>442+118</f>
        <v>560</v>
      </c>
      <c r="AA32" s="51">
        <v>0</v>
      </c>
      <c r="AB32" s="51">
        <v>0</v>
      </c>
      <c r="AC32" s="51">
        <v>0</v>
      </c>
      <c r="AD32" s="53">
        <f>Y32+T32+O32+J32+E32</f>
        <v>1973.5</v>
      </c>
      <c r="AE32" s="16"/>
      <c r="AF32" s="2"/>
      <c r="AG32" s="2"/>
      <c r="AH32" s="2"/>
      <c r="AJ32" s="5"/>
      <c r="AK32" s="3"/>
      <c r="AL32" s="5"/>
      <c r="AM32" s="5"/>
      <c r="AN32" s="14"/>
      <c r="AO32" s="3"/>
      <c r="AQ32" s="2"/>
      <c r="BA32" s="2"/>
    </row>
    <row r="33" spans="1:53" ht="73.5" customHeight="1">
      <c r="A33" s="61" t="s">
        <v>46</v>
      </c>
      <c r="B33" s="54" t="s">
        <v>136</v>
      </c>
      <c r="C33" s="55" t="s">
        <v>10</v>
      </c>
      <c r="D33" s="56" t="s">
        <v>52</v>
      </c>
      <c r="E33" s="51">
        <f>F33+G33</f>
        <v>1008</v>
      </c>
      <c r="F33" s="51">
        <f>60-15</f>
        <v>45</v>
      </c>
      <c r="G33" s="51">
        <v>963</v>
      </c>
      <c r="H33" s="51">
        <v>0</v>
      </c>
      <c r="I33" s="51">
        <v>0</v>
      </c>
      <c r="J33" s="51">
        <f>K33</f>
        <v>60</v>
      </c>
      <c r="K33" s="51">
        <f>60</f>
        <v>60</v>
      </c>
      <c r="L33" s="51">
        <v>0</v>
      </c>
      <c r="M33" s="51">
        <v>0</v>
      </c>
      <c r="N33" s="51">
        <v>0</v>
      </c>
      <c r="O33" s="51">
        <f>P33</f>
        <v>60</v>
      </c>
      <c r="P33" s="51">
        <f>60</f>
        <v>60</v>
      </c>
      <c r="Q33" s="51">
        <v>0</v>
      </c>
      <c r="R33" s="51">
        <v>0</v>
      </c>
      <c r="S33" s="51">
        <v>0</v>
      </c>
      <c r="T33" s="51">
        <f>U33</f>
        <v>60</v>
      </c>
      <c r="U33" s="51">
        <f>60</f>
        <v>60</v>
      </c>
      <c r="V33" s="51">
        <v>0</v>
      </c>
      <c r="W33" s="51">
        <v>0</v>
      </c>
      <c r="X33" s="51">
        <v>0</v>
      </c>
      <c r="Y33" s="51">
        <f>Z33</f>
        <v>60</v>
      </c>
      <c r="Z33" s="51">
        <f>60</f>
        <v>60</v>
      </c>
      <c r="AA33" s="51">
        <v>0</v>
      </c>
      <c r="AB33" s="51">
        <v>0</v>
      </c>
      <c r="AC33" s="51">
        <v>0</v>
      </c>
      <c r="AD33" s="53">
        <f>Y33+T33+O33+J33+E33</f>
        <v>1248</v>
      </c>
      <c r="AE33" s="16"/>
      <c r="AF33" s="2"/>
      <c r="AG33" s="2"/>
      <c r="AH33" s="2"/>
      <c r="AI33" s="19">
        <f>G33+G46</f>
        <v>1674</v>
      </c>
      <c r="AJ33" s="5"/>
      <c r="AK33" s="3"/>
      <c r="AL33" s="5"/>
      <c r="AM33" s="5"/>
      <c r="AN33" s="14"/>
      <c r="AO33" s="3"/>
      <c r="AQ33" s="2"/>
      <c r="BA33" s="2"/>
    </row>
    <row r="34" spans="1:53" ht="27.75" customHeight="1">
      <c r="A34" s="61"/>
      <c r="B34" s="54" t="s">
        <v>12</v>
      </c>
      <c r="C34" s="55"/>
      <c r="D34" s="56"/>
      <c r="E34" s="51">
        <f>F34+G34</f>
        <v>1118</v>
      </c>
      <c r="F34" s="51">
        <f>F33+F32+F31+F30</f>
        <v>155</v>
      </c>
      <c r="G34" s="51">
        <f>G33</f>
        <v>963</v>
      </c>
      <c r="H34" s="51">
        <f>H30+H31+H32</f>
        <v>0</v>
      </c>
      <c r="I34" s="51">
        <f>I30+I31+I32</f>
        <v>0</v>
      </c>
      <c r="J34" s="51">
        <f>K34</f>
        <v>613</v>
      </c>
      <c r="K34" s="51">
        <f>K33+K32+K31+K30</f>
        <v>613</v>
      </c>
      <c r="L34" s="51">
        <f>L30+L31+L32</f>
        <v>0</v>
      </c>
      <c r="M34" s="51">
        <f>M30+M31+M32</f>
        <v>0</v>
      </c>
      <c r="N34" s="51">
        <f>N30+N31+N32</f>
        <v>0</v>
      </c>
      <c r="O34" s="51">
        <f>P34</f>
        <v>613</v>
      </c>
      <c r="P34" s="51">
        <f>P33+P32+P31+P30</f>
        <v>613</v>
      </c>
      <c r="Q34" s="51">
        <f>Q30+Q31+Q32</f>
        <v>0</v>
      </c>
      <c r="R34" s="51">
        <f>R30+R31+R32</f>
        <v>0</v>
      </c>
      <c r="S34" s="51">
        <f>S30+S31+S32</f>
        <v>0</v>
      </c>
      <c r="T34" s="51">
        <f>U34</f>
        <v>613</v>
      </c>
      <c r="U34" s="51">
        <f>U33+U32+U31+U30</f>
        <v>613</v>
      </c>
      <c r="V34" s="51">
        <f>V30+V31+V32</f>
        <v>0</v>
      </c>
      <c r="W34" s="51">
        <f>W30+W31+W32</f>
        <v>0</v>
      </c>
      <c r="X34" s="51">
        <f>X30+X31+X32</f>
        <v>0</v>
      </c>
      <c r="Y34" s="51">
        <f>Z34</f>
        <v>731</v>
      </c>
      <c r="Z34" s="51">
        <f>Z33+Z32+Z31+Z30</f>
        <v>731</v>
      </c>
      <c r="AA34" s="51">
        <f>AA30+AA31+AA32</f>
        <v>0</v>
      </c>
      <c r="AB34" s="51">
        <f>AB30+AB31+AB32</f>
        <v>0</v>
      </c>
      <c r="AC34" s="51">
        <f>AC30+AC31+AC32</f>
        <v>0</v>
      </c>
      <c r="AD34" s="53">
        <f>Y34+T34+O34+J34+E34</f>
        <v>3688</v>
      </c>
      <c r="AE34" s="16"/>
      <c r="AF34" s="2"/>
      <c r="AG34" s="2"/>
      <c r="AH34" s="2"/>
      <c r="AI34" s="19">
        <f>AD30+AD31+AD32+AD33</f>
        <v>3688</v>
      </c>
      <c r="AJ34" s="5">
        <f>AI34-15</f>
        <v>3673</v>
      </c>
      <c r="AK34" s="5">
        <f>K34-60</f>
        <v>553</v>
      </c>
      <c r="AL34" s="5"/>
      <c r="AM34" s="5"/>
      <c r="AN34" s="14"/>
      <c r="AO34" s="3"/>
      <c r="AQ34" s="2"/>
      <c r="BA34" s="2"/>
    </row>
    <row r="35" spans="1:53" ht="30.75" customHeight="1">
      <c r="A35" s="118" t="s">
        <v>37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6"/>
      <c r="AE35" s="16"/>
      <c r="AF35" s="2"/>
      <c r="AG35" s="2"/>
      <c r="AH35" s="2"/>
      <c r="AJ35" s="5"/>
      <c r="AK35" s="3"/>
      <c r="AL35" s="5"/>
      <c r="AM35" s="5"/>
      <c r="AN35" s="14"/>
      <c r="AO35" s="3"/>
      <c r="AQ35" s="2"/>
      <c r="BA35" s="2"/>
    </row>
    <row r="36" spans="1:53" ht="45" customHeight="1">
      <c r="A36" s="61" t="s">
        <v>22</v>
      </c>
      <c r="B36" s="54" t="s">
        <v>18</v>
      </c>
      <c r="C36" s="55" t="s">
        <v>10</v>
      </c>
      <c r="D36" s="56" t="s">
        <v>52</v>
      </c>
      <c r="E36" s="51">
        <f>F36+G36+H36+I36</f>
        <v>1679</v>
      </c>
      <c r="F36" s="51">
        <f>1908-229</f>
        <v>1679</v>
      </c>
      <c r="G36" s="51">
        <v>0</v>
      </c>
      <c r="H36" s="51">
        <v>0</v>
      </c>
      <c r="I36" s="51">
        <v>0</v>
      </c>
      <c r="J36" s="51">
        <f>K36+L36+M36+N36</f>
        <v>4069</v>
      </c>
      <c r="K36" s="51">
        <v>4069</v>
      </c>
      <c r="L36" s="51">
        <v>0</v>
      </c>
      <c r="M36" s="51">
        <v>0</v>
      </c>
      <c r="N36" s="51">
        <v>0</v>
      </c>
      <c r="O36" s="51">
        <f>P36+Q36+R36+S36</f>
        <v>4132</v>
      </c>
      <c r="P36" s="51">
        <v>4132</v>
      </c>
      <c r="Q36" s="51">
        <v>0</v>
      </c>
      <c r="R36" s="51">
        <v>0</v>
      </c>
      <c r="S36" s="51">
        <v>0</v>
      </c>
      <c r="T36" s="51">
        <f>U36+V36+W36+X36</f>
        <v>4401</v>
      </c>
      <c r="U36" s="51">
        <v>4401</v>
      </c>
      <c r="V36" s="51">
        <v>0</v>
      </c>
      <c r="W36" s="51">
        <v>0</v>
      </c>
      <c r="X36" s="51">
        <v>0</v>
      </c>
      <c r="Y36" s="51">
        <f>Z36+AA36+AB36+AC36</f>
        <v>14765.4</v>
      </c>
      <c r="Z36" s="51">
        <v>14765.4</v>
      </c>
      <c r="AA36" s="51">
        <v>0</v>
      </c>
      <c r="AB36" s="51">
        <v>0</v>
      </c>
      <c r="AC36" s="51">
        <v>0</v>
      </c>
      <c r="AD36" s="53">
        <f>Y36+T36+O36+J36+E36</f>
        <v>29046.4</v>
      </c>
      <c r="AE36" s="2"/>
      <c r="AF36" s="15"/>
      <c r="AG36" s="2"/>
      <c r="AH36" s="2"/>
      <c r="AI36" s="47">
        <f>1908-1679</f>
        <v>229</v>
      </c>
      <c r="AJ36" s="5"/>
      <c r="AK36" s="5"/>
      <c r="AL36" s="5"/>
      <c r="AM36" s="3"/>
      <c r="AN36" s="5"/>
      <c r="AO36" s="3"/>
      <c r="BA36" s="2"/>
    </row>
    <row r="37" spans="1:53" ht="53.25" customHeight="1">
      <c r="A37" s="61" t="s">
        <v>23</v>
      </c>
      <c r="B37" s="54" t="s">
        <v>77</v>
      </c>
      <c r="C37" s="55" t="s">
        <v>10</v>
      </c>
      <c r="D37" s="56" t="s">
        <v>52</v>
      </c>
      <c r="E37" s="51">
        <f>F37+G37+H37+I37</f>
        <v>8643</v>
      </c>
      <c r="F37" s="51">
        <f>10265-1622</f>
        <v>8643</v>
      </c>
      <c r="G37" s="51">
        <v>0</v>
      </c>
      <c r="H37" s="51">
        <v>0</v>
      </c>
      <c r="I37" s="51">
        <v>0</v>
      </c>
      <c r="J37" s="51">
        <f>K37+L37+M37+N37</f>
        <v>7337</v>
      </c>
      <c r="K37" s="51">
        <v>7337</v>
      </c>
      <c r="L37" s="51">
        <v>0</v>
      </c>
      <c r="M37" s="51">
        <v>0</v>
      </c>
      <c r="N37" s="51">
        <v>0</v>
      </c>
      <c r="O37" s="51">
        <f>P37+Q37+R37+S37</f>
        <v>7543</v>
      </c>
      <c r="P37" s="51">
        <v>7543</v>
      </c>
      <c r="Q37" s="51">
        <v>0</v>
      </c>
      <c r="R37" s="51">
        <v>0</v>
      </c>
      <c r="S37" s="51">
        <v>0</v>
      </c>
      <c r="T37" s="51">
        <f>U37+V37+W37+X37</f>
        <v>7667</v>
      </c>
      <c r="U37" s="51">
        <v>7667</v>
      </c>
      <c r="V37" s="51">
        <v>0</v>
      </c>
      <c r="W37" s="51">
        <v>0</v>
      </c>
      <c r="X37" s="51">
        <v>0</v>
      </c>
      <c r="Y37" s="51">
        <f aca="true" t="shared" si="7" ref="Y37:Y49">Z37+AA37+AB37+AC37</f>
        <v>9042</v>
      </c>
      <c r="Z37" s="51">
        <v>9042</v>
      </c>
      <c r="AA37" s="51">
        <v>0</v>
      </c>
      <c r="AB37" s="51">
        <v>0</v>
      </c>
      <c r="AC37" s="51">
        <v>0</v>
      </c>
      <c r="AD37" s="53">
        <f aca="true" t="shared" si="8" ref="AD37:AD48">Y37+T37+O37+J37+E37</f>
        <v>40232</v>
      </c>
      <c r="AE37" s="2"/>
      <c r="AF37" s="15"/>
      <c r="AG37" s="2"/>
      <c r="AH37" s="2"/>
      <c r="AI37" s="47"/>
      <c r="AJ37" s="5"/>
      <c r="AK37" s="3"/>
      <c r="AL37" s="5"/>
      <c r="AM37" s="3"/>
      <c r="AN37" s="5"/>
      <c r="AO37" s="3"/>
      <c r="BA37" s="2"/>
    </row>
    <row r="38" spans="1:53" ht="50.25" customHeight="1">
      <c r="A38" s="61" t="s">
        <v>24</v>
      </c>
      <c r="B38" s="54" t="s">
        <v>31</v>
      </c>
      <c r="C38" s="55" t="s">
        <v>10</v>
      </c>
      <c r="D38" s="56" t="s">
        <v>52</v>
      </c>
      <c r="E38" s="51">
        <f>F38</f>
        <v>7188</v>
      </c>
      <c r="F38" s="51">
        <v>7188</v>
      </c>
      <c r="G38" s="51">
        <v>0</v>
      </c>
      <c r="H38" s="51">
        <v>0</v>
      </c>
      <c r="I38" s="51">
        <v>0</v>
      </c>
      <c r="J38" s="51">
        <f>K38</f>
        <v>3453</v>
      </c>
      <c r="K38" s="51">
        <v>3453</v>
      </c>
      <c r="L38" s="51">
        <v>0</v>
      </c>
      <c r="M38" s="51">
        <v>0</v>
      </c>
      <c r="N38" s="51">
        <v>0</v>
      </c>
      <c r="O38" s="51">
        <f>P38</f>
        <v>3075</v>
      </c>
      <c r="P38" s="51">
        <v>3075</v>
      </c>
      <c r="Q38" s="51">
        <v>0</v>
      </c>
      <c r="R38" s="51">
        <v>0</v>
      </c>
      <c r="S38" s="51">
        <v>0</v>
      </c>
      <c r="T38" s="51">
        <f>U38</f>
        <v>4381</v>
      </c>
      <c r="U38" s="51">
        <v>4381</v>
      </c>
      <c r="V38" s="51">
        <v>0</v>
      </c>
      <c r="W38" s="51">
        <v>0</v>
      </c>
      <c r="X38" s="51">
        <v>0</v>
      </c>
      <c r="Y38" s="51">
        <f t="shared" si="7"/>
        <v>8737.2</v>
      </c>
      <c r="Z38" s="51">
        <v>8737.2</v>
      </c>
      <c r="AA38" s="51">
        <v>0</v>
      </c>
      <c r="AB38" s="51">
        <v>0</v>
      </c>
      <c r="AC38" s="51">
        <v>0</v>
      </c>
      <c r="AD38" s="53">
        <f t="shared" si="8"/>
        <v>26834.2</v>
      </c>
      <c r="AE38" s="2"/>
      <c r="AF38" s="15"/>
      <c r="AG38" s="2"/>
      <c r="AH38" s="2"/>
      <c r="AI38" s="47"/>
      <c r="AJ38" s="5"/>
      <c r="AK38" s="3"/>
      <c r="AL38" s="5"/>
      <c r="AM38" s="3"/>
      <c r="AN38" s="5"/>
      <c r="AO38" s="3"/>
      <c r="BA38" s="2"/>
    </row>
    <row r="39" spans="1:53" ht="41.25" customHeight="1">
      <c r="A39" s="61" t="s">
        <v>25</v>
      </c>
      <c r="B39" s="54" t="s">
        <v>19</v>
      </c>
      <c r="C39" s="55" t="s">
        <v>10</v>
      </c>
      <c r="D39" s="56" t="s">
        <v>52</v>
      </c>
      <c r="E39" s="51">
        <f>F39+G39+H39+I39</f>
        <v>3078</v>
      </c>
      <c r="F39" s="51">
        <v>3078</v>
      </c>
      <c r="G39" s="51">
        <v>0</v>
      </c>
      <c r="H39" s="51">
        <v>0</v>
      </c>
      <c r="I39" s="51">
        <v>0</v>
      </c>
      <c r="J39" s="51">
        <f>K39+L39+M39+N39</f>
        <v>2955</v>
      </c>
      <c r="K39" s="51">
        <v>2955</v>
      </c>
      <c r="L39" s="51">
        <v>0</v>
      </c>
      <c r="M39" s="51">
        <v>0</v>
      </c>
      <c r="N39" s="51">
        <v>0</v>
      </c>
      <c r="O39" s="51">
        <f>P39+Q39+R39+S39</f>
        <v>900</v>
      </c>
      <c r="P39" s="51">
        <v>900</v>
      </c>
      <c r="Q39" s="51">
        <v>0</v>
      </c>
      <c r="R39" s="51">
        <v>0</v>
      </c>
      <c r="S39" s="51">
        <v>0</v>
      </c>
      <c r="T39" s="51">
        <f>U39+V39+W39+X39</f>
        <v>2178</v>
      </c>
      <c r="U39" s="51">
        <v>2178</v>
      </c>
      <c r="V39" s="51">
        <v>0</v>
      </c>
      <c r="W39" s="51">
        <v>0</v>
      </c>
      <c r="X39" s="51">
        <v>0</v>
      </c>
      <c r="Y39" s="51">
        <f t="shared" si="7"/>
        <v>6626</v>
      </c>
      <c r="Z39" s="51">
        <v>6626</v>
      </c>
      <c r="AA39" s="51">
        <v>0</v>
      </c>
      <c r="AB39" s="51">
        <v>0</v>
      </c>
      <c r="AC39" s="51">
        <v>0</v>
      </c>
      <c r="AD39" s="53">
        <f t="shared" si="8"/>
        <v>15737</v>
      </c>
      <c r="AE39" s="2"/>
      <c r="AF39" s="15"/>
      <c r="AG39" s="2"/>
      <c r="AH39" s="2"/>
      <c r="AI39" s="47"/>
      <c r="AJ39" s="5"/>
      <c r="AK39" s="3"/>
      <c r="AL39" s="5"/>
      <c r="AM39" s="3"/>
      <c r="AN39" s="5"/>
      <c r="AO39" s="3"/>
      <c r="BA39" s="2"/>
    </row>
    <row r="40" spans="1:53" ht="30" customHeight="1">
      <c r="A40" s="109" t="s">
        <v>26</v>
      </c>
      <c r="B40" s="131" t="s">
        <v>119</v>
      </c>
      <c r="C40" s="67" t="s">
        <v>10</v>
      </c>
      <c r="D40" s="68" t="s">
        <v>98</v>
      </c>
      <c r="E40" s="69">
        <f>F40+G40+H40</f>
        <v>0</v>
      </c>
      <c r="F40" s="69">
        <v>0</v>
      </c>
      <c r="G40" s="70">
        <v>0</v>
      </c>
      <c r="H40" s="70">
        <v>0</v>
      </c>
      <c r="I40" s="51">
        <v>0</v>
      </c>
      <c r="J40" s="51">
        <f>K40+L40+M40+N40</f>
        <v>7318</v>
      </c>
      <c r="K40" s="51">
        <v>7318</v>
      </c>
      <c r="L40" s="51">
        <v>0</v>
      </c>
      <c r="M40" s="51">
        <v>0</v>
      </c>
      <c r="N40" s="51">
        <v>0</v>
      </c>
      <c r="O40" s="51">
        <f>P40+Q40+R40+S40</f>
        <v>7611</v>
      </c>
      <c r="P40" s="51">
        <v>7611</v>
      </c>
      <c r="Q40" s="51">
        <v>0</v>
      </c>
      <c r="R40" s="51">
        <v>0</v>
      </c>
      <c r="S40" s="51">
        <v>0</v>
      </c>
      <c r="T40" s="51">
        <f>U40+V40+W40+X40</f>
        <v>7915</v>
      </c>
      <c r="U40" s="51">
        <v>7915</v>
      </c>
      <c r="V40" s="51">
        <v>0</v>
      </c>
      <c r="W40" s="51">
        <v>0</v>
      </c>
      <c r="X40" s="51">
        <v>0</v>
      </c>
      <c r="Y40" s="51">
        <f t="shared" si="7"/>
        <v>13502</v>
      </c>
      <c r="Z40" s="51">
        <v>13502</v>
      </c>
      <c r="AA40" s="51">
        <v>0</v>
      </c>
      <c r="AB40" s="51">
        <v>0</v>
      </c>
      <c r="AC40" s="51">
        <v>0</v>
      </c>
      <c r="AD40" s="53">
        <f t="shared" si="8"/>
        <v>36346</v>
      </c>
      <c r="AE40" s="2"/>
      <c r="AF40" s="15"/>
      <c r="AG40" s="2"/>
      <c r="AH40" s="2"/>
      <c r="AI40" s="47"/>
      <c r="AJ40" s="5"/>
      <c r="AK40" s="3"/>
      <c r="AL40" s="5"/>
      <c r="AM40" s="3"/>
      <c r="AN40" s="5"/>
      <c r="AO40" s="3"/>
      <c r="BA40" s="2"/>
    </row>
    <row r="41" spans="1:53" ht="32.25" customHeight="1">
      <c r="A41" s="109"/>
      <c r="B41" s="131"/>
      <c r="C41" s="65" t="s">
        <v>88</v>
      </c>
      <c r="D41" s="68">
        <v>2020</v>
      </c>
      <c r="E41" s="69">
        <f>F41+G41+H41</f>
        <v>0</v>
      </c>
      <c r="F41" s="69">
        <f>1337-1337</f>
        <v>0</v>
      </c>
      <c r="G41" s="70">
        <v>0</v>
      </c>
      <c r="H41" s="70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v>0</v>
      </c>
      <c r="AC41" s="51">
        <v>0</v>
      </c>
      <c r="AD41" s="53">
        <f t="shared" si="8"/>
        <v>0</v>
      </c>
      <c r="AE41" s="2"/>
      <c r="AF41" s="15"/>
      <c r="AG41" s="2"/>
      <c r="AH41" s="2"/>
      <c r="AI41" s="47"/>
      <c r="AJ41" s="5"/>
      <c r="AK41" s="3"/>
      <c r="AL41" s="5"/>
      <c r="AM41" s="3"/>
      <c r="AN41" s="5"/>
      <c r="AO41" s="3"/>
      <c r="BA41" s="2"/>
    </row>
    <row r="42" spans="1:53" ht="33.75" customHeight="1">
      <c r="A42" s="61" t="s">
        <v>27</v>
      </c>
      <c r="B42" s="54" t="s">
        <v>20</v>
      </c>
      <c r="C42" s="55" t="s">
        <v>10</v>
      </c>
      <c r="D42" s="56" t="s">
        <v>52</v>
      </c>
      <c r="E42" s="51">
        <f aca="true" t="shared" si="9" ref="E42:E49">F42+G42+H42+I42</f>
        <v>626</v>
      </c>
      <c r="F42" s="51">
        <f>629-3</f>
        <v>626</v>
      </c>
      <c r="G42" s="51">
        <v>0</v>
      </c>
      <c r="H42" s="51">
        <v>0</v>
      </c>
      <c r="I42" s="51">
        <v>0</v>
      </c>
      <c r="J42" s="51">
        <f aca="true" t="shared" si="10" ref="J42:J49">K42+L42+M42+N42</f>
        <v>798</v>
      </c>
      <c r="K42" s="51">
        <v>798</v>
      </c>
      <c r="L42" s="51">
        <v>0</v>
      </c>
      <c r="M42" s="51">
        <v>0</v>
      </c>
      <c r="N42" s="51">
        <v>0</v>
      </c>
      <c r="O42" s="51">
        <f>P42+Q42+R42+S42</f>
        <v>829</v>
      </c>
      <c r="P42" s="51">
        <v>829</v>
      </c>
      <c r="Q42" s="51">
        <v>0</v>
      </c>
      <c r="R42" s="51">
        <v>0</v>
      </c>
      <c r="S42" s="51">
        <v>0</v>
      </c>
      <c r="T42" s="51">
        <f aca="true" t="shared" si="11" ref="T42:T48">U42+V42+W42+X42</f>
        <v>862</v>
      </c>
      <c r="U42" s="51">
        <v>862</v>
      </c>
      <c r="V42" s="51">
        <v>0</v>
      </c>
      <c r="W42" s="51">
        <v>0</v>
      </c>
      <c r="X42" s="51">
        <v>0</v>
      </c>
      <c r="Y42" s="51">
        <f t="shared" si="7"/>
        <v>1007.4</v>
      </c>
      <c r="Z42" s="51">
        <v>1007.4</v>
      </c>
      <c r="AA42" s="51">
        <v>0</v>
      </c>
      <c r="AB42" s="51">
        <v>0</v>
      </c>
      <c r="AC42" s="51">
        <v>0</v>
      </c>
      <c r="AD42" s="53">
        <f t="shared" si="8"/>
        <v>4122.4</v>
      </c>
      <c r="AE42" s="2"/>
      <c r="AF42" s="15"/>
      <c r="AG42" s="2"/>
      <c r="AH42" s="2"/>
      <c r="AI42" s="47" t="s">
        <v>128</v>
      </c>
      <c r="AJ42" s="5"/>
      <c r="AK42" s="3"/>
      <c r="AL42" s="5"/>
      <c r="AM42" s="3"/>
      <c r="AN42" s="5"/>
      <c r="AO42" s="3"/>
      <c r="BA42" s="2"/>
    </row>
    <row r="43" spans="1:53" ht="45" customHeight="1">
      <c r="A43" s="61" t="s">
        <v>38</v>
      </c>
      <c r="B43" s="54" t="s">
        <v>120</v>
      </c>
      <c r="C43" s="55" t="s">
        <v>10</v>
      </c>
      <c r="D43" s="56" t="s">
        <v>52</v>
      </c>
      <c r="E43" s="51">
        <f t="shared" si="9"/>
        <v>218</v>
      </c>
      <c r="F43" s="51">
        <f>911-692-1</f>
        <v>218</v>
      </c>
      <c r="G43" s="51">
        <v>0</v>
      </c>
      <c r="H43" s="51">
        <v>0</v>
      </c>
      <c r="I43" s="51">
        <v>0</v>
      </c>
      <c r="J43" s="51">
        <f t="shared" si="10"/>
        <v>476</v>
      </c>
      <c r="K43" s="51">
        <v>476</v>
      </c>
      <c r="L43" s="51">
        <v>0</v>
      </c>
      <c r="M43" s="51">
        <v>0</v>
      </c>
      <c r="N43" s="51">
        <v>0</v>
      </c>
      <c r="O43" s="51">
        <f>P43+Q43+R43+S43</f>
        <v>497</v>
      </c>
      <c r="P43" s="51">
        <v>497</v>
      </c>
      <c r="Q43" s="51">
        <v>0</v>
      </c>
      <c r="R43" s="51">
        <v>0</v>
      </c>
      <c r="S43" s="51">
        <v>0</v>
      </c>
      <c r="T43" s="51">
        <f t="shared" si="11"/>
        <v>518</v>
      </c>
      <c r="U43" s="51">
        <v>518</v>
      </c>
      <c r="V43" s="51">
        <v>0</v>
      </c>
      <c r="W43" s="51">
        <v>0</v>
      </c>
      <c r="X43" s="51">
        <v>0</v>
      </c>
      <c r="Y43" s="51">
        <f t="shared" si="7"/>
        <v>1077</v>
      </c>
      <c r="Z43" s="51">
        <v>1077</v>
      </c>
      <c r="AA43" s="51">
        <v>0</v>
      </c>
      <c r="AB43" s="51">
        <v>0</v>
      </c>
      <c r="AC43" s="51">
        <v>0</v>
      </c>
      <c r="AD43" s="53">
        <f t="shared" si="8"/>
        <v>2786</v>
      </c>
      <c r="AE43" s="2"/>
      <c r="AF43" s="15"/>
      <c r="AG43" s="2"/>
      <c r="AH43" s="2"/>
      <c r="AI43" s="47" t="s">
        <v>127</v>
      </c>
      <c r="AJ43" s="5"/>
      <c r="AK43" s="3"/>
      <c r="AL43" s="5"/>
      <c r="AM43" s="3"/>
      <c r="AN43" s="5"/>
      <c r="AO43" s="3"/>
      <c r="BA43" s="2"/>
    </row>
    <row r="44" spans="1:53" s="25" customFormat="1" ht="74.25" customHeight="1">
      <c r="A44" s="61" t="s">
        <v>89</v>
      </c>
      <c r="B44" s="54" t="s">
        <v>102</v>
      </c>
      <c r="C44" s="55" t="s">
        <v>10</v>
      </c>
      <c r="D44" s="56">
        <v>2020</v>
      </c>
      <c r="E44" s="51">
        <f t="shared" si="9"/>
        <v>4091</v>
      </c>
      <c r="F44" s="51">
        <f>4162+5-353</f>
        <v>3814</v>
      </c>
      <c r="G44" s="51">
        <v>277</v>
      </c>
      <c r="H44" s="51">
        <v>0</v>
      </c>
      <c r="I44" s="51">
        <v>0</v>
      </c>
      <c r="J44" s="51">
        <f t="shared" si="10"/>
        <v>0</v>
      </c>
      <c r="K44" s="51">
        <v>0</v>
      </c>
      <c r="L44" s="51">
        <v>0</v>
      </c>
      <c r="M44" s="51">
        <v>0</v>
      </c>
      <c r="N44" s="51">
        <v>0</v>
      </c>
      <c r="O44" s="51">
        <f aca="true" t="shared" si="12" ref="O44:O49">P44+Q44+R44+S44</f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11"/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  <c r="AA44" s="51">
        <v>0</v>
      </c>
      <c r="AB44" s="51">
        <v>0</v>
      </c>
      <c r="AC44" s="51">
        <v>0</v>
      </c>
      <c r="AD44" s="53">
        <f t="shared" si="8"/>
        <v>4091</v>
      </c>
      <c r="AE44" s="30"/>
      <c r="AF44" s="43"/>
      <c r="AG44" s="30"/>
      <c r="AH44" s="30"/>
      <c r="AI44" s="48" t="s">
        <v>126</v>
      </c>
      <c r="AJ44" s="22"/>
      <c r="AK44" s="22">
        <f>F44-3809</f>
        <v>5</v>
      </c>
      <c r="AL44" s="22"/>
      <c r="AM44" s="21"/>
      <c r="AN44" s="22"/>
      <c r="AO44" s="21"/>
      <c r="BA44" s="30"/>
    </row>
    <row r="45" spans="1:53" s="40" customFormat="1" ht="48" customHeight="1">
      <c r="A45" s="61" t="s">
        <v>94</v>
      </c>
      <c r="B45" s="91" t="s">
        <v>103</v>
      </c>
      <c r="C45" s="71" t="s">
        <v>10</v>
      </c>
      <c r="D45" s="56">
        <v>2020</v>
      </c>
      <c r="E45" s="51">
        <f t="shared" si="9"/>
        <v>0</v>
      </c>
      <c r="F45" s="51">
        <f>6203-3597+326-2932</f>
        <v>0</v>
      </c>
      <c r="G45" s="51">
        <v>0</v>
      </c>
      <c r="H45" s="51">
        <v>0</v>
      </c>
      <c r="I45" s="51">
        <v>0</v>
      </c>
      <c r="J45" s="51">
        <f t="shared" si="10"/>
        <v>6709</v>
      </c>
      <c r="K45" s="51">
        <v>6709</v>
      </c>
      <c r="L45" s="51">
        <v>0</v>
      </c>
      <c r="M45" s="51">
        <v>0</v>
      </c>
      <c r="N45" s="51">
        <v>0</v>
      </c>
      <c r="O45" s="51">
        <f t="shared" si="12"/>
        <v>6977</v>
      </c>
      <c r="P45" s="51">
        <v>6977</v>
      </c>
      <c r="Q45" s="51">
        <v>0</v>
      </c>
      <c r="R45" s="51">
        <v>0</v>
      </c>
      <c r="S45" s="51">
        <v>0</v>
      </c>
      <c r="T45" s="51">
        <f t="shared" si="11"/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  <c r="AA45" s="51">
        <v>0</v>
      </c>
      <c r="AB45" s="51">
        <v>0</v>
      </c>
      <c r="AC45" s="51">
        <v>0</v>
      </c>
      <c r="AD45" s="53">
        <f t="shared" si="8"/>
        <v>13686</v>
      </c>
      <c r="AE45" s="41"/>
      <c r="AF45" s="42"/>
      <c r="AG45" s="41"/>
      <c r="AH45" s="41"/>
      <c r="AI45" s="44">
        <f>F45+8</f>
        <v>8</v>
      </c>
      <c r="AJ45" s="38">
        <f>3163-F45</f>
        <v>3163</v>
      </c>
      <c r="AK45" s="38"/>
      <c r="AL45" s="38"/>
      <c r="AM45" s="39"/>
      <c r="AN45" s="38"/>
      <c r="AO45" s="39"/>
      <c r="BA45" s="41"/>
    </row>
    <row r="46" spans="1:53" s="40" customFormat="1" ht="33.75" customHeight="1">
      <c r="A46" s="61" t="s">
        <v>95</v>
      </c>
      <c r="B46" s="72" t="s">
        <v>100</v>
      </c>
      <c r="C46" s="71" t="s">
        <v>10</v>
      </c>
      <c r="D46" s="56">
        <v>2020</v>
      </c>
      <c r="E46" s="51">
        <f t="shared" si="9"/>
        <v>882</v>
      </c>
      <c r="F46" s="51">
        <f>1243-1086-1+15</f>
        <v>171</v>
      </c>
      <c r="G46" s="51">
        <v>711</v>
      </c>
      <c r="H46" s="51">
        <v>0</v>
      </c>
      <c r="I46" s="51">
        <v>0</v>
      </c>
      <c r="J46" s="51">
        <f t="shared" si="10"/>
        <v>1284</v>
      </c>
      <c r="K46" s="51">
        <v>1284</v>
      </c>
      <c r="L46" s="51">
        <v>0</v>
      </c>
      <c r="M46" s="51">
        <v>0</v>
      </c>
      <c r="N46" s="51">
        <v>0</v>
      </c>
      <c r="O46" s="51">
        <f t="shared" si="12"/>
        <v>1325</v>
      </c>
      <c r="P46" s="51">
        <v>1325</v>
      </c>
      <c r="Q46" s="51">
        <v>0</v>
      </c>
      <c r="R46" s="51">
        <v>0</v>
      </c>
      <c r="S46" s="51">
        <v>0</v>
      </c>
      <c r="T46" s="51">
        <f t="shared" si="11"/>
        <v>1387</v>
      </c>
      <c r="U46" s="51">
        <v>1387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3">
        <f t="shared" si="8"/>
        <v>4878</v>
      </c>
      <c r="AE46" s="41"/>
      <c r="AF46" s="42"/>
      <c r="AG46" s="41"/>
      <c r="AH46" s="41"/>
      <c r="AI46" s="44" t="s">
        <v>125</v>
      </c>
      <c r="AJ46" s="38">
        <f>AD46-156</f>
        <v>4722</v>
      </c>
      <c r="AK46" s="38"/>
      <c r="AL46" s="38"/>
      <c r="AM46" s="39"/>
      <c r="AN46" s="38"/>
      <c r="AO46" s="39"/>
      <c r="BA46" s="41"/>
    </row>
    <row r="47" spans="1:53" s="40" customFormat="1" ht="129" customHeight="1">
      <c r="A47" s="61" t="s">
        <v>96</v>
      </c>
      <c r="B47" s="91" t="s">
        <v>97</v>
      </c>
      <c r="C47" s="65" t="s">
        <v>88</v>
      </c>
      <c r="D47" s="56">
        <v>2020</v>
      </c>
      <c r="E47" s="51">
        <f t="shared" si="9"/>
        <v>9140</v>
      </c>
      <c r="F47" s="51">
        <f>9551-411</f>
        <v>9140</v>
      </c>
      <c r="G47" s="51">
        <v>0</v>
      </c>
      <c r="H47" s="51">
        <v>0</v>
      </c>
      <c r="I47" s="51">
        <v>0</v>
      </c>
      <c r="J47" s="51">
        <f t="shared" si="10"/>
        <v>0</v>
      </c>
      <c r="K47" s="51">
        <v>0</v>
      </c>
      <c r="L47" s="51">
        <v>0</v>
      </c>
      <c r="M47" s="51">
        <v>0</v>
      </c>
      <c r="N47" s="51">
        <v>0</v>
      </c>
      <c r="O47" s="51">
        <f t="shared" si="12"/>
        <v>0</v>
      </c>
      <c r="P47" s="51">
        <v>0</v>
      </c>
      <c r="Q47" s="51">
        <v>0</v>
      </c>
      <c r="R47" s="51">
        <v>0</v>
      </c>
      <c r="S47" s="51">
        <v>0</v>
      </c>
      <c r="T47" s="51">
        <f t="shared" si="11"/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3">
        <f t="shared" si="8"/>
        <v>9140</v>
      </c>
      <c r="AE47" s="41"/>
      <c r="AF47" s="42"/>
      <c r="AG47" s="41"/>
      <c r="AH47" s="41"/>
      <c r="AI47" s="44"/>
      <c r="AJ47" s="38"/>
      <c r="AK47" s="39"/>
      <c r="AL47" s="38"/>
      <c r="AM47" s="39"/>
      <c r="AN47" s="38"/>
      <c r="AO47" s="39"/>
      <c r="BA47" s="41"/>
    </row>
    <row r="48" spans="1:53" s="40" customFormat="1" ht="42.75" customHeight="1">
      <c r="A48" s="61" t="s">
        <v>141</v>
      </c>
      <c r="B48" s="91" t="s">
        <v>140</v>
      </c>
      <c r="C48" s="65" t="s">
        <v>10</v>
      </c>
      <c r="D48" s="56" t="s">
        <v>142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f t="shared" si="10"/>
        <v>221</v>
      </c>
      <c r="K48" s="51">
        <v>221</v>
      </c>
      <c r="L48" s="51">
        <v>0</v>
      </c>
      <c r="M48" s="51">
        <v>0</v>
      </c>
      <c r="N48" s="51">
        <v>0</v>
      </c>
      <c r="O48" s="51">
        <f t="shared" si="12"/>
        <v>1731</v>
      </c>
      <c r="P48" s="51">
        <v>1731</v>
      </c>
      <c r="Q48" s="51">
        <v>0</v>
      </c>
      <c r="R48" s="51">
        <v>0</v>
      </c>
      <c r="S48" s="51">
        <v>0</v>
      </c>
      <c r="T48" s="51">
        <f t="shared" si="11"/>
        <v>5311</v>
      </c>
      <c r="U48" s="51">
        <v>5311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v>0</v>
      </c>
      <c r="AC48" s="51">
        <v>0</v>
      </c>
      <c r="AD48" s="53">
        <f t="shared" si="8"/>
        <v>7263</v>
      </c>
      <c r="AE48" s="41"/>
      <c r="AF48" s="42"/>
      <c r="AG48" s="41"/>
      <c r="AH48" s="41"/>
      <c r="AI48" s="44"/>
      <c r="AJ48" s="38"/>
      <c r="AK48" s="39"/>
      <c r="AL48" s="38"/>
      <c r="AM48" s="39"/>
      <c r="AN48" s="38"/>
      <c r="AO48" s="39"/>
      <c r="BA48" s="41"/>
    </row>
    <row r="49" spans="1:53" s="9" customFormat="1" ht="36" customHeight="1">
      <c r="A49" s="61"/>
      <c r="B49" s="54" t="s">
        <v>13</v>
      </c>
      <c r="C49" s="51"/>
      <c r="D49" s="56"/>
      <c r="E49" s="51">
        <f t="shared" si="9"/>
        <v>35545</v>
      </c>
      <c r="F49" s="51">
        <f>F36+F37+F38+F39+G40+F42+F43+F44+F45+F46+F47+F40+F41</f>
        <v>34557</v>
      </c>
      <c r="G49" s="51">
        <f>G44+G46</f>
        <v>988</v>
      </c>
      <c r="H49" s="51">
        <f>H44</f>
        <v>0</v>
      </c>
      <c r="I49" s="51">
        <f>I44</f>
        <v>0</v>
      </c>
      <c r="J49" s="51">
        <f t="shared" si="10"/>
        <v>34620</v>
      </c>
      <c r="K49" s="51">
        <f>K36+K37+K38+K39+K40+K42+K43+K44+K45+K46+K47+K48</f>
        <v>34620</v>
      </c>
      <c r="L49" s="51">
        <f>L36+L37+L38+L39+L40+L42+L43+L44+L45+L46+L47+L48</f>
        <v>0</v>
      </c>
      <c r="M49" s="51">
        <f>M36+M37+M38+M39+M40+M42+M43+M44+M45+M46+M47+M48</f>
        <v>0</v>
      </c>
      <c r="N49" s="51">
        <f>N36+N37+N38+N39+N40+N42+N43+N44+N45+N46+N47+N48</f>
        <v>0</v>
      </c>
      <c r="O49" s="51">
        <f t="shared" si="12"/>
        <v>34620</v>
      </c>
      <c r="P49" s="51">
        <f>P36+P37+P38+P39+P40+P42+P43+P44+P45+P46+P47+P48</f>
        <v>34620</v>
      </c>
      <c r="Q49" s="51">
        <f>Q36+Q37+Q38+Q39+Q40+Q42+Q43+Q44+Q45+Q46+Q47+Q48</f>
        <v>0</v>
      </c>
      <c r="R49" s="51">
        <f>R36+R37+R38+R39+R40+R42+R43+R44+R45+R46+R47+R48</f>
        <v>0</v>
      </c>
      <c r="S49" s="51">
        <f>S36+S37+S38+S39+S40+S42+S43+S44+S45+S46+S47+S48</f>
        <v>0</v>
      </c>
      <c r="T49" s="51">
        <f>U49+V49+W49+X49</f>
        <v>34620</v>
      </c>
      <c r="U49" s="51">
        <f>U36+U37+U38+U39+U40+U42+U43+U44+U45+U46+U47+U48</f>
        <v>34620</v>
      </c>
      <c r="V49" s="51">
        <f>V36+V37+V38+V39+V40+V42+V43+V44+V45+V46+V47+V48</f>
        <v>0</v>
      </c>
      <c r="W49" s="51">
        <f>W36+W37+W38+W39+W40+W42+W43+W44+W45+W46+W47+W48</f>
        <v>0</v>
      </c>
      <c r="X49" s="51">
        <f>X36+X37+X38+X39+X40+X42+X43+X44+X45+X46+X47+X48</f>
        <v>0</v>
      </c>
      <c r="Y49" s="51">
        <f t="shared" si="7"/>
        <v>54757.00000000001</v>
      </c>
      <c r="Z49" s="51">
        <f>Z43+Z42+Z40+Z39+Z38+Z37+Z36</f>
        <v>54757.00000000001</v>
      </c>
      <c r="AA49" s="51">
        <f>SUM(AA36:AA42)</f>
        <v>0</v>
      </c>
      <c r="AB49" s="51">
        <f>SUM(AB36:AB42)</f>
        <v>0</v>
      </c>
      <c r="AC49" s="51">
        <f>SUM(AC36:AC42)</f>
        <v>0</v>
      </c>
      <c r="AD49" s="53">
        <f>Y49+T49+O49+J49+E49</f>
        <v>194162</v>
      </c>
      <c r="AE49" s="8"/>
      <c r="AF49" s="8"/>
      <c r="AG49" s="8"/>
      <c r="AH49" s="8"/>
      <c r="AI49" s="19">
        <f>SUM(AD36:AD47)</f>
        <v>186898.99999999997</v>
      </c>
      <c r="AJ49" s="8">
        <f>AI49-5-F41</f>
        <v>186893.99999999997</v>
      </c>
      <c r="AK49" s="8">
        <f>AD49-726</f>
        <v>193436</v>
      </c>
      <c r="AL49" s="9">
        <f>1622+411</f>
        <v>2033</v>
      </c>
      <c r="AM49" s="8"/>
      <c r="AR49" s="9">
        <f>1622+502.7</f>
        <v>2124.7</v>
      </c>
      <c r="AS49" s="9">
        <f>1622+129</f>
        <v>1751</v>
      </c>
      <c r="BA49" s="8"/>
    </row>
    <row r="50" spans="1:39" ht="28.5" customHeight="1">
      <c r="A50" s="127" t="s">
        <v>73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9"/>
      <c r="AF50" s="2"/>
      <c r="AM50" s="2"/>
    </row>
    <row r="51" spans="1:38" ht="36" customHeight="1">
      <c r="A51" s="109" t="s">
        <v>4</v>
      </c>
      <c r="B51" s="110" t="s">
        <v>28</v>
      </c>
      <c r="C51" s="55" t="s">
        <v>10</v>
      </c>
      <c r="D51" s="56" t="s">
        <v>52</v>
      </c>
      <c r="E51" s="51">
        <f>F51+G51+H51+I51</f>
        <v>5943</v>
      </c>
      <c r="F51" s="51">
        <f>3830+170+192-3638+129+1622</f>
        <v>2305</v>
      </c>
      <c r="G51" s="51">
        <f>3638</f>
        <v>3638</v>
      </c>
      <c r="H51" s="51">
        <v>0</v>
      </c>
      <c r="I51" s="51">
        <v>0</v>
      </c>
      <c r="J51" s="51">
        <f>K51+L51+M51+N51</f>
        <v>902</v>
      </c>
      <c r="K51" s="51">
        <v>902</v>
      </c>
      <c r="L51" s="51">
        <v>0</v>
      </c>
      <c r="M51" s="51">
        <v>0</v>
      </c>
      <c r="N51" s="51">
        <v>0</v>
      </c>
      <c r="O51" s="51">
        <f>P51+Q51+R51+S51</f>
        <v>902</v>
      </c>
      <c r="P51" s="51">
        <v>902</v>
      </c>
      <c r="Q51" s="51">
        <v>0</v>
      </c>
      <c r="R51" s="51">
        <v>0</v>
      </c>
      <c r="S51" s="51">
        <v>0</v>
      </c>
      <c r="T51" s="51">
        <f>U51+V51+W51+X51</f>
        <v>902</v>
      </c>
      <c r="U51" s="51">
        <v>902</v>
      </c>
      <c r="V51" s="51">
        <v>0</v>
      </c>
      <c r="W51" s="51">
        <v>0</v>
      </c>
      <c r="X51" s="51">
        <v>0</v>
      </c>
      <c r="Y51" s="51">
        <f>Z51</f>
        <v>1934</v>
      </c>
      <c r="Z51" s="51">
        <v>1934</v>
      </c>
      <c r="AA51" s="51">
        <v>0</v>
      </c>
      <c r="AB51" s="51">
        <v>0</v>
      </c>
      <c r="AC51" s="51">
        <v>0</v>
      </c>
      <c r="AD51" s="53">
        <f aca="true" t="shared" si="13" ref="AD51:AD56">Y51+T51+O51+J51+E51</f>
        <v>10583</v>
      </c>
      <c r="AI51" s="19" t="s">
        <v>121</v>
      </c>
      <c r="AK51" s="1">
        <f>300+192+191</f>
        <v>683</v>
      </c>
      <c r="AL51" s="1">
        <f>554-683</f>
        <v>-129</v>
      </c>
    </row>
    <row r="52" spans="1:35" s="34" customFormat="1" ht="35.25" customHeight="1">
      <c r="A52" s="109"/>
      <c r="B52" s="110"/>
      <c r="C52" s="55" t="s">
        <v>88</v>
      </c>
      <c r="D52" s="56" t="s">
        <v>90</v>
      </c>
      <c r="E52" s="51">
        <f>F52</f>
        <v>362.1</v>
      </c>
      <c r="F52" s="51">
        <v>362.1</v>
      </c>
      <c r="G52" s="51">
        <v>0</v>
      </c>
      <c r="H52" s="51">
        <v>0</v>
      </c>
      <c r="I52" s="51">
        <v>0</v>
      </c>
      <c r="J52" s="51">
        <f>K52+L52+M52+N52</f>
        <v>352</v>
      </c>
      <c r="K52" s="51">
        <v>352</v>
      </c>
      <c r="L52" s="51">
        <v>0</v>
      </c>
      <c r="M52" s="51">
        <v>0</v>
      </c>
      <c r="N52" s="51">
        <v>0</v>
      </c>
      <c r="O52" s="51">
        <f>P52+Q52+R52+S52</f>
        <v>342.5</v>
      </c>
      <c r="P52" s="51">
        <v>342.5</v>
      </c>
      <c r="Q52" s="51">
        <v>0</v>
      </c>
      <c r="R52" s="51">
        <v>0</v>
      </c>
      <c r="S52" s="51">
        <v>0</v>
      </c>
      <c r="T52" s="51">
        <f>U52+V52+W52+X52</f>
        <v>342.5</v>
      </c>
      <c r="U52" s="51">
        <v>342.5</v>
      </c>
      <c r="V52" s="51">
        <v>0</v>
      </c>
      <c r="W52" s="51">
        <v>0</v>
      </c>
      <c r="X52" s="51">
        <v>0</v>
      </c>
      <c r="Y52" s="51">
        <f>Z52</f>
        <v>0</v>
      </c>
      <c r="Z52" s="51">
        <v>0</v>
      </c>
      <c r="AA52" s="51">
        <v>0</v>
      </c>
      <c r="AB52" s="51">
        <v>0</v>
      </c>
      <c r="AC52" s="51">
        <v>0</v>
      </c>
      <c r="AD52" s="53">
        <f t="shared" si="13"/>
        <v>1399.1</v>
      </c>
      <c r="AI52" s="45"/>
    </row>
    <row r="53" spans="1:54" ht="58.5" customHeight="1">
      <c r="A53" s="61" t="s">
        <v>14</v>
      </c>
      <c r="B53" s="54" t="s">
        <v>76</v>
      </c>
      <c r="C53" s="55" t="s">
        <v>10</v>
      </c>
      <c r="D53" s="56" t="s">
        <v>52</v>
      </c>
      <c r="E53" s="51">
        <f>F53</f>
        <v>0</v>
      </c>
      <c r="F53" s="51">
        <f>1000-129-871</f>
        <v>0</v>
      </c>
      <c r="G53" s="51">
        <v>0</v>
      </c>
      <c r="H53" s="51">
        <v>0</v>
      </c>
      <c r="I53" s="51">
        <v>0</v>
      </c>
      <c r="J53" s="51">
        <f>K53+L53+M53+N53</f>
        <v>0</v>
      </c>
      <c r="K53" s="51">
        <v>0</v>
      </c>
      <c r="L53" s="51">
        <v>0</v>
      </c>
      <c r="M53" s="51">
        <v>0</v>
      </c>
      <c r="N53" s="51">
        <v>0</v>
      </c>
      <c r="O53" s="51">
        <f>P53+Q53+R53+S53</f>
        <v>0</v>
      </c>
      <c r="P53" s="51">
        <v>0</v>
      </c>
      <c r="Q53" s="51">
        <v>0</v>
      </c>
      <c r="R53" s="51">
        <v>0</v>
      </c>
      <c r="S53" s="51">
        <v>0</v>
      </c>
      <c r="T53" s="51">
        <f>U53</f>
        <v>0</v>
      </c>
      <c r="U53" s="51">
        <v>0</v>
      </c>
      <c r="V53" s="51">
        <v>0</v>
      </c>
      <c r="W53" s="51">
        <v>0</v>
      </c>
      <c r="X53" s="51">
        <v>0</v>
      </c>
      <c r="Y53" s="51">
        <f>Z53</f>
        <v>1000</v>
      </c>
      <c r="Z53" s="51">
        <v>1000</v>
      </c>
      <c r="AA53" s="51">
        <v>0</v>
      </c>
      <c r="AB53" s="51">
        <v>0</v>
      </c>
      <c r="AC53" s="51">
        <v>0</v>
      </c>
      <c r="AD53" s="53">
        <f t="shared" si="13"/>
        <v>1000</v>
      </c>
      <c r="AE53" s="2"/>
      <c r="BA53" s="2"/>
      <c r="BB53" s="2"/>
    </row>
    <row r="54" spans="1:53" ht="39.75" customHeight="1">
      <c r="A54" s="109" t="s">
        <v>17</v>
      </c>
      <c r="B54" s="110" t="s">
        <v>45</v>
      </c>
      <c r="C54" s="55" t="s">
        <v>10</v>
      </c>
      <c r="D54" s="56" t="s">
        <v>52</v>
      </c>
      <c r="E54" s="51">
        <f>F54</f>
        <v>9323</v>
      </c>
      <c r="F54" s="51">
        <f>2469+300+996+2719+2100-132+871</f>
        <v>9323</v>
      </c>
      <c r="G54" s="51">
        <v>0</v>
      </c>
      <c r="H54" s="51">
        <v>0</v>
      </c>
      <c r="I54" s="51">
        <v>0</v>
      </c>
      <c r="J54" s="51">
        <f>K54+L54+M54+N54</f>
        <v>5655</v>
      </c>
      <c r="K54" s="51">
        <f>3946+1709</f>
        <v>5655</v>
      </c>
      <c r="L54" s="51">
        <v>0</v>
      </c>
      <c r="M54" s="51">
        <v>0</v>
      </c>
      <c r="N54" s="51">
        <v>0</v>
      </c>
      <c r="O54" s="51">
        <f>P54+Q54+R54+S54</f>
        <v>5655</v>
      </c>
      <c r="P54" s="51">
        <f>3946+1709</f>
        <v>5655</v>
      </c>
      <c r="Q54" s="51">
        <v>0</v>
      </c>
      <c r="R54" s="51">
        <v>0</v>
      </c>
      <c r="S54" s="51">
        <v>0</v>
      </c>
      <c r="T54" s="51">
        <f>U54+V54+W54+X54</f>
        <v>5655</v>
      </c>
      <c r="U54" s="51">
        <f>3946+1709</f>
        <v>5655</v>
      </c>
      <c r="V54" s="51">
        <v>0</v>
      </c>
      <c r="W54" s="51">
        <v>0</v>
      </c>
      <c r="X54" s="51">
        <v>0</v>
      </c>
      <c r="Y54" s="51">
        <f>Z54</f>
        <v>6025</v>
      </c>
      <c r="Z54" s="51">
        <v>6025</v>
      </c>
      <c r="AA54" s="51">
        <v>0</v>
      </c>
      <c r="AB54" s="51">
        <v>0</v>
      </c>
      <c r="AC54" s="51">
        <v>0</v>
      </c>
      <c r="AD54" s="53">
        <f t="shared" si="13"/>
        <v>32313</v>
      </c>
      <c r="AI54" s="97" t="s">
        <v>122</v>
      </c>
      <c r="AJ54" s="97"/>
      <c r="AK54" s="97"/>
      <c r="AL54" s="97"/>
      <c r="AM54" s="97"/>
      <c r="AN54" s="97"/>
      <c r="AO54" s="97"/>
      <c r="AP54" s="97"/>
      <c r="AQ54" s="97"/>
      <c r="AR54" s="97"/>
      <c r="AS54" s="2">
        <f>U56-10828</f>
        <v>-2874.5</v>
      </c>
      <c r="BA54" s="2"/>
    </row>
    <row r="55" spans="1:53" s="34" customFormat="1" ht="35.25" customHeight="1">
      <c r="A55" s="109"/>
      <c r="B55" s="110"/>
      <c r="C55" s="55" t="s">
        <v>88</v>
      </c>
      <c r="D55" s="56" t="s">
        <v>52</v>
      </c>
      <c r="E55" s="51">
        <f>F55+G55+H55+I55</f>
        <v>2397.9</v>
      </c>
      <c r="F55" s="51">
        <f>1927.2-32+502.7</f>
        <v>2397.9</v>
      </c>
      <c r="G55" s="51">
        <v>0</v>
      </c>
      <c r="H55" s="51">
        <v>0</v>
      </c>
      <c r="I55" s="51">
        <v>0</v>
      </c>
      <c r="J55" s="51">
        <f>K55+L55+M55+N55</f>
        <v>1537</v>
      </c>
      <c r="K55" s="51">
        <v>1537</v>
      </c>
      <c r="L55" s="51">
        <v>0</v>
      </c>
      <c r="M55" s="51">
        <v>0</v>
      </c>
      <c r="N55" s="51">
        <v>0</v>
      </c>
      <c r="O55" s="51">
        <f>P55+Q55+R55+S55</f>
        <v>1054</v>
      </c>
      <c r="P55" s="51">
        <v>1054</v>
      </c>
      <c r="Q55" s="51">
        <v>0</v>
      </c>
      <c r="R55" s="51">
        <v>0</v>
      </c>
      <c r="S55" s="51">
        <v>0</v>
      </c>
      <c r="T55" s="51">
        <f>U55+V55+W55+X55</f>
        <v>1054</v>
      </c>
      <c r="U55" s="51">
        <v>1054</v>
      </c>
      <c r="V55" s="51">
        <v>0</v>
      </c>
      <c r="W55" s="51">
        <v>0</v>
      </c>
      <c r="X55" s="51">
        <v>0</v>
      </c>
      <c r="Y55" s="51">
        <f>Z55+AA55+AB55+AC55</f>
        <v>1870</v>
      </c>
      <c r="Z55" s="51">
        <v>1870</v>
      </c>
      <c r="AA55" s="51">
        <v>0</v>
      </c>
      <c r="AB55" s="51">
        <v>0</v>
      </c>
      <c r="AC55" s="51">
        <v>0</v>
      </c>
      <c r="AD55" s="53">
        <f t="shared" si="13"/>
        <v>7912.9</v>
      </c>
      <c r="AE55" s="35"/>
      <c r="AF55" s="35"/>
      <c r="AI55" s="130" t="s">
        <v>118</v>
      </c>
      <c r="AJ55" s="130"/>
      <c r="AK55" s="130"/>
      <c r="AL55" s="59" t="s">
        <v>139</v>
      </c>
      <c r="AM55" s="50"/>
      <c r="AN55" s="50"/>
      <c r="AO55" s="50"/>
      <c r="AP55" s="50"/>
      <c r="AQ55" s="50"/>
      <c r="AR55" s="50">
        <f>15+67+430-11</f>
        <v>501</v>
      </c>
      <c r="AS55" s="35">
        <f>P56-8270</f>
        <v>-316.5</v>
      </c>
      <c r="BA55" s="35"/>
    </row>
    <row r="56" spans="1:54" s="9" customFormat="1" ht="36.75" customHeight="1">
      <c r="A56" s="61"/>
      <c r="B56" s="54" t="s">
        <v>15</v>
      </c>
      <c r="C56" s="55"/>
      <c r="D56" s="56"/>
      <c r="E56" s="51">
        <f>F56+G56+H56+I56</f>
        <v>18026</v>
      </c>
      <c r="F56" s="51">
        <f>F51+F53+F54+F55+F52</f>
        <v>14388</v>
      </c>
      <c r="G56" s="51">
        <f>G51+G53+G54+G55</f>
        <v>3638</v>
      </c>
      <c r="H56" s="51">
        <f>H51+H53+H54+H55</f>
        <v>0</v>
      </c>
      <c r="I56" s="51">
        <f>I51+I53+I54+I55</f>
        <v>0</v>
      </c>
      <c r="J56" s="51">
        <f>J51+J53+J54+J55+J52</f>
        <v>8446</v>
      </c>
      <c r="K56" s="51">
        <f>K51+K53+K54+K55+K52</f>
        <v>8446</v>
      </c>
      <c r="L56" s="51">
        <f aca="true" t="shared" si="14" ref="L56:AC56">L51+L53+L54+L55+L52</f>
        <v>0</v>
      </c>
      <c r="M56" s="51">
        <f t="shared" si="14"/>
        <v>0</v>
      </c>
      <c r="N56" s="51">
        <f t="shared" si="14"/>
        <v>0</v>
      </c>
      <c r="O56" s="51">
        <f t="shared" si="14"/>
        <v>7953.5</v>
      </c>
      <c r="P56" s="51">
        <f t="shared" si="14"/>
        <v>7953.5</v>
      </c>
      <c r="Q56" s="51">
        <f t="shared" si="14"/>
        <v>0</v>
      </c>
      <c r="R56" s="51">
        <f t="shared" si="14"/>
        <v>0</v>
      </c>
      <c r="S56" s="51">
        <f t="shared" si="14"/>
        <v>0</v>
      </c>
      <c r="T56" s="51">
        <f t="shared" si="14"/>
        <v>7953.5</v>
      </c>
      <c r="U56" s="51">
        <f t="shared" si="14"/>
        <v>7953.5</v>
      </c>
      <c r="V56" s="51">
        <f t="shared" si="14"/>
        <v>0</v>
      </c>
      <c r="W56" s="51">
        <f t="shared" si="14"/>
        <v>0</v>
      </c>
      <c r="X56" s="51">
        <f t="shared" si="14"/>
        <v>0</v>
      </c>
      <c r="Y56" s="51">
        <f t="shared" si="14"/>
        <v>10829</v>
      </c>
      <c r="Z56" s="51">
        <f t="shared" si="14"/>
        <v>10829</v>
      </c>
      <c r="AA56" s="51">
        <f t="shared" si="14"/>
        <v>0</v>
      </c>
      <c r="AB56" s="51">
        <f t="shared" si="14"/>
        <v>0</v>
      </c>
      <c r="AC56" s="51">
        <f t="shared" si="14"/>
        <v>0</v>
      </c>
      <c r="AD56" s="53">
        <f t="shared" si="13"/>
        <v>53208</v>
      </c>
      <c r="AE56" s="31">
        <f>E56-E55-E52</f>
        <v>15266</v>
      </c>
      <c r="AF56" s="31">
        <v>10829</v>
      </c>
      <c r="AG56" s="31"/>
      <c r="AH56" s="31"/>
      <c r="AI56" s="49">
        <f>E56+J56+O56+T56+Y56</f>
        <v>53208</v>
      </c>
      <c r="AJ56" s="8">
        <f>15901.3-E56</f>
        <v>-2124.7000000000007</v>
      </c>
      <c r="AL56" s="8">
        <f>K54+K51</f>
        <v>6557</v>
      </c>
      <c r="AS56" s="8">
        <f>K56-8270</f>
        <v>176</v>
      </c>
      <c r="BA56" s="8"/>
      <c r="BB56" s="8"/>
    </row>
    <row r="57" spans="1:38" s="9" customFormat="1" ht="30.75" customHeight="1">
      <c r="A57" s="118" t="s">
        <v>74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6"/>
      <c r="AI57" s="46"/>
      <c r="AJ57" s="8">
        <f>K54+K53</f>
        <v>5655</v>
      </c>
      <c r="AL57" s="37"/>
    </row>
    <row r="58" spans="1:44" s="9" customFormat="1" ht="81" customHeight="1">
      <c r="A58" s="61" t="s">
        <v>16</v>
      </c>
      <c r="B58" s="54" t="s">
        <v>78</v>
      </c>
      <c r="C58" s="55" t="s">
        <v>10</v>
      </c>
      <c r="D58" s="56" t="s">
        <v>101</v>
      </c>
      <c r="E58" s="51">
        <f>F58+G58+H58+I58</f>
        <v>3575</v>
      </c>
      <c r="F58" s="51">
        <v>1723</v>
      </c>
      <c r="G58" s="51">
        <v>1852</v>
      </c>
      <c r="H58" s="51">
        <v>0</v>
      </c>
      <c r="I58" s="51">
        <v>0</v>
      </c>
      <c r="J58" s="51">
        <f>K58+L58+M58+N58</f>
        <v>4400</v>
      </c>
      <c r="K58" s="51">
        <v>1721</v>
      </c>
      <c r="L58" s="51">
        <v>2679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 t="s">
        <v>55</v>
      </c>
      <c r="Z58" s="51">
        <v>0</v>
      </c>
      <c r="AA58" s="51" t="s">
        <v>55</v>
      </c>
      <c r="AB58" s="51">
        <v>0</v>
      </c>
      <c r="AC58" s="51">
        <v>0</v>
      </c>
      <c r="AD58" s="53">
        <f>4540+E58+J58</f>
        <v>12515</v>
      </c>
      <c r="AE58" s="8"/>
      <c r="AI58" s="46"/>
      <c r="AJ58" s="8">
        <f>K54+K51</f>
        <v>6557</v>
      </c>
      <c r="AK58" s="9">
        <v>1852</v>
      </c>
      <c r="AR58" s="8">
        <f>J58-AK58</f>
        <v>2548</v>
      </c>
    </row>
    <row r="59" spans="1:35" s="9" customFormat="1" ht="32.25" customHeight="1">
      <c r="A59" s="61"/>
      <c r="B59" s="54" t="s">
        <v>21</v>
      </c>
      <c r="C59" s="55"/>
      <c r="D59" s="56"/>
      <c r="E59" s="51">
        <f aca="true" t="shared" si="15" ref="E59:Q59">E58</f>
        <v>3575</v>
      </c>
      <c r="F59" s="51">
        <f t="shared" si="15"/>
        <v>1723</v>
      </c>
      <c r="G59" s="51">
        <f t="shared" si="15"/>
        <v>1852</v>
      </c>
      <c r="H59" s="51">
        <f t="shared" si="15"/>
        <v>0</v>
      </c>
      <c r="I59" s="51">
        <f t="shared" si="15"/>
        <v>0</v>
      </c>
      <c r="J59" s="51">
        <f t="shared" si="15"/>
        <v>4400</v>
      </c>
      <c r="K59" s="51">
        <f t="shared" si="15"/>
        <v>1721</v>
      </c>
      <c r="L59" s="51">
        <f t="shared" si="15"/>
        <v>2679</v>
      </c>
      <c r="M59" s="51">
        <f t="shared" si="15"/>
        <v>0</v>
      </c>
      <c r="N59" s="51">
        <f t="shared" si="15"/>
        <v>0</v>
      </c>
      <c r="O59" s="51">
        <v>0</v>
      </c>
      <c r="P59" s="51">
        <f t="shared" si="15"/>
        <v>0</v>
      </c>
      <c r="Q59" s="51">
        <f t="shared" si="15"/>
        <v>0</v>
      </c>
      <c r="R59" s="51">
        <f aca="true" t="shared" si="16" ref="R59:AC59">R58</f>
        <v>0</v>
      </c>
      <c r="S59" s="51">
        <f t="shared" si="16"/>
        <v>0</v>
      </c>
      <c r="T59" s="51">
        <f t="shared" si="16"/>
        <v>0</v>
      </c>
      <c r="U59" s="51">
        <f t="shared" si="16"/>
        <v>0</v>
      </c>
      <c r="V59" s="51">
        <f t="shared" si="16"/>
        <v>0</v>
      </c>
      <c r="W59" s="51">
        <f t="shared" si="16"/>
        <v>0</v>
      </c>
      <c r="X59" s="51">
        <f t="shared" si="16"/>
        <v>0</v>
      </c>
      <c r="Y59" s="51" t="str">
        <f t="shared" si="16"/>
        <v>4540*</v>
      </c>
      <c r="Z59" s="51">
        <f t="shared" si="16"/>
        <v>0</v>
      </c>
      <c r="AA59" s="51" t="str">
        <f t="shared" si="16"/>
        <v>4540*</v>
      </c>
      <c r="AB59" s="51">
        <f t="shared" si="16"/>
        <v>0</v>
      </c>
      <c r="AC59" s="51">
        <f t="shared" si="16"/>
        <v>0</v>
      </c>
      <c r="AD59" s="53">
        <f>AD58</f>
        <v>12515</v>
      </c>
      <c r="AE59" s="8"/>
      <c r="AI59" s="46"/>
    </row>
    <row r="60" spans="1:44" ht="37.5" customHeight="1">
      <c r="A60" s="118" t="s">
        <v>110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6"/>
      <c r="AR60" s="2">
        <f>L58-AK58</f>
        <v>827</v>
      </c>
    </row>
    <row r="61" spans="1:30" ht="44.25" customHeight="1">
      <c r="A61" s="109" t="s">
        <v>105</v>
      </c>
      <c r="B61" s="110" t="s">
        <v>143</v>
      </c>
      <c r="C61" s="55" t="s">
        <v>10</v>
      </c>
      <c r="D61" s="56" t="s">
        <v>52</v>
      </c>
      <c r="E61" s="51">
        <f aca="true" t="shared" si="17" ref="E61:E74">F61+G61+H61+I61</f>
        <v>7262</v>
      </c>
      <c r="F61" s="51">
        <f>1500+238+5524</f>
        <v>7262</v>
      </c>
      <c r="G61" s="51">
        <v>0</v>
      </c>
      <c r="H61" s="51">
        <v>0</v>
      </c>
      <c r="I61" s="51">
        <v>0</v>
      </c>
      <c r="J61" s="51">
        <f>K61</f>
        <v>3000</v>
      </c>
      <c r="K61" s="51">
        <f>2484+516</f>
        <v>3000</v>
      </c>
      <c r="L61" s="51">
        <v>0</v>
      </c>
      <c r="M61" s="51">
        <v>0</v>
      </c>
      <c r="N61" s="51">
        <v>0</v>
      </c>
      <c r="O61" s="51">
        <f aca="true" t="shared" si="18" ref="O61:O69">P61+Q61+R61+S61</f>
        <v>3000</v>
      </c>
      <c r="P61" s="51">
        <f>2484+516</f>
        <v>3000</v>
      </c>
      <c r="Q61" s="51">
        <v>0</v>
      </c>
      <c r="R61" s="51">
        <v>0</v>
      </c>
      <c r="S61" s="51">
        <v>0</v>
      </c>
      <c r="T61" s="51">
        <f aca="true" t="shared" si="19" ref="T61:T69">U61+V61+W61+X61</f>
        <v>3000</v>
      </c>
      <c r="U61" s="51">
        <f>2484+516</f>
        <v>3000</v>
      </c>
      <c r="V61" s="51">
        <v>0</v>
      </c>
      <c r="W61" s="51">
        <v>0</v>
      </c>
      <c r="X61" s="51">
        <v>0</v>
      </c>
      <c r="Y61" s="51">
        <f>Z61+AA61+AB61+AC61</f>
        <v>3970</v>
      </c>
      <c r="Z61" s="51">
        <v>3970</v>
      </c>
      <c r="AA61" s="51">
        <v>0</v>
      </c>
      <c r="AB61" s="51">
        <v>0</v>
      </c>
      <c r="AC61" s="51">
        <v>0</v>
      </c>
      <c r="AD61" s="53">
        <f aca="true" t="shared" si="20" ref="AD61:AD66">Y61+T61+O61+J61+E61</f>
        <v>20232</v>
      </c>
    </row>
    <row r="62" spans="1:35" ht="51" customHeight="1">
      <c r="A62" s="109"/>
      <c r="B62" s="110"/>
      <c r="C62" s="55" t="s">
        <v>88</v>
      </c>
      <c r="D62" s="56" t="s">
        <v>90</v>
      </c>
      <c r="E62" s="51">
        <f t="shared" si="17"/>
        <v>78</v>
      </c>
      <c r="F62" s="51">
        <v>78</v>
      </c>
      <c r="G62" s="51">
        <v>0</v>
      </c>
      <c r="H62" s="51">
        <v>0</v>
      </c>
      <c r="I62" s="51">
        <v>0</v>
      </c>
      <c r="J62" s="51">
        <f>K62+L62+M62+N62</f>
        <v>260</v>
      </c>
      <c r="K62" s="51">
        <v>260</v>
      </c>
      <c r="L62" s="51">
        <v>0</v>
      </c>
      <c r="M62" s="51">
        <v>0</v>
      </c>
      <c r="N62" s="51">
        <v>0</v>
      </c>
      <c r="O62" s="51">
        <f t="shared" si="18"/>
        <v>258</v>
      </c>
      <c r="P62" s="51">
        <v>258</v>
      </c>
      <c r="Q62" s="51">
        <v>0</v>
      </c>
      <c r="R62" s="51">
        <v>0</v>
      </c>
      <c r="S62" s="51">
        <v>0</v>
      </c>
      <c r="T62" s="51">
        <f t="shared" si="19"/>
        <v>258</v>
      </c>
      <c r="U62" s="51">
        <v>258</v>
      </c>
      <c r="V62" s="51">
        <v>0</v>
      </c>
      <c r="W62" s="51">
        <v>0</v>
      </c>
      <c r="X62" s="51">
        <v>0</v>
      </c>
      <c r="Y62" s="51">
        <f>Z62+AA62+AB62+AC62</f>
        <v>0</v>
      </c>
      <c r="Z62" s="51">
        <v>0</v>
      </c>
      <c r="AA62" s="51">
        <v>0</v>
      </c>
      <c r="AB62" s="51">
        <v>0</v>
      </c>
      <c r="AC62" s="51">
        <v>0</v>
      </c>
      <c r="AD62" s="53">
        <f t="shared" si="20"/>
        <v>854</v>
      </c>
      <c r="AI62" s="19">
        <v>-183</v>
      </c>
    </row>
    <row r="63" spans="1:38" ht="40.5" customHeight="1">
      <c r="A63" s="61" t="s">
        <v>106</v>
      </c>
      <c r="B63" s="54" t="s">
        <v>91</v>
      </c>
      <c r="C63" s="55" t="s">
        <v>10</v>
      </c>
      <c r="D63" s="56" t="s">
        <v>90</v>
      </c>
      <c r="E63" s="51">
        <f t="shared" si="17"/>
        <v>550</v>
      </c>
      <c r="F63" s="51">
        <f>1500-950</f>
        <v>550</v>
      </c>
      <c r="G63" s="51">
        <v>0</v>
      </c>
      <c r="H63" s="51">
        <v>0</v>
      </c>
      <c r="I63" s="51">
        <v>0</v>
      </c>
      <c r="J63" s="51">
        <f>K63+L63+M63+N63</f>
        <v>0</v>
      </c>
      <c r="K63" s="51">
        <v>0</v>
      </c>
      <c r="L63" s="51">
        <v>0</v>
      </c>
      <c r="M63" s="51">
        <v>0</v>
      </c>
      <c r="N63" s="51">
        <v>0</v>
      </c>
      <c r="O63" s="51">
        <f t="shared" si="18"/>
        <v>0</v>
      </c>
      <c r="P63" s="51">
        <v>0</v>
      </c>
      <c r="Q63" s="51">
        <v>0</v>
      </c>
      <c r="R63" s="51">
        <v>0</v>
      </c>
      <c r="S63" s="51">
        <v>0</v>
      </c>
      <c r="T63" s="51">
        <f t="shared" si="19"/>
        <v>0</v>
      </c>
      <c r="U63" s="51">
        <v>0</v>
      </c>
      <c r="V63" s="51">
        <v>0</v>
      </c>
      <c r="W63" s="51">
        <v>0</v>
      </c>
      <c r="X63" s="51">
        <v>0</v>
      </c>
      <c r="Y63" s="51">
        <f>Z63+AA63+AB63+AC63</f>
        <v>0</v>
      </c>
      <c r="Z63" s="51">
        <v>0</v>
      </c>
      <c r="AA63" s="51">
        <v>0</v>
      </c>
      <c r="AB63" s="51">
        <v>0</v>
      </c>
      <c r="AC63" s="51">
        <v>0</v>
      </c>
      <c r="AD63" s="53">
        <f t="shared" si="20"/>
        <v>550</v>
      </c>
      <c r="AI63" s="97" t="s">
        <v>123</v>
      </c>
      <c r="AJ63" s="97"/>
      <c r="AK63" s="97"/>
      <c r="AL63" s="97"/>
    </row>
    <row r="64" spans="1:35" ht="49.5" customHeight="1">
      <c r="A64" s="61" t="s">
        <v>107</v>
      </c>
      <c r="B64" s="54" t="s">
        <v>92</v>
      </c>
      <c r="C64" s="55" t="s">
        <v>10</v>
      </c>
      <c r="D64" s="56" t="s">
        <v>90</v>
      </c>
      <c r="E64" s="51">
        <f t="shared" si="17"/>
        <v>577</v>
      </c>
      <c r="F64" s="51">
        <f>620-43</f>
        <v>577</v>
      </c>
      <c r="G64" s="51">
        <v>0</v>
      </c>
      <c r="H64" s="51">
        <v>0</v>
      </c>
      <c r="I64" s="51">
        <v>0</v>
      </c>
      <c r="J64" s="51">
        <f>K64+L64+M64+N64</f>
        <v>620</v>
      </c>
      <c r="K64" s="51">
        <v>620</v>
      </c>
      <c r="L64" s="51">
        <v>0</v>
      </c>
      <c r="M64" s="51">
        <v>0</v>
      </c>
      <c r="N64" s="51">
        <v>0</v>
      </c>
      <c r="O64" s="51">
        <f t="shared" si="18"/>
        <v>620</v>
      </c>
      <c r="P64" s="51">
        <v>620</v>
      </c>
      <c r="Q64" s="51">
        <v>0</v>
      </c>
      <c r="R64" s="51">
        <v>0</v>
      </c>
      <c r="S64" s="51">
        <v>0</v>
      </c>
      <c r="T64" s="51">
        <f t="shared" si="19"/>
        <v>620</v>
      </c>
      <c r="U64" s="51">
        <v>620</v>
      </c>
      <c r="V64" s="51">
        <v>0</v>
      </c>
      <c r="W64" s="51">
        <v>0</v>
      </c>
      <c r="X64" s="51">
        <v>0</v>
      </c>
      <c r="Y64" s="51">
        <f>Z64+AA64+AB64+AC64</f>
        <v>0</v>
      </c>
      <c r="Z64" s="51">
        <v>0</v>
      </c>
      <c r="AA64" s="51">
        <v>0</v>
      </c>
      <c r="AB64" s="51">
        <v>0</v>
      </c>
      <c r="AC64" s="51">
        <v>0</v>
      </c>
      <c r="AD64" s="53">
        <f t="shared" si="20"/>
        <v>2437</v>
      </c>
      <c r="AI64" s="19" t="s">
        <v>124</v>
      </c>
    </row>
    <row r="65" spans="1:35" ht="91.5" customHeight="1">
      <c r="A65" s="61" t="s">
        <v>109</v>
      </c>
      <c r="B65" s="62" t="s">
        <v>99</v>
      </c>
      <c r="C65" s="65" t="s">
        <v>88</v>
      </c>
      <c r="D65" s="56">
        <v>2020</v>
      </c>
      <c r="E65" s="51">
        <f t="shared" si="17"/>
        <v>1703.5</v>
      </c>
      <c r="F65" s="51">
        <f>1700+203.5-200</f>
        <v>1703.5</v>
      </c>
      <c r="G65" s="51">
        <v>0</v>
      </c>
      <c r="H65" s="51">
        <v>0</v>
      </c>
      <c r="I65" s="51">
        <v>0</v>
      </c>
      <c r="J65" s="51">
        <f>K65+L65+M65+N65</f>
        <v>1700</v>
      </c>
      <c r="K65" s="51">
        <v>1700</v>
      </c>
      <c r="L65" s="51">
        <v>0</v>
      </c>
      <c r="M65" s="51">
        <v>0</v>
      </c>
      <c r="N65" s="51">
        <v>0</v>
      </c>
      <c r="O65" s="51">
        <f t="shared" si="18"/>
        <v>606</v>
      </c>
      <c r="P65" s="51">
        <v>606</v>
      </c>
      <c r="Q65" s="51">
        <v>0</v>
      </c>
      <c r="R65" s="51">
        <v>0</v>
      </c>
      <c r="S65" s="51">
        <v>0</v>
      </c>
      <c r="T65" s="51">
        <f t="shared" si="19"/>
        <v>606</v>
      </c>
      <c r="U65" s="51">
        <v>606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v>0</v>
      </c>
      <c r="AC65" s="51">
        <v>0</v>
      </c>
      <c r="AD65" s="53">
        <f t="shared" si="20"/>
        <v>4615.5</v>
      </c>
      <c r="AI65" s="19">
        <v>-203.5</v>
      </c>
    </row>
    <row r="66" spans="1:35" s="40" customFormat="1" ht="35.25" customHeight="1">
      <c r="A66" s="109" t="s">
        <v>108</v>
      </c>
      <c r="B66" s="110" t="s">
        <v>93</v>
      </c>
      <c r="C66" s="55" t="s">
        <v>10</v>
      </c>
      <c r="D66" s="56">
        <v>2020</v>
      </c>
      <c r="E66" s="51">
        <f t="shared" si="17"/>
        <v>73</v>
      </c>
      <c r="F66" s="51">
        <v>4</v>
      </c>
      <c r="G66" s="51">
        <v>69</v>
      </c>
      <c r="H66" s="51">
        <v>0</v>
      </c>
      <c r="I66" s="51">
        <v>0</v>
      </c>
      <c r="J66" s="51">
        <f>K66+L66+M66+N66</f>
        <v>0</v>
      </c>
      <c r="K66" s="51">
        <v>0</v>
      </c>
      <c r="L66" s="51">
        <v>0</v>
      </c>
      <c r="M66" s="51">
        <v>0</v>
      </c>
      <c r="N66" s="51">
        <v>0</v>
      </c>
      <c r="O66" s="51">
        <f t="shared" si="18"/>
        <v>0</v>
      </c>
      <c r="P66" s="51">
        <v>0</v>
      </c>
      <c r="Q66" s="51">
        <v>0</v>
      </c>
      <c r="R66" s="51">
        <v>0</v>
      </c>
      <c r="S66" s="51">
        <v>0</v>
      </c>
      <c r="T66" s="51">
        <f t="shared" si="19"/>
        <v>0</v>
      </c>
      <c r="U66" s="51">
        <v>0</v>
      </c>
      <c r="V66" s="51">
        <v>0</v>
      </c>
      <c r="W66" s="51">
        <v>0</v>
      </c>
      <c r="X66" s="51">
        <v>0</v>
      </c>
      <c r="Y66" s="51">
        <f>Z66+AA66+AB66+AC66</f>
        <v>0</v>
      </c>
      <c r="Z66" s="51">
        <v>0</v>
      </c>
      <c r="AA66" s="51">
        <v>0</v>
      </c>
      <c r="AB66" s="51">
        <v>0</v>
      </c>
      <c r="AC66" s="51">
        <v>0</v>
      </c>
      <c r="AD66" s="53">
        <f t="shared" si="20"/>
        <v>73</v>
      </c>
      <c r="AI66" s="44"/>
    </row>
    <row r="67" spans="1:35" s="40" customFormat="1" ht="82.5" customHeight="1">
      <c r="A67" s="109"/>
      <c r="B67" s="110"/>
      <c r="C67" s="55" t="s">
        <v>111</v>
      </c>
      <c r="D67" s="56" t="s">
        <v>115</v>
      </c>
      <c r="E67" s="51">
        <f t="shared" si="17"/>
        <v>227.1</v>
      </c>
      <c r="F67" s="51">
        <v>0</v>
      </c>
      <c r="G67" s="51">
        <v>227.1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f t="shared" si="18"/>
        <v>0</v>
      </c>
      <c r="P67" s="51">
        <v>0</v>
      </c>
      <c r="Q67" s="51">
        <v>0</v>
      </c>
      <c r="R67" s="51">
        <v>0</v>
      </c>
      <c r="S67" s="51">
        <v>0</v>
      </c>
      <c r="T67" s="51">
        <f t="shared" si="19"/>
        <v>0</v>
      </c>
      <c r="U67" s="51">
        <v>0</v>
      </c>
      <c r="V67" s="51">
        <v>0</v>
      </c>
      <c r="W67" s="51">
        <v>0</v>
      </c>
      <c r="X67" s="51">
        <v>0</v>
      </c>
      <c r="Y67" s="51">
        <f>Z67+AA67+AB67+AC67</f>
        <v>0</v>
      </c>
      <c r="Z67" s="51">
        <v>0</v>
      </c>
      <c r="AA67" s="51">
        <v>0</v>
      </c>
      <c r="AB67" s="51">
        <v>0</v>
      </c>
      <c r="AC67" s="51">
        <v>0</v>
      </c>
      <c r="AD67" s="53">
        <f>Y67+T67+O67+J67+E67</f>
        <v>227.1</v>
      </c>
      <c r="AI67" s="44"/>
    </row>
    <row r="68" spans="1:37" s="40" customFormat="1" ht="79.5" customHeight="1">
      <c r="A68" s="109"/>
      <c r="B68" s="110"/>
      <c r="C68" s="55" t="s">
        <v>112</v>
      </c>
      <c r="D68" s="56" t="s">
        <v>115</v>
      </c>
      <c r="E68" s="51">
        <f t="shared" si="17"/>
        <v>383.2</v>
      </c>
      <c r="F68" s="51">
        <v>0</v>
      </c>
      <c r="G68" s="51">
        <v>383.2</v>
      </c>
      <c r="H68" s="51">
        <v>0</v>
      </c>
      <c r="I68" s="51">
        <v>0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f t="shared" si="18"/>
        <v>0</v>
      </c>
      <c r="P68" s="51">
        <v>0</v>
      </c>
      <c r="Q68" s="51">
        <v>0</v>
      </c>
      <c r="R68" s="51">
        <v>0</v>
      </c>
      <c r="S68" s="51">
        <v>0</v>
      </c>
      <c r="T68" s="51">
        <f t="shared" si="19"/>
        <v>0</v>
      </c>
      <c r="U68" s="51">
        <v>0</v>
      </c>
      <c r="V68" s="51">
        <v>0</v>
      </c>
      <c r="W68" s="51">
        <v>0</v>
      </c>
      <c r="X68" s="51">
        <v>0</v>
      </c>
      <c r="Y68" s="51">
        <f>Z68+AA68+AB68+AC68</f>
        <v>0</v>
      </c>
      <c r="Z68" s="51">
        <v>0</v>
      </c>
      <c r="AA68" s="51">
        <v>0</v>
      </c>
      <c r="AB68" s="51">
        <v>0</v>
      </c>
      <c r="AC68" s="51">
        <v>0</v>
      </c>
      <c r="AD68" s="53">
        <f>Y68+T68+O68+J68+E68</f>
        <v>383.2</v>
      </c>
      <c r="AI68" s="44"/>
      <c r="AJ68" s="40">
        <f>1198.4-1542.2</f>
        <v>-343.79999999999995</v>
      </c>
      <c r="AK68" s="40">
        <f>3832.3-3632.3</f>
        <v>200</v>
      </c>
    </row>
    <row r="69" spans="1:35" s="40" customFormat="1" ht="76.5" customHeight="1">
      <c r="A69" s="109"/>
      <c r="B69" s="110"/>
      <c r="C69" s="55" t="s">
        <v>113</v>
      </c>
      <c r="D69" s="56" t="s">
        <v>115</v>
      </c>
      <c r="E69" s="51">
        <f t="shared" si="17"/>
        <v>176.1</v>
      </c>
      <c r="F69" s="51">
        <v>0</v>
      </c>
      <c r="G69" s="51">
        <v>176.1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f t="shared" si="18"/>
        <v>0</v>
      </c>
      <c r="P69" s="51">
        <v>0</v>
      </c>
      <c r="Q69" s="51">
        <v>0</v>
      </c>
      <c r="R69" s="51">
        <v>0</v>
      </c>
      <c r="S69" s="51">
        <v>0</v>
      </c>
      <c r="T69" s="51">
        <f t="shared" si="19"/>
        <v>0</v>
      </c>
      <c r="U69" s="51">
        <v>0</v>
      </c>
      <c r="V69" s="51">
        <v>0</v>
      </c>
      <c r="W69" s="51">
        <v>0</v>
      </c>
      <c r="X69" s="51">
        <v>0</v>
      </c>
      <c r="Y69" s="51">
        <f>Z69+AA69+AB69+AC69</f>
        <v>0</v>
      </c>
      <c r="Z69" s="51">
        <v>0</v>
      </c>
      <c r="AA69" s="51">
        <v>0</v>
      </c>
      <c r="AB69" s="51">
        <v>0</v>
      </c>
      <c r="AC69" s="51">
        <v>0</v>
      </c>
      <c r="AD69" s="53">
        <f>Y69+T69+O69+J69+E69</f>
        <v>176.1</v>
      </c>
      <c r="AI69" s="44"/>
    </row>
    <row r="70" spans="1:30" ht="56.25" customHeight="1">
      <c r="A70" s="61"/>
      <c r="B70" s="54" t="s">
        <v>135</v>
      </c>
      <c r="C70" s="55"/>
      <c r="D70" s="56"/>
      <c r="E70" s="51">
        <f t="shared" si="17"/>
        <v>10243.5</v>
      </c>
      <c r="F70" s="51">
        <f>F66+F65+F64+F63+F62+F61+F67+F68+F69</f>
        <v>10174.5</v>
      </c>
      <c r="G70" s="51">
        <f>G66+G65+G64+G63+G62+G61</f>
        <v>69</v>
      </c>
      <c r="H70" s="51">
        <f aca="true" t="shared" si="21" ref="H70:AC70">H66+H65+H64+H63+H62+H61+H67+H68+H69</f>
        <v>0</v>
      </c>
      <c r="I70" s="51">
        <f t="shared" si="21"/>
        <v>0</v>
      </c>
      <c r="J70" s="51">
        <f t="shared" si="21"/>
        <v>5580</v>
      </c>
      <c r="K70" s="51">
        <f t="shared" si="21"/>
        <v>5580</v>
      </c>
      <c r="L70" s="51">
        <f t="shared" si="21"/>
        <v>0</v>
      </c>
      <c r="M70" s="51">
        <f t="shared" si="21"/>
        <v>0</v>
      </c>
      <c r="N70" s="51">
        <f t="shared" si="21"/>
        <v>0</v>
      </c>
      <c r="O70" s="51">
        <f t="shared" si="21"/>
        <v>4484</v>
      </c>
      <c r="P70" s="51">
        <f t="shared" si="21"/>
        <v>4484</v>
      </c>
      <c r="Q70" s="51">
        <f t="shared" si="21"/>
        <v>0</v>
      </c>
      <c r="R70" s="51">
        <f t="shared" si="21"/>
        <v>0</v>
      </c>
      <c r="S70" s="51">
        <f t="shared" si="21"/>
        <v>0</v>
      </c>
      <c r="T70" s="51">
        <f t="shared" si="21"/>
        <v>4484</v>
      </c>
      <c r="U70" s="51">
        <f t="shared" si="21"/>
        <v>4484</v>
      </c>
      <c r="V70" s="51">
        <f t="shared" si="21"/>
        <v>0</v>
      </c>
      <c r="W70" s="51">
        <f t="shared" si="21"/>
        <v>0</v>
      </c>
      <c r="X70" s="51">
        <f t="shared" si="21"/>
        <v>0</v>
      </c>
      <c r="Y70" s="51">
        <f t="shared" si="21"/>
        <v>3970</v>
      </c>
      <c r="Z70" s="51">
        <f t="shared" si="21"/>
        <v>3970</v>
      </c>
      <c r="AA70" s="51">
        <f t="shared" si="21"/>
        <v>0</v>
      </c>
      <c r="AB70" s="51">
        <f t="shared" si="21"/>
        <v>0</v>
      </c>
      <c r="AC70" s="51">
        <f t="shared" si="21"/>
        <v>0</v>
      </c>
      <c r="AD70" s="53">
        <f>Y70+T70+O70+J70+E70</f>
        <v>28761.5</v>
      </c>
    </row>
    <row r="71" spans="1:30" ht="45.75" customHeight="1">
      <c r="A71" s="61"/>
      <c r="B71" s="54" t="s">
        <v>133</v>
      </c>
      <c r="C71" s="55"/>
      <c r="D71" s="56"/>
      <c r="E71" s="51">
        <f>F71+G71+H71+I71</f>
        <v>786.4</v>
      </c>
      <c r="F71" s="51">
        <f>0</f>
        <v>0</v>
      </c>
      <c r="G71" s="51">
        <f>G69+G68+G67</f>
        <v>786.4</v>
      </c>
      <c r="H71" s="51">
        <f aca="true" t="shared" si="22" ref="H71:AD71">H69+H68+H67</f>
        <v>0</v>
      </c>
      <c r="I71" s="51">
        <f t="shared" si="22"/>
        <v>0</v>
      </c>
      <c r="J71" s="51">
        <f t="shared" si="22"/>
        <v>0</v>
      </c>
      <c r="K71" s="51">
        <f t="shared" si="22"/>
        <v>0</v>
      </c>
      <c r="L71" s="51">
        <f t="shared" si="22"/>
        <v>0</v>
      </c>
      <c r="M71" s="51">
        <f t="shared" si="22"/>
        <v>0</v>
      </c>
      <c r="N71" s="51">
        <f t="shared" si="22"/>
        <v>0</v>
      </c>
      <c r="O71" s="51">
        <f t="shared" si="22"/>
        <v>0</v>
      </c>
      <c r="P71" s="51">
        <f t="shared" si="22"/>
        <v>0</v>
      </c>
      <c r="Q71" s="51">
        <f t="shared" si="22"/>
        <v>0</v>
      </c>
      <c r="R71" s="51">
        <f t="shared" si="22"/>
        <v>0</v>
      </c>
      <c r="S71" s="51">
        <f t="shared" si="22"/>
        <v>0</v>
      </c>
      <c r="T71" s="51">
        <f t="shared" si="22"/>
        <v>0</v>
      </c>
      <c r="U71" s="51">
        <f t="shared" si="22"/>
        <v>0</v>
      </c>
      <c r="V71" s="51">
        <f t="shared" si="22"/>
        <v>0</v>
      </c>
      <c r="W71" s="51">
        <f t="shared" si="22"/>
        <v>0</v>
      </c>
      <c r="X71" s="51">
        <f t="shared" si="22"/>
        <v>0</v>
      </c>
      <c r="Y71" s="51">
        <f t="shared" si="22"/>
        <v>0</v>
      </c>
      <c r="Z71" s="51">
        <f t="shared" si="22"/>
        <v>0</v>
      </c>
      <c r="AA71" s="51">
        <f t="shared" si="22"/>
        <v>0</v>
      </c>
      <c r="AB71" s="51">
        <f t="shared" si="22"/>
        <v>0</v>
      </c>
      <c r="AC71" s="51">
        <f t="shared" si="22"/>
        <v>0</v>
      </c>
      <c r="AD71" s="53">
        <f t="shared" si="22"/>
        <v>786.4</v>
      </c>
    </row>
    <row r="72" spans="1:46" s="9" customFormat="1" ht="65.25" customHeight="1">
      <c r="A72" s="73"/>
      <c r="B72" s="74" t="s">
        <v>134</v>
      </c>
      <c r="C72" s="75"/>
      <c r="D72" s="76"/>
      <c r="E72" s="57">
        <f>F72+G72+H72+I72</f>
        <v>396163</v>
      </c>
      <c r="F72" s="57">
        <f aca="true" t="shared" si="23" ref="F72:S72">F70+F59+F56+F49+F34+F28</f>
        <v>388653</v>
      </c>
      <c r="G72" s="57">
        <f t="shared" si="23"/>
        <v>7510</v>
      </c>
      <c r="H72" s="57">
        <f t="shared" si="23"/>
        <v>0</v>
      </c>
      <c r="I72" s="57">
        <f t="shared" si="23"/>
        <v>0</v>
      </c>
      <c r="J72" s="57">
        <f t="shared" si="23"/>
        <v>421547</v>
      </c>
      <c r="K72" s="57">
        <f t="shared" si="23"/>
        <v>418868</v>
      </c>
      <c r="L72" s="57">
        <f t="shared" si="23"/>
        <v>2679</v>
      </c>
      <c r="M72" s="57">
        <f t="shared" si="23"/>
        <v>0</v>
      </c>
      <c r="N72" s="57">
        <f t="shared" si="23"/>
        <v>0</v>
      </c>
      <c r="O72" s="57">
        <f t="shared" si="23"/>
        <v>414870</v>
      </c>
      <c r="P72" s="57">
        <f t="shared" si="23"/>
        <v>414870</v>
      </c>
      <c r="Q72" s="57">
        <f t="shared" si="23"/>
        <v>0</v>
      </c>
      <c r="R72" s="57">
        <f t="shared" si="23"/>
        <v>0</v>
      </c>
      <c r="S72" s="57">
        <f t="shared" si="23"/>
        <v>0</v>
      </c>
      <c r="T72" s="57">
        <f>U72</f>
        <v>414869</v>
      </c>
      <c r="U72" s="57">
        <f>U70+U59+U56+U49+U34+U28</f>
        <v>414869</v>
      </c>
      <c r="V72" s="57">
        <v>0</v>
      </c>
      <c r="W72" s="57">
        <f>W70+W59+W56+W49+W34+W28</f>
        <v>0</v>
      </c>
      <c r="X72" s="57">
        <f>X70+X59+X56+X49+X34+X28</f>
        <v>0</v>
      </c>
      <c r="Y72" s="57">
        <f>Z72+4540</f>
        <v>1206138</v>
      </c>
      <c r="Z72" s="57">
        <f>Z70+Z59+Z56+Z49+Z34+Z28</f>
        <v>1201598</v>
      </c>
      <c r="AA72" s="57" t="s">
        <v>55</v>
      </c>
      <c r="AB72" s="57">
        <f>AB70+AB59+AB56+AB49+AB34+AB28</f>
        <v>0</v>
      </c>
      <c r="AC72" s="57">
        <f>AC70+AC59+AC56+AC49+AC34+AC28</f>
        <v>0</v>
      </c>
      <c r="AD72" s="93">
        <f>AD70+AD59+AD56+AD49+AD34+AD28</f>
        <v>2853587</v>
      </c>
      <c r="AI72" s="46"/>
      <c r="AJ72" s="8">
        <f>F72+K72+P72+U72+Z72</f>
        <v>2838858</v>
      </c>
      <c r="AK72" s="8">
        <f>E72+J72+O72+T72+Y72</f>
        <v>2853587</v>
      </c>
      <c r="AL72" s="8">
        <f>AK72-AD72</f>
        <v>0</v>
      </c>
      <c r="AR72" s="8">
        <f>E72+J72+O72+T72+Y72</f>
        <v>2853587</v>
      </c>
      <c r="AS72" s="90">
        <v>3641151</v>
      </c>
      <c r="AT72" s="8">
        <f>AS72-AR72</f>
        <v>787564</v>
      </c>
    </row>
    <row r="73" spans="1:44" ht="46.5" customHeight="1">
      <c r="A73" s="61"/>
      <c r="B73" s="77" t="s">
        <v>133</v>
      </c>
      <c r="C73" s="55"/>
      <c r="D73" s="56"/>
      <c r="E73" s="51">
        <f>F73+G73+H73+I73</f>
        <v>786.4</v>
      </c>
      <c r="F73" s="51">
        <f>F69+F68+F67</f>
        <v>0</v>
      </c>
      <c r="G73" s="51">
        <f aca="true" t="shared" si="24" ref="G73:AC73">G69+G68+G67</f>
        <v>786.4</v>
      </c>
      <c r="H73" s="51">
        <f t="shared" si="24"/>
        <v>0</v>
      </c>
      <c r="I73" s="51">
        <f t="shared" si="24"/>
        <v>0</v>
      </c>
      <c r="J73" s="51">
        <f t="shared" si="24"/>
        <v>0</v>
      </c>
      <c r="K73" s="51">
        <f t="shared" si="24"/>
        <v>0</v>
      </c>
      <c r="L73" s="51">
        <f t="shared" si="24"/>
        <v>0</v>
      </c>
      <c r="M73" s="51">
        <f t="shared" si="24"/>
        <v>0</v>
      </c>
      <c r="N73" s="51">
        <f t="shared" si="24"/>
        <v>0</v>
      </c>
      <c r="O73" s="51">
        <f t="shared" si="24"/>
        <v>0</v>
      </c>
      <c r="P73" s="51">
        <f t="shared" si="24"/>
        <v>0</v>
      </c>
      <c r="Q73" s="51">
        <f t="shared" si="24"/>
        <v>0</v>
      </c>
      <c r="R73" s="51">
        <f t="shared" si="24"/>
        <v>0</v>
      </c>
      <c r="S73" s="51">
        <f t="shared" si="24"/>
        <v>0</v>
      </c>
      <c r="T73" s="51">
        <f t="shared" si="24"/>
        <v>0</v>
      </c>
      <c r="U73" s="51">
        <f t="shared" si="24"/>
        <v>0</v>
      </c>
      <c r="V73" s="51">
        <f t="shared" si="24"/>
        <v>0</v>
      </c>
      <c r="W73" s="51">
        <f t="shared" si="24"/>
        <v>0</v>
      </c>
      <c r="X73" s="51">
        <f t="shared" si="24"/>
        <v>0</v>
      </c>
      <c r="Y73" s="51">
        <f t="shared" si="24"/>
        <v>0</v>
      </c>
      <c r="Z73" s="51">
        <f t="shared" si="24"/>
        <v>0</v>
      </c>
      <c r="AA73" s="51">
        <f t="shared" si="24"/>
        <v>0</v>
      </c>
      <c r="AB73" s="51">
        <f t="shared" si="24"/>
        <v>0</v>
      </c>
      <c r="AC73" s="51">
        <f t="shared" si="24"/>
        <v>0</v>
      </c>
      <c r="AD73" s="53">
        <f>AD69+AD68+AD67</f>
        <v>786.4</v>
      </c>
      <c r="AJ73" s="2">
        <f>F65+F62+F55+F52+F41+F25+F24+F23+F22+F19+F17+F15+F13+F11+F9</f>
        <v>149100</v>
      </c>
      <c r="AK73" s="1">
        <v>149100</v>
      </c>
      <c r="AR73" s="2"/>
    </row>
    <row r="74" spans="1:46" s="9" customFormat="1" ht="51.75" customHeight="1" thickBot="1">
      <c r="A74" s="78"/>
      <c r="B74" s="79" t="s">
        <v>132</v>
      </c>
      <c r="C74" s="80"/>
      <c r="D74" s="81"/>
      <c r="E74" s="58">
        <f t="shared" si="17"/>
        <v>396949.4</v>
      </c>
      <c r="F74" s="58">
        <f>F73+F72</f>
        <v>388653</v>
      </c>
      <c r="G74" s="58">
        <f aca="true" t="shared" si="25" ref="G74:S74">G73+G72</f>
        <v>8296.4</v>
      </c>
      <c r="H74" s="58">
        <f t="shared" si="25"/>
        <v>0</v>
      </c>
      <c r="I74" s="58">
        <f t="shared" si="25"/>
        <v>0</v>
      </c>
      <c r="J74" s="58">
        <f t="shared" si="25"/>
        <v>421547</v>
      </c>
      <c r="K74" s="58">
        <f t="shared" si="25"/>
        <v>418868</v>
      </c>
      <c r="L74" s="58">
        <f t="shared" si="25"/>
        <v>2679</v>
      </c>
      <c r="M74" s="58">
        <f t="shared" si="25"/>
        <v>0</v>
      </c>
      <c r="N74" s="58">
        <f t="shared" si="25"/>
        <v>0</v>
      </c>
      <c r="O74" s="58">
        <f t="shared" si="25"/>
        <v>414870</v>
      </c>
      <c r="P74" s="58">
        <f t="shared" si="25"/>
        <v>414870</v>
      </c>
      <c r="Q74" s="58">
        <f t="shared" si="25"/>
        <v>0</v>
      </c>
      <c r="R74" s="58">
        <f t="shared" si="25"/>
        <v>0</v>
      </c>
      <c r="S74" s="58">
        <f t="shared" si="25"/>
        <v>0</v>
      </c>
      <c r="T74" s="58">
        <f>T82+W74+U74+X74</f>
        <v>414869</v>
      </c>
      <c r="U74" s="58">
        <f>U56+U28+U49+U34+U59+U70</f>
        <v>414869</v>
      </c>
      <c r="V74" s="58">
        <v>0</v>
      </c>
      <c r="W74" s="58">
        <f>W59</f>
        <v>0</v>
      </c>
      <c r="X74" s="58">
        <f>X59</f>
        <v>0</v>
      </c>
      <c r="Y74" s="58">
        <f>Z74+4540+AB74+AC74</f>
        <v>1206138</v>
      </c>
      <c r="Z74" s="58">
        <f>Z56+Z28+Z49+Z34+Z59+Z70</f>
        <v>1201598</v>
      </c>
      <c r="AA74" s="58" t="s">
        <v>55</v>
      </c>
      <c r="AB74" s="58">
        <f>AB59</f>
        <v>0</v>
      </c>
      <c r="AC74" s="58">
        <f>AC59</f>
        <v>0</v>
      </c>
      <c r="AD74" s="82" t="s">
        <v>114</v>
      </c>
      <c r="AI74" s="46">
        <f>G72+L72+4540</f>
        <v>14729</v>
      </c>
      <c r="AJ74" s="46"/>
      <c r="AL74" s="8"/>
      <c r="AR74" s="8"/>
      <c r="AT74" s="8"/>
    </row>
    <row r="75" spans="1:45" ht="26.25" customHeight="1">
      <c r="A75" s="26"/>
      <c r="B75" s="98" t="s">
        <v>56</v>
      </c>
      <c r="C75" s="98"/>
      <c r="D75" s="98"/>
      <c r="E75" s="98"/>
      <c r="F75" s="98"/>
      <c r="G75" s="98"/>
      <c r="H75" s="98"/>
      <c r="I75" s="98"/>
      <c r="J75" s="98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9"/>
      <c r="V75" s="24"/>
      <c r="W75" s="24"/>
      <c r="X75" s="24"/>
      <c r="Y75" s="24"/>
      <c r="Z75" s="24"/>
      <c r="AA75" s="24"/>
      <c r="AB75" s="21"/>
      <c r="AC75" s="21"/>
      <c r="AD75" s="23"/>
      <c r="AE75" s="2">
        <f>4540+4540+2198</f>
        <v>11278</v>
      </c>
      <c r="AJ75" s="2"/>
      <c r="AK75" s="19"/>
      <c r="AL75" s="2"/>
      <c r="AS75" s="2"/>
    </row>
    <row r="76" spans="1:31" ht="15" hidden="1">
      <c r="A76" s="6"/>
      <c r="B76" s="3"/>
      <c r="C76" s="3"/>
      <c r="D76" s="6"/>
      <c r="E76" s="3"/>
      <c r="F76" s="4"/>
      <c r="G76" s="4"/>
      <c r="H76" s="3"/>
      <c r="I76" s="5"/>
      <c r="J76" s="3"/>
      <c r="K76" s="5"/>
      <c r="L76" s="3"/>
      <c r="M76" s="3"/>
      <c r="N76" s="3"/>
      <c r="O76" s="3"/>
      <c r="P76" s="3"/>
      <c r="Q76" s="3"/>
      <c r="R76" s="3"/>
      <c r="S76" s="3"/>
      <c r="T76" s="23"/>
      <c r="U76" s="27"/>
      <c r="V76" s="28"/>
      <c r="W76" s="3"/>
      <c r="X76" s="3"/>
      <c r="Y76" s="23"/>
      <c r="Z76" s="26"/>
      <c r="AA76" s="3"/>
      <c r="AB76" s="3"/>
      <c r="AC76" s="3"/>
      <c r="AD76" s="4"/>
      <c r="AE76" s="2"/>
    </row>
    <row r="77" spans="1:30" ht="15" hidden="1">
      <c r="A77" s="6"/>
      <c r="B77" s="3"/>
      <c r="C77" s="3"/>
      <c r="D77" s="6"/>
      <c r="E77" s="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ht="15" hidden="1">
      <c r="A78" s="6"/>
      <c r="B78" s="3"/>
      <c r="C78" s="3"/>
      <c r="D78" s="6"/>
      <c r="E78" s="3"/>
      <c r="F78" s="32"/>
      <c r="G78" s="4"/>
      <c r="H78" s="32"/>
      <c r="I78" s="32"/>
      <c r="J78" s="32"/>
      <c r="K78" s="33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"/>
      <c r="AD78" s="4"/>
    </row>
    <row r="79" spans="1:30" ht="15" hidden="1">
      <c r="A79" s="6"/>
      <c r="B79" s="3"/>
      <c r="C79" s="3"/>
      <c r="D79" s="6"/>
      <c r="E79" s="4"/>
      <c r="F79" s="33"/>
      <c r="G79" s="5"/>
      <c r="H79" s="3"/>
      <c r="I79" s="3"/>
      <c r="J79" s="33"/>
      <c r="K79" s="33"/>
      <c r="L79" s="5"/>
      <c r="M79" s="3"/>
      <c r="N79" s="3"/>
      <c r="O79" s="3"/>
      <c r="P79" s="33"/>
      <c r="Q79" s="5"/>
      <c r="R79" s="3"/>
      <c r="S79" s="3"/>
      <c r="T79" s="21"/>
      <c r="U79" s="21"/>
      <c r="V79" s="3"/>
      <c r="W79" s="3"/>
      <c r="X79" s="3"/>
      <c r="Y79" s="21"/>
      <c r="Z79" s="21"/>
      <c r="AA79" s="3"/>
      <c r="AB79" s="3"/>
      <c r="AC79" s="3"/>
      <c r="AD79" s="5"/>
    </row>
    <row r="80" spans="1:30" ht="15" hidden="1">
      <c r="A80" s="6"/>
      <c r="B80" s="3"/>
      <c r="C80" s="3"/>
      <c r="D80" s="6"/>
      <c r="E80" s="3"/>
      <c r="F80" s="3"/>
      <c r="G80" s="3"/>
      <c r="H80" s="3"/>
      <c r="I80" s="3"/>
      <c r="J80" s="3"/>
      <c r="K80" s="3"/>
      <c r="L80" s="3"/>
      <c r="M80" s="3"/>
      <c r="N80" s="3"/>
      <c r="O80" s="4"/>
      <c r="P80" s="3"/>
      <c r="Q80" s="3"/>
      <c r="R80" s="3"/>
      <c r="S80" s="3"/>
      <c r="T80" s="21"/>
      <c r="U80" s="21"/>
      <c r="V80" s="3"/>
      <c r="W80" s="3"/>
      <c r="X80" s="3"/>
      <c r="Y80" s="21"/>
      <c r="Z80" s="21"/>
      <c r="AA80" s="3"/>
      <c r="AB80" s="3"/>
      <c r="AC80" s="3"/>
      <c r="AD80" s="3"/>
    </row>
    <row r="81" spans="1:30" ht="15" hidden="1">
      <c r="A81" s="6"/>
      <c r="B81" s="3"/>
      <c r="C81" s="3"/>
      <c r="D81" s="6"/>
      <c r="E81" s="33"/>
      <c r="F81" s="3"/>
      <c r="G81" s="3"/>
      <c r="H81" s="3"/>
      <c r="I81" s="3"/>
      <c r="J81" s="33"/>
      <c r="K81" s="3"/>
      <c r="L81" s="3"/>
      <c r="M81" s="3"/>
      <c r="N81" s="3"/>
      <c r="O81" s="4"/>
      <c r="P81" s="3"/>
      <c r="Q81" s="5"/>
      <c r="R81" s="3"/>
      <c r="S81" s="3"/>
      <c r="T81" s="21"/>
      <c r="U81" s="21"/>
      <c r="V81" s="3"/>
      <c r="W81" s="3"/>
      <c r="X81" s="3"/>
      <c r="Y81" s="22"/>
      <c r="Z81" s="21"/>
      <c r="AA81" s="3"/>
      <c r="AB81" s="3"/>
      <c r="AC81" s="3"/>
      <c r="AD81" s="5"/>
    </row>
    <row r="82" spans="1:30" ht="15" hidden="1">
      <c r="A82" s="6"/>
      <c r="B82" s="3"/>
      <c r="C82" s="3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21"/>
      <c r="U82" s="21"/>
      <c r="V82" s="3"/>
      <c r="W82" s="3"/>
      <c r="X82" s="3"/>
      <c r="Y82" s="21"/>
      <c r="Z82" s="21"/>
      <c r="AA82" s="3"/>
      <c r="AB82" s="3"/>
      <c r="AC82" s="3"/>
      <c r="AD82" s="3"/>
    </row>
    <row r="83" spans="21:30" ht="18.75" hidden="1">
      <c r="U83" s="37"/>
      <c r="AD83" s="2"/>
    </row>
    <row r="84" ht="15" hidden="1">
      <c r="U84" s="20"/>
    </row>
    <row r="85" spans="6:15" ht="15" hidden="1">
      <c r="F85" s="36"/>
      <c r="J85" s="36"/>
      <c r="O85" s="36"/>
    </row>
    <row r="86" spans="6:21" ht="15" hidden="1">
      <c r="F86" s="36"/>
      <c r="G86" s="2"/>
      <c r="K86" s="2"/>
      <c r="O86" s="2"/>
      <c r="P86" s="2"/>
      <c r="U86" s="20"/>
    </row>
    <row r="87" ht="15" hidden="1">
      <c r="AA87" s="19"/>
    </row>
    <row r="88" ht="15" hidden="1"/>
    <row r="89" ht="15" hidden="1"/>
    <row r="90" ht="15" hidden="1"/>
    <row r="91" spans="5:36" ht="15" hidden="1">
      <c r="E91" s="17"/>
      <c r="J91" s="1">
        <v>418868</v>
      </c>
      <c r="K91" s="2">
        <f>K65+K62+K55+K52+K25+K24+K23+K22+K19+K17+K15+K13+K11+K9</f>
        <v>160396</v>
      </c>
      <c r="L91" s="2">
        <f>L65+L62+L55+L52+L25+L24+L23+L22+L19+L17+L15+L13+L11+L9</f>
        <v>0</v>
      </c>
      <c r="M91" s="2">
        <f>M65+M62+M55+M52+M25+M24+M23+M22+M19+M17+M15+M13+M11+M9</f>
        <v>0</v>
      </c>
      <c r="N91" s="2">
        <f>N65+N62+N55+N52+N25+N24+N23+N22+N19+N17+N15+N13+N11+N9</f>
        <v>0</v>
      </c>
      <c r="O91" s="2">
        <f>P91</f>
        <v>170716</v>
      </c>
      <c r="P91" s="2">
        <f aca="true" t="shared" si="26" ref="P91:U91">P65+P62+P55+P52+P25+P24+P23+P22+P19+P17+P15+P13+P11+P9</f>
        <v>170716</v>
      </c>
      <c r="Q91" s="2">
        <f t="shared" si="26"/>
        <v>0</v>
      </c>
      <c r="R91" s="2">
        <f t="shared" si="26"/>
        <v>0</v>
      </c>
      <c r="S91" s="2">
        <f t="shared" si="26"/>
        <v>0</v>
      </c>
      <c r="T91" s="2">
        <f t="shared" si="26"/>
        <v>170716</v>
      </c>
      <c r="U91" s="2">
        <f t="shared" si="26"/>
        <v>170716</v>
      </c>
      <c r="AD91" s="17"/>
      <c r="AI91" s="19">
        <f>F74+J91+O91+T91+Z74</f>
        <v>2350551</v>
      </c>
      <c r="AJ91" s="19"/>
    </row>
    <row r="92" spans="6:46" ht="15" hidden="1">
      <c r="F92" s="2"/>
      <c r="J92" s="17"/>
      <c r="AT92" s="2"/>
    </row>
    <row r="93" spans="6:36" ht="15" hidden="1">
      <c r="F93" s="2">
        <f>383540</f>
        <v>383540</v>
      </c>
      <c r="I93" s="2">
        <f>388653-F72</f>
        <v>0</v>
      </c>
      <c r="J93" s="17"/>
      <c r="AA93" s="2"/>
      <c r="AD93" s="17"/>
      <c r="AI93" s="19">
        <f>E72+J91+L72+O91+T91+Y72</f>
        <v>2365280</v>
      </c>
      <c r="AJ93" s="19">
        <f>AI93-4540-L72-G72</f>
        <v>2350551</v>
      </c>
    </row>
    <row r="94" spans="6:35" ht="15" hidden="1">
      <c r="F94" s="2">
        <f>F72-F93</f>
        <v>5113</v>
      </c>
      <c r="L94" s="2"/>
      <c r="AI94" s="19">
        <f>AI93-AI74</f>
        <v>2350551</v>
      </c>
    </row>
    <row r="95" ht="15" hidden="1"/>
    <row r="96" ht="15">
      <c r="AA96" s="17"/>
    </row>
  </sheetData>
  <sheetProtection/>
  <mergeCells count="45">
    <mergeCell ref="A57:AD57"/>
    <mergeCell ref="A35:AD35"/>
    <mergeCell ref="A50:AD50"/>
    <mergeCell ref="A18:A19"/>
    <mergeCell ref="AI55:AK55"/>
    <mergeCell ref="B40:B41"/>
    <mergeCell ref="A40:A41"/>
    <mergeCell ref="AI54:AR54"/>
    <mergeCell ref="A51:A52"/>
    <mergeCell ref="A66:A69"/>
    <mergeCell ref="B66:B69"/>
    <mergeCell ref="A60:AD60"/>
    <mergeCell ref="B54:B55"/>
    <mergeCell ref="B51:B52"/>
    <mergeCell ref="B12:B13"/>
    <mergeCell ref="A14:A15"/>
    <mergeCell ref="B61:B62"/>
    <mergeCell ref="A61:A62"/>
    <mergeCell ref="A54:A55"/>
    <mergeCell ref="Y3:AC3"/>
    <mergeCell ref="AD3:AD4"/>
    <mergeCell ref="A1:AD1"/>
    <mergeCell ref="J3:N3"/>
    <mergeCell ref="B8:B9"/>
    <mergeCell ref="A7:AD7"/>
    <mergeCell ref="T3:X3"/>
    <mergeCell ref="A6:AD6"/>
    <mergeCell ref="A8:A9"/>
    <mergeCell ref="C2:C4"/>
    <mergeCell ref="B16:B17"/>
    <mergeCell ref="B14:B15"/>
    <mergeCell ref="B18:B19"/>
    <mergeCell ref="A12:A13"/>
    <mergeCell ref="B10:B11"/>
    <mergeCell ref="A10:A11"/>
    <mergeCell ref="A2:A4"/>
    <mergeCell ref="O3:S3"/>
    <mergeCell ref="AI63:AL63"/>
    <mergeCell ref="B75:J75"/>
    <mergeCell ref="E3:I3"/>
    <mergeCell ref="D2:D4"/>
    <mergeCell ref="E2:AD2"/>
    <mergeCell ref="B2:B4"/>
    <mergeCell ref="A29:AD29"/>
    <mergeCell ref="A16:A17"/>
  </mergeCells>
  <printOptions horizontalCentered="1" verticalCentered="1"/>
  <pageMargins left="0.2362204724409449" right="0.15748031496062992" top="0.7874015748031497" bottom="0.31496062992125984" header="0.11811023622047245" footer="0.2362204724409449"/>
  <pageSetup firstPageNumber="4" useFirstPageNumber="1" horizontalDpi="600" verticalDpi="600" orientation="landscape" pageOrder="overThenDown" paperSize="9" scale="60" r:id="rId1"/>
  <headerFooter differentFirst="1">
    <oddHeader>&amp;C&amp;"Times New Roman,обычный"&amp;12&amp;P</oddHeader>
    <firstHeader>&amp;C&amp;"Times New Roman,обычный"&amp;12&amp;P&amp;R&amp;"Times New Roman,обычный"Приложение 1 к постановлению 
алминистрации городского округа Тольятти
от__________№_________
Приложение № 1 к муниципальной программе
 "Тольятти - чистый город на 2020-2024 годы"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cityhall</dc:creator>
  <cp:keywords/>
  <dc:description/>
  <cp:lastModifiedBy>Рогачева Елена Евгеньевна</cp:lastModifiedBy>
  <cp:lastPrinted>2021-02-04T07:21:11Z</cp:lastPrinted>
  <dcterms:created xsi:type="dcterms:W3CDTF">2009-09-03T06:56:12Z</dcterms:created>
  <dcterms:modified xsi:type="dcterms:W3CDTF">2021-02-05T06:21:55Z</dcterms:modified>
  <cp:category/>
  <cp:version/>
  <cp:contentType/>
  <cp:contentStatus/>
</cp:coreProperties>
</file>