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20" windowWidth="19170" windowHeight="10620" tabRatio="874" activeTab="0"/>
  </bookViews>
  <sheets>
    <sheet name="Прил. 2" sheetId="1" r:id="rId1"/>
    <sheet name="Лист1" sheetId="2" r:id="rId2"/>
  </sheets>
  <externalReferences>
    <externalReference r:id="rId5"/>
  </externalReferences>
  <definedNames>
    <definedName name="_xlnm.Print_Area" localSheetId="0">'Прил. 2'!$A$1:$J$67</definedName>
  </definedNames>
  <calcPr fullCalcOnLoad="1"/>
</workbook>
</file>

<file path=xl/sharedStrings.xml><?xml version="1.0" encoding="utf-8"?>
<sst xmlns="http://schemas.openxmlformats.org/spreadsheetml/2006/main" count="590" uniqueCount="197">
  <si>
    <t>1.1</t>
  </si>
  <si>
    <t>1.2</t>
  </si>
  <si>
    <t>1.3</t>
  </si>
  <si>
    <t>2.1</t>
  </si>
  <si>
    <t>4.1</t>
  </si>
  <si>
    <t>ДГХ</t>
  </si>
  <si>
    <t>Итого по задаче 3:</t>
  </si>
  <si>
    <t>4.2</t>
  </si>
  <si>
    <t>Итого по задаче 4:</t>
  </si>
  <si>
    <t>5.1</t>
  </si>
  <si>
    <t>4.3</t>
  </si>
  <si>
    <t>Текущее содержание дорог  в зимнее и летнее время</t>
  </si>
  <si>
    <t>Ликвидация несанкционированных свалок</t>
  </si>
  <si>
    <t>Уход за зелеными насаждениями</t>
  </si>
  <si>
    <t>Обеспечение водоснабжения</t>
  </si>
  <si>
    <t>3.1</t>
  </si>
  <si>
    <t>3.2</t>
  </si>
  <si>
    <t>3.3</t>
  </si>
  <si>
    <t>3.4</t>
  </si>
  <si>
    <t>3.5</t>
  </si>
  <si>
    <t>3.6</t>
  </si>
  <si>
    <t>Текущий ремонт памятных мест</t>
  </si>
  <si>
    <t>Удаление аварийно-опасных, сухостойных и упавших деревьев</t>
  </si>
  <si>
    <t>Обработка территорий пляжей</t>
  </si>
  <si>
    <t>Обработка территорий парков</t>
  </si>
  <si>
    <t>2.2</t>
  </si>
  <si>
    <t>2.3</t>
  </si>
  <si>
    <t>Обработка земельных участков общего пользования, расположенных в границах городского округа Тольятти</t>
  </si>
  <si>
    <t xml:space="preserve">Акарицидная обработка </t>
  </si>
  <si>
    <t>3.7</t>
  </si>
  <si>
    <t>Подготовка мест проведения праздничных мероприятий</t>
  </si>
  <si>
    <t>2.4</t>
  </si>
  <si>
    <t>№</t>
  </si>
  <si>
    <t xml:space="preserve">Наименование целей, задач и мероприятий муниципальной программы    </t>
  </si>
  <si>
    <t xml:space="preserve">Наименование показателей (индикаторов)
</t>
  </si>
  <si>
    <t>Ед. изм.</t>
  </si>
  <si>
    <t>Базовое значение</t>
  </si>
  <si>
    <t>Значение показателей  (индикаторов) по годам</t>
  </si>
  <si>
    <t>м2</t>
  </si>
  <si>
    <t>-</t>
  </si>
  <si>
    <t>м3</t>
  </si>
  <si>
    <t>Площадь обрабатываемых территорий пляжей</t>
  </si>
  <si>
    <t>Площадь обрабатываемых территорий парков</t>
  </si>
  <si>
    <t>Площадь обрабатываемых территорий общего пользования</t>
  </si>
  <si>
    <t>Задача 3: Содержание мест погребения (мест захоронения) городского округа Тольятти</t>
  </si>
  <si>
    <t>Объем удаленных аварийно-опасных, сухостойных и упавших деревьев</t>
  </si>
  <si>
    <t xml:space="preserve">м3              </t>
  </si>
  <si>
    <t>Количество удаленных пней деревьев</t>
  </si>
  <si>
    <t>Объем ликвидированных несанкционированных свалок</t>
  </si>
  <si>
    <t xml:space="preserve">Площадь зеленых насаждений </t>
  </si>
  <si>
    <t xml:space="preserve">м2            </t>
  </si>
  <si>
    <t>Объем подаваемой воды</t>
  </si>
  <si>
    <t xml:space="preserve">Площадь обрабатываемой территории </t>
  </si>
  <si>
    <t>Площадь автодорог</t>
  </si>
  <si>
    <t>Длина ливневой канализации</t>
  </si>
  <si>
    <t>п/м</t>
  </si>
  <si>
    <t xml:space="preserve">Длина живой изгороди </t>
  </si>
  <si>
    <t>Количество деревьев  и кустарников</t>
  </si>
  <si>
    <t xml:space="preserve">Объем удаленных аварийно-опасных, сухостойных и упавших деревьев </t>
  </si>
  <si>
    <t>Площадь территорий пляжей</t>
  </si>
  <si>
    <t>Количество отремонтированных МАФ</t>
  </si>
  <si>
    <t>%</t>
  </si>
  <si>
    <t>Количество объектов</t>
  </si>
  <si>
    <t>Площадь, на которой проводится санитарная очистка.</t>
  </si>
  <si>
    <t>Площадь территории содержания</t>
  </si>
  <si>
    <t>Доля предоставленных ежемесячных доплат и компенсационных выплат, от запланированного объема финансирования</t>
  </si>
  <si>
    <t>Содержание пляжа и прилегающей территории</t>
  </si>
  <si>
    <t xml:space="preserve">Предоставление субсидий на выплату ежемесячных доплат и компенсационных выплат матерям (или другим родственникам, фактически осуществляющим уход за ребенком), находящимся в отпуске </t>
  </si>
  <si>
    <t>шт.</t>
  </si>
  <si>
    <t xml:space="preserve">Количество установленных барьерных ограждений </t>
  </si>
  <si>
    <t xml:space="preserve">Площадь тротуаров и газонов берегоукрепления </t>
  </si>
  <si>
    <t>2020 г.</t>
  </si>
  <si>
    <t>2021 г.</t>
  </si>
  <si>
    <t>2022 г.</t>
  </si>
  <si>
    <t>2023 г.</t>
  </si>
  <si>
    <t>2024 г.</t>
  </si>
  <si>
    <t>Очистка колодцев</t>
  </si>
  <si>
    <t>Площадь отремонтированного асфальтобетонного покрытия</t>
  </si>
  <si>
    <t xml:space="preserve">Площадь  катков и кортов </t>
  </si>
  <si>
    <t>1000*</t>
  </si>
  <si>
    <t>Количество празднично оформленных объектов</t>
  </si>
  <si>
    <t>6</t>
  </si>
  <si>
    <t>Содержание  территории парков города</t>
  </si>
  <si>
    <t>Количество общественных туалетов</t>
  </si>
  <si>
    <t>Показатели (индикаторы) реализации муниципальной программы "Тольятти - чистый город на 2020-2024 годы"</t>
  </si>
  <si>
    <t>ед.</t>
  </si>
  <si>
    <t>Содержание  объектов озеленения</t>
  </si>
  <si>
    <t>Содержание автодорог</t>
  </si>
  <si>
    <t>Содержание объектов озеленения</t>
  </si>
  <si>
    <t>Задача 2: Проведение акарицидной обработки и дератизации территорий общего пользования городского округа Тольятти</t>
  </si>
  <si>
    <t>Задача 1: Содержание территорий общего пользования, комплексное содержание жилых кварталов и объектов озеленения городского округа Тольятти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</si>
  <si>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</si>
  <si>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</si>
  <si>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</si>
  <si>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</si>
  <si>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</si>
  <si>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</si>
  <si>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</si>
  <si>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</si>
  <si>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</si>
  <si>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 xml:space="preserve">Содержание объектов благоустройства  </t>
  </si>
  <si>
    <t xml:space="preserve">Содержание объектов благоустройства </t>
  </si>
  <si>
    <t>* количество  животных без владельцев, планируемых к отлову и содержанию</t>
  </si>
  <si>
    <t>Задача 4: Праздничное оформление городских общественных пространств</t>
  </si>
  <si>
    <t>Задача 5: Обеспечение безопасности населения городского округа Тольятти от неблагоприятного воздействия животных без владельцев</t>
  </si>
  <si>
    <t>Цель: Обеспечение выполнения комплекса мероприятий по содержанию территории городского округа Тольятти, направленных на предупреждение потенциального экологического вреда и обеспечение соответствия городских общественных пространств высоким стандартам качества городской среды</t>
  </si>
  <si>
    <t>Санитарная очистка мест проведения праздничных мероприятий</t>
  </si>
  <si>
    <t>Обращение с твердыми коммунальными отходами</t>
  </si>
  <si>
    <t xml:space="preserve">Осуществление деятельности по обращению с животными без владельцев </t>
  </si>
  <si>
    <t xml:space="preserve">Количество животных,  отловленных и направленных на содержание </t>
  </si>
  <si>
    <t>Объем принятых ТКО</t>
  </si>
  <si>
    <t>Содержание территории берегоукрепления</t>
  </si>
  <si>
    <t>Текущий (ямочный)  ремонт асфальтобетонного покрытия дорог, тротуаров Автозаводского, Комсомольского и мкр. Поволжский</t>
  </si>
  <si>
    <t xml:space="preserve">Содержание тротуаров </t>
  </si>
  <si>
    <t xml:space="preserve">Содержание газонов </t>
  </si>
  <si>
    <t>1.13</t>
  </si>
  <si>
    <t>1.14</t>
  </si>
  <si>
    <t>Содержание катков и  кортов</t>
  </si>
  <si>
    <t>Содержание газонов</t>
  </si>
  <si>
    <t xml:space="preserve">Площадь тротуаров </t>
  </si>
  <si>
    <t>Площадь газонов</t>
  </si>
  <si>
    <t xml:space="preserve">Площадь цветников </t>
  </si>
  <si>
    <t xml:space="preserve">Содержание катков и кортов </t>
  </si>
  <si>
    <t>Текущий (ямочный) ремонт асфальтобетонного покрытия дорог, тротуаров в Центральном районе</t>
  </si>
  <si>
    <t>Содержание скверов и площадок семейного отдыха</t>
  </si>
  <si>
    <t>ДГХ (МБУ "Зеленстрой")</t>
  </si>
  <si>
    <t>Площадь содержания скверов и площадок  семейного отдыха</t>
  </si>
  <si>
    <t>3.8</t>
  </si>
  <si>
    <t>Количество флагов</t>
  </si>
  <si>
    <t xml:space="preserve"> Площадь обустроенной территории</t>
  </si>
  <si>
    <t>Обустройство территории воинских захоронений, захоронений участников Великой Отечественной войны</t>
  </si>
  <si>
    <t xml:space="preserve">10 мест на 2470 </t>
  </si>
  <si>
    <t>Площадь тротуаров и газонов</t>
  </si>
  <si>
    <t>- так как два раза было посчитано</t>
  </si>
  <si>
    <t>+</t>
  </si>
  <si>
    <t>в 23-24 годах исправляется техническая ошибка</t>
  </si>
  <si>
    <t>откорректирована</t>
  </si>
  <si>
    <t>Захоронение смета</t>
  </si>
  <si>
    <t>Транспортные услуги по вывозу смета</t>
  </si>
  <si>
    <t>Количество отработанных машино-часов</t>
  </si>
  <si>
    <t>маш-час</t>
  </si>
  <si>
    <t>Количество приобретенных мусоросборников, предназначенных для складирования ТКО</t>
  </si>
  <si>
    <t>1.15</t>
  </si>
  <si>
    <t>1.16</t>
  </si>
  <si>
    <t>1.17</t>
  </si>
  <si>
    <t>Приобретение мусоросборников, предназначенных для складирования ТКО</t>
  </si>
  <si>
    <t>2 места Зеленстрой в 2020 и 5 в 2021-20222</t>
  </si>
  <si>
    <t>было</t>
  </si>
  <si>
    <t>стало</t>
  </si>
  <si>
    <t>разница</t>
  </si>
  <si>
    <t>Наименование</t>
  </si>
  <si>
    <t>исполнитель</t>
  </si>
  <si>
    <t>Итого по задаче 1</t>
  </si>
  <si>
    <t>Таблица 2</t>
  </si>
  <si>
    <t>Таблица 3</t>
  </si>
  <si>
    <t>Таблица 1</t>
  </si>
  <si>
    <t>Исполнитель</t>
  </si>
  <si>
    <t>Объем захороненного смета</t>
  </si>
  <si>
    <t>Текущий ремонт памятных мест,  в том числе посадка и содержание зеленых насаждений</t>
  </si>
  <si>
    <t>Площадь насаждений</t>
  </si>
  <si>
    <t xml:space="preserve">по словам Иры количество взято от балды </t>
  </si>
  <si>
    <t>Количество посаженных насаждений</t>
  </si>
  <si>
    <t>2объекта  Зеленстрой в 2020 и 2 в 2021-2022гг.</t>
  </si>
  <si>
    <t>Приложение № 2 к муниципальной программе                                         "Тольятти - чистый город на 2020-2024 годы"</t>
  </si>
  <si>
    <t>3.9</t>
  </si>
  <si>
    <t>3.10</t>
  </si>
  <si>
    <t>3.11</t>
  </si>
  <si>
    <t>Предоставление субсидий на иные цели, в том числе на реализацию мероприятий,  направленных на содержание мест погребения (мест захоронения)</t>
  </si>
  <si>
    <t>Освобождение земельных участков и благоустройство после сноса (демонтаж сооружений)</t>
  </si>
  <si>
    <t>Количество муниципальных помещений</t>
  </si>
  <si>
    <t>Количество приобретаемой техники</t>
  </si>
  <si>
    <t>Количество сооружений</t>
  </si>
  <si>
    <t>Дератизация территории кладбищ</t>
  </si>
  <si>
    <t>Количество объектов содержания</t>
  </si>
  <si>
    <t>Ремонт территории воинских захоронений, захоронений участников Великой Отечественной войны</t>
  </si>
  <si>
    <t>Ремонт покрытий проездов и пешеходных дорожек</t>
  </si>
  <si>
    <t>Площадь покрытий проездов и пешеходных дорожек</t>
  </si>
  <si>
    <t>Предоставление субсидий на иные цели, в том числе на приобретение, и (или) модернизацию, и (или) дооборудование, и (или) капитальный ремонт основных средств Учреждений, не              относящихся к объектам капитального                      строительства;</t>
  </si>
  <si>
    <t>6.1</t>
  </si>
  <si>
    <t>6.2</t>
  </si>
  <si>
    <t>6.3</t>
  </si>
  <si>
    <t>6.5</t>
  </si>
  <si>
    <t>6.4</t>
  </si>
  <si>
    <t>Задача 6: Проведение санитарной очистки территорий общего пользования городского округа Тольятти</t>
  </si>
  <si>
    <t xml:space="preserve">Дератизация набережной Комсомольского района и территорий общего пользования </t>
  </si>
  <si>
    <t>Показатели конечного результата</t>
  </si>
  <si>
    <t>20 мест и 2 у Зеленстроя</t>
  </si>
  <si>
    <t>+5 на 9 мая на 4408, у Зеленстроя трибуну не ставили, парк Комсольского района повторно</t>
  </si>
  <si>
    <t>4 стеллы+ сквер Жилкина</t>
  </si>
  <si>
    <t>3.12</t>
  </si>
  <si>
    <t>7</t>
  </si>
  <si>
    <t>Обращение с твердыми коммунальными отходами, содержание контейнерных площадок</t>
  </si>
  <si>
    <t>34 по ДГХ + 1 трибуна у Зеленстроя, так как Парк повторно.</t>
  </si>
  <si>
    <t>Инвентаризация захоронений</t>
  </si>
  <si>
    <t>Площадь инвентаризируемой территории</t>
  </si>
  <si>
    <t>9</t>
  </si>
  <si>
    <t>Приложение 2 к постановлению 
администрации городского округа Тольятти  
от ___________№ ___________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</si>
</sst>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"/>
    <numFmt numFmtId="181" formatCode="_-* #,##0_р_._-;\-* #,##0_р_._-;_-* &quot;-&quot;??_р_._-;_-@_-"/>
    <numFmt numFmtId="182" formatCode="[$-F800]dddd\,\ mmmm\ dd\,\ yyyy"/>
    <numFmt numFmtId="183" formatCode="_-* #,##0.0_р_._-;\-* #,##0.0_р_._-;_-* &quot;-&quot;??_р_._-;_-@_-"/>
    <numFmt numFmtId="184" formatCode="[$-FC19]d\ mmmm\ yyyy\ &quot;г.&quot;"/>
    <numFmt numFmtId="185" formatCode="#,##0.00_ ;\-#,##0.00\ "/>
    <numFmt numFmtId="186" formatCode="#,##0.0"/>
    <numFmt numFmtId="187" formatCode="_-* #,##0.00_р_._-;\-* #,##0.00_р_._-;_-* \-??_р_._-;_-@_-"/>
    <numFmt numFmtId="188" formatCode="_-* #,##0_р_._-;\-* #,##0_р_._-;_-* \-??_р_._-;_-@_-"/>
    <numFmt numFmtId="189" formatCode="dddd&quot;, &quot;mmmm\ dd&quot;, &quot;yyyy"/>
    <numFmt numFmtId="190" formatCode="#,##0.00;[Red]#,##0.00"/>
    <numFmt numFmtId="191" formatCode="#,##0.000;[Red]#,##0.000"/>
    <numFmt numFmtId="192" formatCode="#,##0.0;[Red]#,##0.0"/>
    <numFmt numFmtId="193" formatCode="#,##0;[Red]#,##0"/>
    <numFmt numFmtId="194" formatCode="0.0;[Red]0.0"/>
    <numFmt numFmtId="195" formatCode="#,##0.000"/>
    <numFmt numFmtId="196" formatCode="#,##0.0000"/>
    <numFmt numFmtId="197" formatCode="#,##0.00000"/>
    <numFmt numFmtId="198" formatCode="#,##0.0000;[Red]#,##0.0000"/>
    <numFmt numFmtId="199" formatCode="#,##0.000000"/>
    <numFmt numFmtId="200" formatCode="0.00;[Red]0.00"/>
    <numFmt numFmtId="201" formatCode="0.000000"/>
    <numFmt numFmtId="202" formatCode="0.00000"/>
    <numFmt numFmtId="203" formatCode="0.0000000"/>
    <numFmt numFmtId="204" formatCode="0.00000000"/>
    <numFmt numFmtId="205" formatCode="0.000000000"/>
    <numFmt numFmtId="206" formatCode="0.0000000000"/>
    <numFmt numFmtId="207" formatCode="0.00000000000"/>
    <numFmt numFmtId="208" formatCode="0.000000000000"/>
    <numFmt numFmtId="209" formatCode="0.0000000000000"/>
    <numFmt numFmtId="210" formatCode="0.00000000000000"/>
    <numFmt numFmtId="211" formatCode="0.000000000000000"/>
    <numFmt numFmtId="212" formatCode="#,##0.0000000"/>
    <numFmt numFmtId="213" formatCode="#\ ##0.0"/>
    <numFmt numFmtId="214" formatCode="#,##0.00000000"/>
    <numFmt numFmtId="215" formatCode="#,##0.000000000"/>
    <numFmt numFmtId="216" formatCode="#,##0.0000000000"/>
    <numFmt numFmtId="217" formatCode="#,##0.00000000000"/>
    <numFmt numFmtId="218" formatCode="_-* #,##0.000_р_._-;\-* #,##0.000_р_._-;_-* &quot;-&quot;??_р_._-;_-@_-"/>
    <numFmt numFmtId="219" formatCode="_-* #,##0.0_р_._-;\-* #,##0.0_р_._-;_-* &quot;-&quot;?_р_._-;_-@_-"/>
    <numFmt numFmtId="220" formatCode="_-* #,##0.0\ _₽_-;\-* #,##0.0\ _₽_-;_-* &quot;-&quot;?\ _₽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ill="0" applyBorder="0" applyAlignment="0" applyProtection="0"/>
    <xf numFmtId="0" fontId="46" fillId="31" borderId="0" applyNumberFormat="0" applyBorder="0" applyAlignment="0" applyProtection="0"/>
  </cellStyleXfs>
  <cellXfs count="222">
    <xf numFmtId="0" fontId="0" fillId="0" borderId="0" xfId="0" applyFont="1" applyAlignment="1">
      <alignment/>
    </xf>
    <xf numFmtId="186" fontId="7" fillId="32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47" fillId="33" borderId="0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86" fontId="7" fillId="0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vertical="center" wrapText="1"/>
    </xf>
    <xf numFmtId="1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center" wrapText="1"/>
    </xf>
    <xf numFmtId="2" fontId="6" fillId="32" borderId="10" xfId="0" applyNumberFormat="1" applyFont="1" applyFill="1" applyBorder="1" applyAlignment="1">
      <alignment horizontal="center" vertical="center"/>
    </xf>
    <xf numFmtId="178" fontId="6" fillId="32" borderId="10" xfId="0" applyNumberFormat="1" applyFont="1" applyFill="1" applyBorder="1" applyAlignment="1">
      <alignment horizontal="center" vertical="center" wrapText="1"/>
    </xf>
    <xf numFmtId="1" fontId="4" fillId="32" borderId="10" xfId="0" applyNumberFormat="1" applyFont="1" applyFill="1" applyBorder="1" applyAlignment="1">
      <alignment horizontal="center" vertical="center"/>
    </xf>
    <xf numFmtId="1" fontId="4" fillId="32" borderId="10" xfId="0" applyNumberFormat="1" applyFont="1" applyFill="1" applyBorder="1" applyAlignment="1">
      <alignment horizontal="center" vertical="center" wrapText="1"/>
    </xf>
    <xf numFmtId="1" fontId="6" fillId="32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center" vertical="center" wrapText="1"/>
    </xf>
    <xf numFmtId="203" fontId="0" fillId="0" borderId="0" xfId="0" applyNumberFormat="1" applyAlignment="1">
      <alignment/>
    </xf>
    <xf numFmtId="1" fontId="6" fillId="35" borderId="10" xfId="0" applyNumberFormat="1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1" fontId="0" fillId="36" borderId="0" xfId="0" applyNumberFormat="1" applyFill="1" applyAlignment="1">
      <alignment/>
    </xf>
    <xf numFmtId="0" fontId="0" fillId="32" borderId="0" xfId="0" applyFill="1" applyAlignment="1">
      <alignment/>
    </xf>
    <xf numFmtId="1" fontId="6" fillId="35" borderId="1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178" fontId="6" fillId="0" borderId="10" xfId="0" applyNumberFormat="1" applyFont="1" applyFill="1" applyBorder="1" applyAlignment="1">
      <alignment horizontal="center" vertical="center"/>
    </xf>
    <xf numFmtId="178" fontId="6" fillId="0" borderId="13" xfId="0" applyNumberFormat="1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 wrapText="1" readingOrder="1"/>
    </xf>
    <xf numFmtId="178" fontId="0" fillId="32" borderId="0" xfId="0" applyNumberFormat="1" applyFill="1" applyAlignment="1">
      <alignment/>
    </xf>
    <xf numFmtId="1" fontId="0" fillId="32" borderId="0" xfId="0" applyNumberFormat="1" applyFill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178" fontId="7" fillId="32" borderId="10" xfId="0" applyNumberFormat="1" applyFont="1" applyFill="1" applyBorder="1" applyAlignment="1">
      <alignment horizontal="center" vertical="center" wrapText="1"/>
    </xf>
    <xf numFmtId="186" fontId="0" fillId="0" borderId="0" xfId="0" applyNumberForma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2" fontId="48" fillId="32" borderId="10" xfId="0" applyNumberFormat="1" applyFont="1" applyFill="1" applyBorder="1" applyAlignment="1">
      <alignment horizontal="center" vertical="center"/>
    </xf>
    <xf numFmtId="0" fontId="49" fillId="32" borderId="10" xfId="0" applyFont="1" applyFill="1" applyBorder="1" applyAlignment="1">
      <alignment/>
    </xf>
    <xf numFmtId="186" fontId="8" fillId="32" borderId="10" xfId="0" applyNumberFormat="1" applyFont="1" applyFill="1" applyBorder="1" applyAlignment="1">
      <alignment horizontal="center" vertical="center" wrapText="1"/>
    </xf>
    <xf numFmtId="186" fontId="49" fillId="32" borderId="10" xfId="0" applyNumberFormat="1" applyFont="1" applyFill="1" applyBorder="1" applyAlignment="1">
      <alignment/>
    </xf>
    <xf numFmtId="0" fontId="38" fillId="0" borderId="0" xfId="0" applyFont="1" applyAlignment="1">
      <alignment/>
    </xf>
    <xf numFmtId="1" fontId="48" fillId="32" borderId="10" xfId="0" applyNumberFormat="1" applyFont="1" applyFill="1" applyBorder="1" applyAlignment="1">
      <alignment horizontal="center" vertical="center"/>
    </xf>
    <xf numFmtId="1" fontId="48" fillId="32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center"/>
    </xf>
    <xf numFmtId="0" fontId="48" fillId="32" borderId="10" xfId="0" applyFont="1" applyFill="1" applyBorder="1" applyAlignment="1">
      <alignment horizontal="center" vertical="center"/>
    </xf>
    <xf numFmtId="186" fontId="9" fillId="32" borderId="10" xfId="0" applyNumberFormat="1" applyFont="1" applyFill="1" applyBorder="1" applyAlignment="1">
      <alignment horizontal="center" vertical="center" wrapText="1"/>
    </xf>
    <xf numFmtId="186" fontId="38" fillId="0" borderId="0" xfId="0" applyNumberFormat="1" applyFont="1" applyAlignment="1">
      <alignment/>
    </xf>
    <xf numFmtId="1" fontId="38" fillId="0" borderId="0" xfId="0" applyNumberFormat="1" applyFont="1" applyAlignment="1">
      <alignment/>
    </xf>
    <xf numFmtId="2" fontId="4" fillId="32" borderId="10" xfId="0" applyNumberFormat="1" applyFont="1" applyFill="1" applyBorder="1" applyAlignment="1">
      <alignment horizontal="center" vertical="center"/>
    </xf>
    <xf numFmtId="2" fontId="38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" fontId="9" fillId="32" borderId="10" xfId="0" applyNumberFormat="1" applyFont="1" applyFill="1" applyBorder="1" applyAlignment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/>
    </xf>
    <xf numFmtId="173" fontId="6" fillId="34" borderId="10" xfId="67" applyFont="1" applyFill="1" applyBorder="1" applyAlignment="1">
      <alignment horizontal="center" vertical="center" wrapText="1"/>
    </xf>
    <xf numFmtId="173" fontId="6" fillId="34" borderId="10" xfId="67" applyFont="1" applyFill="1" applyBorder="1" applyAlignment="1">
      <alignment horizontal="center" vertical="center"/>
    </xf>
    <xf numFmtId="183" fontId="7" fillId="32" borderId="10" xfId="67" applyNumberFormat="1" applyFont="1" applyFill="1" applyBorder="1" applyAlignment="1">
      <alignment horizontal="center" vertical="center" wrapText="1"/>
    </xf>
    <xf numFmtId="1" fontId="49" fillId="32" borderId="10" xfId="0" applyNumberFormat="1" applyFont="1" applyFill="1" applyBorder="1" applyAlignment="1">
      <alignment horizontal="center" vertical="center"/>
    </xf>
    <xf numFmtId="186" fontId="6" fillId="32" borderId="10" xfId="0" applyNumberFormat="1" applyFont="1" applyFill="1" applyBorder="1" applyAlignment="1">
      <alignment horizontal="center" vertical="center" wrapText="1"/>
    </xf>
    <xf numFmtId="186" fontId="48" fillId="0" borderId="10" xfId="0" applyNumberFormat="1" applyFont="1" applyBorder="1" applyAlignment="1">
      <alignment horizontal="center" vertical="center"/>
    </xf>
    <xf numFmtId="2" fontId="0" fillId="32" borderId="0" xfId="0" applyNumberFormat="1" applyFill="1" applyAlignment="1">
      <alignment/>
    </xf>
    <xf numFmtId="201" fontId="0" fillId="32" borderId="0" xfId="0" applyNumberFormat="1" applyFill="1" applyAlignment="1">
      <alignment/>
    </xf>
    <xf numFmtId="2" fontId="47" fillId="34" borderId="0" xfId="0" applyNumberFormat="1" applyFont="1" applyFill="1" applyBorder="1" applyAlignment="1">
      <alignment horizontal="center" vertical="center"/>
    </xf>
    <xf numFmtId="202" fontId="0" fillId="0" borderId="0" xfId="0" applyNumberFormat="1" applyAlignment="1">
      <alignment/>
    </xf>
    <xf numFmtId="2" fontId="6" fillId="0" borderId="14" xfId="0" applyNumberFormat="1" applyFont="1" applyFill="1" applyBorder="1" applyAlignment="1">
      <alignment horizontal="center" vertical="center" wrapText="1" readingOrder="1"/>
    </xf>
    <xf numFmtId="2" fontId="6" fillId="0" borderId="15" xfId="0" applyNumberFormat="1" applyFont="1" applyFill="1" applyBorder="1" applyAlignment="1">
      <alignment horizontal="center" vertical="center" wrapText="1" readingOrder="1"/>
    </xf>
    <xf numFmtId="1" fontId="6" fillId="32" borderId="12" xfId="0" applyNumberFormat="1" applyFont="1" applyFill="1" applyBorder="1" applyAlignment="1">
      <alignment horizontal="center" vertical="center"/>
    </xf>
    <xf numFmtId="1" fontId="6" fillId="32" borderId="0" xfId="0" applyNumberFormat="1" applyFont="1" applyFill="1" applyBorder="1" applyAlignment="1">
      <alignment horizontal="center" vertical="center"/>
    </xf>
    <xf numFmtId="178" fontId="50" fillId="32" borderId="0" xfId="0" applyNumberFormat="1" applyFont="1" applyFill="1" applyAlignment="1">
      <alignment/>
    </xf>
    <xf numFmtId="180" fontId="0" fillId="32" borderId="0" xfId="0" applyNumberFormat="1" applyFill="1" applyAlignment="1">
      <alignment/>
    </xf>
    <xf numFmtId="179" fontId="0" fillId="0" borderId="0" xfId="0" applyNumberFormat="1" applyAlignment="1">
      <alignment/>
    </xf>
    <xf numFmtId="1" fontId="6" fillId="0" borderId="10" xfId="67" applyNumberFormat="1" applyFont="1" applyFill="1" applyBorder="1" applyAlignment="1">
      <alignment horizontal="center" vertical="center"/>
    </xf>
    <xf numFmtId="178" fontId="6" fillId="0" borderId="10" xfId="67" applyNumberFormat="1" applyFont="1" applyFill="1" applyBorder="1" applyAlignment="1">
      <alignment horizontal="center" vertical="center" wrapText="1"/>
    </xf>
    <xf numFmtId="2" fontId="6" fillId="0" borderId="10" xfId="67" applyNumberFormat="1" applyFont="1" applyFill="1" applyBorder="1" applyAlignment="1">
      <alignment horizontal="center" vertical="center"/>
    </xf>
    <xf numFmtId="1" fontId="6" fillId="0" borderId="10" xfId="67" applyNumberFormat="1" applyFont="1" applyFill="1" applyBorder="1" applyAlignment="1">
      <alignment horizontal="center" vertical="center" wrapText="1"/>
    </xf>
    <xf numFmtId="178" fontId="6" fillId="0" borderId="10" xfId="67" applyNumberFormat="1" applyFont="1" applyFill="1" applyBorder="1" applyAlignment="1">
      <alignment horizontal="center" vertical="center"/>
    </xf>
    <xf numFmtId="2" fontId="6" fillId="0" borderId="10" xfId="67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" fontId="47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3" fontId="48" fillId="0" borderId="16" xfId="0" applyNumberFormat="1" applyFont="1" applyFill="1" applyBorder="1" applyAlignment="1">
      <alignment horizontal="center" vertical="center" wrapText="1"/>
    </xf>
    <xf numFmtId="1" fontId="6" fillId="0" borderId="14" xfId="67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7" fillId="0" borderId="10" xfId="0" applyFont="1" applyFill="1" applyBorder="1" applyAlignment="1">
      <alignment vertical="center" wrapText="1"/>
    </xf>
    <xf numFmtId="179" fontId="47" fillId="0" borderId="10" xfId="0" applyNumberFormat="1" applyFont="1" applyFill="1" applyBorder="1" applyAlignment="1">
      <alignment horizontal="left" vertical="center" wrapText="1"/>
    </xf>
    <xf numFmtId="179" fontId="47" fillId="0" borderId="10" xfId="0" applyNumberFormat="1" applyFont="1" applyFill="1" applyBorder="1" applyAlignment="1">
      <alignment horizontal="center" vertical="center"/>
    </xf>
    <xf numFmtId="1" fontId="48" fillId="0" borderId="16" xfId="0" applyNumberFormat="1" applyFont="1" applyFill="1" applyBorder="1" applyAlignment="1">
      <alignment horizontal="center" vertical="center" wrapText="1"/>
    </xf>
    <xf numFmtId="178" fontId="0" fillId="0" borderId="17" xfId="0" applyNumberFormat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178" fontId="0" fillId="0" borderId="14" xfId="0" applyNumberFormat="1" applyBorder="1" applyAlignment="1">
      <alignment/>
    </xf>
    <xf numFmtId="180" fontId="0" fillId="0" borderId="0" xfId="0" applyNumberFormat="1" applyAlignment="1">
      <alignment/>
    </xf>
    <xf numFmtId="1" fontId="6" fillId="0" borderId="10" xfId="0" applyNumberFormat="1" applyFont="1" applyFill="1" applyBorder="1" applyAlignment="1">
      <alignment horizontal="center" vertical="center" wrapText="1"/>
    </xf>
    <xf numFmtId="2" fontId="6" fillId="0" borderId="19" xfId="67" applyNumberFormat="1" applyFont="1" applyFill="1" applyBorder="1" applyAlignment="1">
      <alignment horizontal="center" vertical="center"/>
    </xf>
    <xf numFmtId="0" fontId="0" fillId="32" borderId="20" xfId="0" applyFill="1" applyBorder="1" applyAlignment="1">
      <alignment/>
    </xf>
    <xf numFmtId="0" fontId="0" fillId="32" borderId="21" xfId="0" applyFill="1" applyBorder="1" applyAlignment="1">
      <alignment/>
    </xf>
    <xf numFmtId="1" fontId="0" fillId="0" borderId="14" xfId="0" applyNumberFormat="1" applyBorder="1" applyAlignment="1">
      <alignment/>
    </xf>
    <xf numFmtId="178" fontId="0" fillId="0" borderId="15" xfId="0" applyNumberFormat="1" applyBorder="1" applyAlignment="1">
      <alignment/>
    </xf>
    <xf numFmtId="49" fontId="51" fillId="32" borderId="0" xfId="0" applyNumberFormat="1" applyFont="1" applyFill="1" applyAlignment="1">
      <alignment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right" vertical="center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49" fontId="47" fillId="0" borderId="17" xfId="0" applyNumberFormat="1" applyFont="1" applyFill="1" applyBorder="1" applyAlignment="1">
      <alignment horizontal="center" vertical="center" wrapText="1"/>
    </xf>
    <xf numFmtId="17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/>
    </xf>
    <xf numFmtId="1" fontId="6" fillId="0" borderId="11" xfId="0" applyNumberFormat="1" applyFont="1" applyFill="1" applyBorder="1" applyAlignment="1">
      <alignment horizontal="center" vertical="center" wrapText="1"/>
    </xf>
    <xf numFmtId="179" fontId="47" fillId="0" borderId="10" xfId="0" applyNumberFormat="1" applyFont="1" applyFill="1" applyBorder="1" applyAlignment="1">
      <alignment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47" fillId="0" borderId="17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 readingOrder="1"/>
    </xf>
    <xf numFmtId="1" fontId="6" fillId="0" borderId="11" xfId="0" applyNumberFormat="1" applyFont="1" applyFill="1" applyBorder="1" applyAlignment="1">
      <alignment horizontal="center" vertical="center" wrapText="1" readingOrder="1"/>
    </xf>
    <xf numFmtId="49" fontId="6" fillId="0" borderId="10" xfId="0" applyNumberFormat="1" applyFont="1" applyFill="1" applyBorder="1" applyAlignment="1">
      <alignment horizontal="center" vertical="center" wrapText="1" readingOrder="1"/>
    </xf>
    <xf numFmtId="49" fontId="6" fillId="0" borderId="11" xfId="0" applyNumberFormat="1" applyFont="1" applyFill="1" applyBorder="1" applyAlignment="1">
      <alignment horizontal="center" vertical="center" wrapText="1" readingOrder="1"/>
    </xf>
    <xf numFmtId="0" fontId="6" fillId="0" borderId="10" xfId="0" applyFont="1" applyFill="1" applyBorder="1" applyAlignment="1">
      <alignment horizontal="center" vertical="center" wrapText="1" readingOrder="1"/>
    </xf>
    <xf numFmtId="0" fontId="6" fillId="0" borderId="11" xfId="0" applyFont="1" applyFill="1" applyBorder="1" applyAlignment="1">
      <alignment horizontal="center" vertical="center" wrapText="1" readingOrder="1"/>
    </xf>
    <xf numFmtId="0" fontId="6" fillId="0" borderId="11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center" wrapText="1"/>
    </xf>
    <xf numFmtId="186" fontId="48" fillId="0" borderId="10" xfId="0" applyNumberFormat="1" applyFont="1" applyFill="1" applyBorder="1" applyAlignment="1">
      <alignment horizontal="left" vertical="center" wrapText="1"/>
    </xf>
    <xf numFmtId="186" fontId="48" fillId="0" borderId="10" xfId="0" applyNumberFormat="1" applyFont="1" applyFill="1" applyBorder="1" applyAlignment="1">
      <alignment horizontal="center" vertical="center" wrapText="1"/>
    </xf>
    <xf numFmtId="179" fontId="47" fillId="0" borderId="17" xfId="0" applyNumberFormat="1" applyFont="1" applyFill="1" applyBorder="1" applyAlignment="1">
      <alignment horizontal="center" vertical="center" wrapText="1"/>
    </xf>
    <xf numFmtId="1" fontId="47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179" fontId="47" fillId="0" borderId="10" xfId="0" applyNumberFormat="1" applyFont="1" applyFill="1" applyBorder="1" applyAlignment="1">
      <alignment horizontal="left" vertical="center"/>
    </xf>
    <xf numFmtId="178" fontId="47" fillId="0" borderId="10" xfId="0" applyNumberFormat="1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>
      <alignment vertical="center" wrapText="1"/>
    </xf>
    <xf numFmtId="16" fontId="52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 wrapText="1"/>
    </xf>
    <xf numFmtId="179" fontId="47" fillId="0" borderId="19" xfId="0" applyNumberFormat="1" applyFont="1" applyFill="1" applyBorder="1" applyAlignment="1">
      <alignment horizontal="left" vertical="center" wrapText="1"/>
    </xf>
    <xf numFmtId="179" fontId="47" fillId="0" borderId="19" xfId="0" applyNumberFormat="1" applyFont="1" applyFill="1" applyBorder="1" applyAlignment="1">
      <alignment horizontal="center" vertical="center" wrapText="1"/>
    </xf>
    <xf numFmtId="178" fontId="6" fillId="0" borderId="19" xfId="0" applyNumberFormat="1" applyFont="1" applyFill="1" applyBorder="1" applyAlignment="1">
      <alignment horizontal="center" vertical="center" wrapText="1"/>
    </xf>
    <xf numFmtId="1" fontId="6" fillId="0" borderId="19" xfId="67" applyNumberFormat="1" applyFont="1" applyFill="1" applyBorder="1" applyAlignment="1">
      <alignment horizontal="center" vertical="center" wrapText="1" readingOrder="1"/>
    </xf>
    <xf numFmtId="1" fontId="6" fillId="0" borderId="22" xfId="0" applyNumberFormat="1" applyFont="1" applyFill="1" applyBorder="1" applyAlignment="1">
      <alignment horizontal="center" vertical="center" wrapText="1" readingOrder="1"/>
    </xf>
    <xf numFmtId="1" fontId="6" fillId="0" borderId="10" xfId="67" applyNumberFormat="1" applyFont="1" applyFill="1" applyBorder="1" applyAlignment="1">
      <alignment horizontal="center" vertical="center" readingOrder="1"/>
    </xf>
    <xf numFmtId="2" fontId="0" fillId="0" borderId="11" xfId="0" applyNumberFormat="1" applyFill="1" applyBorder="1" applyAlignment="1">
      <alignment horizontal="center" vertical="center" wrapText="1" readingOrder="1"/>
    </xf>
    <xf numFmtId="49" fontId="47" fillId="0" borderId="23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 readingOrder="1"/>
    </xf>
    <xf numFmtId="49" fontId="47" fillId="0" borderId="18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179" fontId="47" fillId="0" borderId="14" xfId="0" applyNumberFormat="1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178" fontId="6" fillId="0" borderId="14" xfId="0" applyNumberFormat="1" applyFont="1" applyFill="1" applyBorder="1" applyAlignment="1">
      <alignment horizontal="center" vertical="center" wrapText="1"/>
    </xf>
    <xf numFmtId="178" fontId="6" fillId="0" borderId="14" xfId="67" applyNumberFormat="1" applyFont="1" applyFill="1" applyBorder="1" applyAlignment="1">
      <alignment horizontal="center" vertical="center" wrapText="1" readingOrder="1"/>
    </xf>
    <xf numFmtId="0" fontId="48" fillId="0" borderId="0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178" fontId="0" fillId="0" borderId="0" xfId="0" applyNumberFormat="1" applyFill="1" applyAlignment="1">
      <alignment/>
    </xf>
    <xf numFmtId="49" fontId="6" fillId="0" borderId="25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49" fontId="47" fillId="0" borderId="17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 vertical="center"/>
    </xf>
    <xf numFmtId="0" fontId="47" fillId="0" borderId="11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right" vertical="center" wrapText="1"/>
    </xf>
    <xf numFmtId="0" fontId="53" fillId="0" borderId="26" xfId="0" applyFont="1" applyFill="1" applyBorder="1" applyAlignment="1">
      <alignment horizontal="center" vertical="center"/>
    </xf>
    <xf numFmtId="0" fontId="53" fillId="0" borderId="20" xfId="0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7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left" vertical="center" wrapText="1"/>
    </xf>
    <xf numFmtId="49" fontId="6" fillId="0" borderId="27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79" fontId="47" fillId="0" borderId="17" xfId="0" applyNumberFormat="1" applyFont="1" applyFill="1" applyBorder="1" applyAlignment="1">
      <alignment horizontal="left" vertical="center" wrapText="1"/>
    </xf>
    <xf numFmtId="179" fontId="47" fillId="0" borderId="10" xfId="0" applyNumberFormat="1" applyFont="1" applyFill="1" applyBorder="1" applyAlignment="1">
      <alignment horizontal="left" vertical="center" wrapText="1"/>
    </xf>
    <xf numFmtId="179" fontId="47" fillId="0" borderId="11" xfId="0" applyNumberFormat="1" applyFont="1" applyFill="1" applyBorder="1" applyAlignment="1">
      <alignment horizontal="left" vertical="center" wrapText="1"/>
    </xf>
    <xf numFmtId="179" fontId="47" fillId="0" borderId="17" xfId="0" applyNumberFormat="1" applyFont="1" applyFill="1" applyBorder="1" applyAlignment="1">
      <alignment vertical="center"/>
    </xf>
    <xf numFmtId="179" fontId="47" fillId="0" borderId="10" xfId="0" applyNumberFormat="1" applyFont="1" applyFill="1" applyBorder="1" applyAlignment="1">
      <alignment vertical="center"/>
    </xf>
    <xf numFmtId="179" fontId="47" fillId="0" borderId="11" xfId="0" applyNumberFormat="1" applyFont="1" applyFill="1" applyBorder="1" applyAlignment="1">
      <alignment vertical="center"/>
    </xf>
    <xf numFmtId="0" fontId="51" fillId="32" borderId="0" xfId="0" applyFont="1" applyFill="1" applyAlignment="1">
      <alignment horizontal="center" wrapText="1"/>
    </xf>
    <xf numFmtId="178" fontId="0" fillId="0" borderId="26" xfId="0" applyNumberFormat="1" applyBorder="1" applyAlignment="1">
      <alignment horizontal="center"/>
    </xf>
    <xf numFmtId="178" fontId="0" fillId="0" borderId="20" xfId="0" applyNumberFormat="1" applyBorder="1" applyAlignment="1">
      <alignment horizontal="center"/>
    </xf>
    <xf numFmtId="49" fontId="6" fillId="0" borderId="17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49" fontId="47" fillId="0" borderId="23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right" wrapText="1"/>
    </xf>
    <xf numFmtId="0" fontId="48" fillId="0" borderId="0" xfId="0" applyFont="1" applyFill="1" applyAlignment="1">
      <alignment horizontal="right"/>
    </xf>
    <xf numFmtId="2" fontId="47" fillId="0" borderId="17" xfId="0" applyNumberFormat="1" applyFont="1" applyFill="1" applyBorder="1" applyAlignment="1">
      <alignment horizontal="left" vertical="center" wrapText="1"/>
    </xf>
    <xf numFmtId="2" fontId="47" fillId="0" borderId="10" xfId="0" applyNumberFormat="1" applyFont="1" applyFill="1" applyBorder="1" applyAlignment="1">
      <alignment horizontal="left" vertical="center" wrapText="1"/>
    </xf>
    <xf numFmtId="2" fontId="47" fillId="0" borderId="11" xfId="0" applyNumberFormat="1" applyFont="1" applyFill="1" applyBorder="1" applyAlignment="1">
      <alignment horizontal="left" vertical="center" wrapText="1"/>
    </xf>
    <xf numFmtId="179" fontId="47" fillId="0" borderId="17" xfId="0" applyNumberFormat="1" applyFont="1" applyFill="1" applyBorder="1" applyAlignment="1">
      <alignment horizontal="left" vertical="center"/>
    </xf>
    <xf numFmtId="179" fontId="47" fillId="0" borderId="10" xfId="0" applyNumberFormat="1" applyFont="1" applyFill="1" applyBorder="1" applyAlignment="1">
      <alignment horizontal="left" vertical="center"/>
    </xf>
    <xf numFmtId="179" fontId="47" fillId="0" borderId="11" xfId="0" applyNumberFormat="1" applyFont="1" applyFill="1" applyBorder="1" applyAlignment="1">
      <alignment horizontal="left" vertical="center"/>
    </xf>
    <xf numFmtId="49" fontId="47" fillId="34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left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/>
    </xf>
    <xf numFmtId="0" fontId="6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2 2" xfId="67"/>
    <cellStyle name="Финансовый 2 3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0.20\gorhoz\4%20&#1054;&#1058;&#1044;&#1045;&#1051;%20&#1041;&#1051;&#1040;&#1043;&#1054;&#1059;&#1057;&#1058;&#1056;&#1054;&#1049;&#1057;&#1058;&#1042;&#1040;%20&#1048;%20&#1054;&#1047;&#1045;&#1051;&#1045;&#1053;&#1045;&#1053;&#1048;&#1071;\&#1042;&#1086;&#1088;&#1086;&#1073;&#1100;&#1077;&#1074;&#1072;\&#1086;&#1090;%20&#1056;&#1086;&#1075;&#1072;&#1095;&#1077;&#1074;&#1086;&#1081;\&#1058;&#1063;&#1043;%202020-2024\&#1055;&#1088;&#1080;&#1083;&#1086;&#1078;&#1077;&#1085;&#1080;&#1103;%201,2%2003.02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  <sheetName val="Прил. 2"/>
      <sheetName val="Лист1"/>
    </sheetNames>
    <sheetDataSet>
      <sheetData sheetId="1">
        <row r="19">
          <cell r="F19">
            <v>7729.23</v>
          </cell>
          <cell r="H19">
            <v>11256.29</v>
          </cell>
        </row>
        <row r="20">
          <cell r="F20">
            <v>2792.71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8"/>
  <sheetViews>
    <sheetView tabSelected="1" view="pageBreakPreview" zoomScaleSheetLayoutView="100" workbookViewId="0" topLeftCell="A22">
      <selection activeCell="AX28" sqref="AX28"/>
    </sheetView>
  </sheetViews>
  <sheetFormatPr defaultColWidth="9.140625" defaultRowHeight="15"/>
  <cols>
    <col min="1" max="1" width="7.28125" style="0" customWidth="1"/>
    <col min="2" max="2" width="38.8515625" style="0" customWidth="1"/>
    <col min="3" max="3" width="31.57421875" style="0" customWidth="1"/>
    <col min="5" max="5" width="12.421875" style="0" customWidth="1"/>
    <col min="6" max="6" width="12.7109375" style="93" bestFit="1" customWidth="1"/>
    <col min="7" max="7" width="13.00390625" style="0" customWidth="1"/>
    <col min="8" max="8" width="12.57421875" style="0" customWidth="1"/>
    <col min="9" max="10" width="10.00390625" style="0" bestFit="1" customWidth="1"/>
    <col min="11" max="11" width="0" style="0" hidden="1" customWidth="1"/>
    <col min="12" max="12" width="10.57421875" style="0" hidden="1" customWidth="1"/>
    <col min="13" max="19" width="0" style="0" hidden="1" customWidth="1"/>
    <col min="20" max="20" width="11.57421875" style="0" hidden="1" customWidth="1"/>
    <col min="21" max="22" width="10.57421875" style="0" hidden="1" customWidth="1"/>
    <col min="23" max="23" width="0" style="0" hidden="1" customWidth="1"/>
    <col min="24" max="24" width="16.7109375" style="0" hidden="1" customWidth="1"/>
    <col min="25" max="25" width="10.57421875" style="0" hidden="1" customWidth="1"/>
    <col min="26" max="26" width="13.57421875" style="0" hidden="1" customWidth="1"/>
    <col min="27" max="31" width="0" style="0" hidden="1" customWidth="1"/>
    <col min="32" max="32" width="33.7109375" style="0" hidden="1" customWidth="1"/>
    <col min="33" max="33" width="21.00390625" style="0" hidden="1" customWidth="1"/>
    <col min="34" max="34" width="11.57421875" style="0" hidden="1" customWidth="1"/>
    <col min="35" max="35" width="13.57421875" style="0" hidden="1" customWidth="1"/>
    <col min="36" max="36" width="9.57421875" style="0" hidden="1" customWidth="1"/>
    <col min="37" max="37" width="0" style="0" hidden="1" customWidth="1"/>
    <col min="38" max="39" width="11.57421875" style="0" hidden="1" customWidth="1"/>
    <col min="40" max="43" width="0" style="0" hidden="1" customWidth="1"/>
  </cols>
  <sheetData>
    <row r="1" spans="6:10" ht="46.5" customHeight="1">
      <c r="F1" s="208" t="s">
        <v>196</v>
      </c>
      <c r="G1" s="209"/>
      <c r="H1" s="209"/>
      <c r="I1" s="209"/>
      <c r="J1" s="209"/>
    </row>
    <row r="2" spans="1:10" ht="42" customHeight="1" thickBot="1">
      <c r="A2" s="92"/>
      <c r="B2" s="112"/>
      <c r="C2" s="92"/>
      <c r="D2" s="92"/>
      <c r="E2" s="113"/>
      <c r="F2" s="176" t="s">
        <v>163</v>
      </c>
      <c r="G2" s="176"/>
      <c r="H2" s="176"/>
      <c r="I2" s="176"/>
      <c r="J2" s="176"/>
    </row>
    <row r="3" spans="1:10" ht="18.75">
      <c r="A3" s="177" t="s">
        <v>84</v>
      </c>
      <c r="B3" s="178"/>
      <c r="C3" s="178"/>
      <c r="D3" s="178"/>
      <c r="E3" s="178"/>
      <c r="F3" s="178"/>
      <c r="G3" s="178"/>
      <c r="H3" s="178"/>
      <c r="I3" s="178"/>
      <c r="J3" s="179"/>
    </row>
    <row r="4" spans="1:10" ht="15">
      <c r="A4" s="180" t="s">
        <v>32</v>
      </c>
      <c r="B4" s="181" t="s">
        <v>33</v>
      </c>
      <c r="C4" s="181" t="s">
        <v>34</v>
      </c>
      <c r="D4" s="181" t="s">
        <v>35</v>
      </c>
      <c r="E4" s="181" t="s">
        <v>36</v>
      </c>
      <c r="F4" s="181" t="s">
        <v>37</v>
      </c>
      <c r="G4" s="181"/>
      <c r="H4" s="181"/>
      <c r="I4" s="181"/>
      <c r="J4" s="183"/>
    </row>
    <row r="5" spans="1:10" ht="15">
      <c r="A5" s="180"/>
      <c r="B5" s="181"/>
      <c r="C5" s="181"/>
      <c r="D5" s="181"/>
      <c r="E5" s="181"/>
      <c r="F5" s="111" t="s">
        <v>71</v>
      </c>
      <c r="G5" s="111" t="s">
        <v>72</v>
      </c>
      <c r="H5" s="111" t="s">
        <v>73</v>
      </c>
      <c r="I5" s="111" t="s">
        <v>74</v>
      </c>
      <c r="J5" s="114" t="s">
        <v>75</v>
      </c>
    </row>
    <row r="6" spans="1:32" ht="22.5" customHeight="1">
      <c r="A6" s="115">
        <v>1</v>
      </c>
      <c r="B6" s="111">
        <v>2</v>
      </c>
      <c r="C6" s="111">
        <v>3</v>
      </c>
      <c r="D6" s="111">
        <v>4</v>
      </c>
      <c r="E6" s="111">
        <v>5</v>
      </c>
      <c r="F6" s="111">
        <v>6</v>
      </c>
      <c r="G6" s="111">
        <v>7</v>
      </c>
      <c r="H6" s="111">
        <v>8</v>
      </c>
      <c r="I6" s="111">
        <v>9</v>
      </c>
      <c r="J6" s="114">
        <v>10</v>
      </c>
      <c r="AF6">
        <f>AF8-AF7</f>
        <v>2931</v>
      </c>
    </row>
    <row r="7" spans="1:37" ht="29.25" customHeight="1">
      <c r="A7" s="210" t="s">
        <v>105</v>
      </c>
      <c r="B7" s="211"/>
      <c r="C7" s="211"/>
      <c r="D7" s="211"/>
      <c r="E7" s="211"/>
      <c r="F7" s="211"/>
      <c r="G7" s="211"/>
      <c r="H7" s="211"/>
      <c r="I7" s="211"/>
      <c r="J7" s="212"/>
      <c r="AF7">
        <v>393214</v>
      </c>
      <c r="AK7">
        <f>AK8+AK9+AK10+AK12</f>
        <v>121906</v>
      </c>
    </row>
    <row r="8" spans="1:37" ht="21.75" customHeight="1">
      <c r="A8" s="213" t="s">
        <v>90</v>
      </c>
      <c r="B8" s="214"/>
      <c r="C8" s="214"/>
      <c r="D8" s="214"/>
      <c r="E8" s="214"/>
      <c r="F8" s="214"/>
      <c r="G8" s="214"/>
      <c r="H8" s="214"/>
      <c r="I8" s="214"/>
      <c r="J8" s="215"/>
      <c r="X8" s="5"/>
      <c r="AF8">
        <v>396145</v>
      </c>
      <c r="AG8">
        <f>201947+3318</f>
        <v>205265</v>
      </c>
      <c r="AK8">
        <v>593</v>
      </c>
    </row>
    <row r="9" spans="1:38" ht="27.75" customHeight="1">
      <c r="A9" s="116" t="s">
        <v>0</v>
      </c>
      <c r="B9" s="94" t="s">
        <v>113</v>
      </c>
      <c r="C9" s="95" t="s">
        <v>119</v>
      </c>
      <c r="D9" s="117" t="s">
        <v>50</v>
      </c>
      <c r="E9" s="104">
        <v>842836</v>
      </c>
      <c r="F9" s="80">
        <f>699348.1+141127.4+8427.8+396145</f>
        <v>1245048.3</v>
      </c>
      <c r="G9" s="80">
        <f>699348.1+141127.4+8427.8+396145</f>
        <v>1245048.3</v>
      </c>
      <c r="H9" s="80">
        <f>699348.1+141127.4+8427.8+396145</f>
        <v>1245048.3</v>
      </c>
      <c r="I9" s="80">
        <f>699348.1+141127.4+8427.8+396145</f>
        <v>1245048.3</v>
      </c>
      <c r="J9" s="18">
        <f>842835.8+321620-16316</f>
        <v>1148139.8</v>
      </c>
      <c r="K9" s="5"/>
      <c r="T9" s="5" t="s">
        <v>134</v>
      </c>
      <c r="X9" s="3">
        <f>F9+F10+F11+F14+F18+F19+F20+F24+F25+F26+F21</f>
        <v>10640064.739999998</v>
      </c>
      <c r="AF9" s="2">
        <f>F9+F10+F11+F14+F18+F19+F20+F21+F24+F25+F26</f>
        <v>10640064.739999998</v>
      </c>
      <c r="AG9" s="2">
        <f>F9+F10+F11+F18+F19+F20+F21+F24+F25+F26+F14</f>
        <v>10640064.739999998</v>
      </c>
      <c r="AH9" s="2">
        <f>G9+G10+G11+G18+G19+G20+G21+G24+G25+G26+G14</f>
        <v>9623287.879999999</v>
      </c>
      <c r="AK9">
        <v>47926</v>
      </c>
      <c r="AL9" s="2">
        <f>AG9-AK9</f>
        <v>10592138.739999998</v>
      </c>
    </row>
    <row r="10" spans="1:40" ht="27.75" customHeight="1">
      <c r="A10" s="116" t="s">
        <v>1</v>
      </c>
      <c r="B10" s="94" t="s">
        <v>118</v>
      </c>
      <c r="C10" s="95" t="s">
        <v>120</v>
      </c>
      <c r="D10" s="117" t="s">
        <v>50</v>
      </c>
      <c r="E10" s="104">
        <v>4621312.08</v>
      </c>
      <c r="F10" s="80">
        <f>3147997.4+1006370.7+156186.8+1444289+968047+47926</f>
        <v>6770816.899999999</v>
      </c>
      <c r="G10" s="80">
        <f>3147997.4+1006370.7+156186.8+1443289</f>
        <v>5753843.899999999</v>
      </c>
      <c r="H10" s="80">
        <f>3147997.4+1006370.7+156186.8+1443289</f>
        <v>5753843.899999999</v>
      </c>
      <c r="I10" s="80">
        <f>3147997.4+1006370.7+156186.8+1443289</f>
        <v>5753843.899999999</v>
      </c>
      <c r="J10" s="18">
        <f>4404359.8+2440726</f>
        <v>6845085.8</v>
      </c>
      <c r="K10" s="5"/>
      <c r="T10" s="25" t="s">
        <v>133</v>
      </c>
      <c r="X10" s="19">
        <f>G9+G10+G11+G14+G18+G19+G20+G21+G24+G25+G26</f>
        <v>9623287.879999999</v>
      </c>
      <c r="AF10" s="2">
        <f>G9+G10+G11+G14+G18+G19+G20+G21+G24+G25+G26</f>
        <v>9623287.879999999</v>
      </c>
      <c r="AG10" s="78">
        <f>F9+F10+F11+F14+F18+F19+F20+F21+F24+F25+F26</f>
        <v>10640064.739999998</v>
      </c>
      <c r="AH10" s="78">
        <v>9553866.45</v>
      </c>
      <c r="AI10" s="2">
        <f>AG10-AH10</f>
        <v>1086198.289999999</v>
      </c>
      <c r="AK10">
        <v>70069</v>
      </c>
      <c r="AL10">
        <f>AK9+AK10+AK8+AK12+AK13-AK14</f>
        <v>119905.29</v>
      </c>
      <c r="AM10" s="2">
        <f>AG9-AL10</f>
        <v>10520159.45</v>
      </c>
      <c r="AN10">
        <f>10522-10519</f>
        <v>3</v>
      </c>
    </row>
    <row r="11" spans="1:34" ht="23.25" customHeight="1">
      <c r="A11" s="171" t="s">
        <v>2</v>
      </c>
      <c r="B11" s="172" t="s">
        <v>87</v>
      </c>
      <c r="C11" s="118" t="s">
        <v>53</v>
      </c>
      <c r="D11" s="86" t="s">
        <v>38</v>
      </c>
      <c r="E11" s="15">
        <v>1292090</v>
      </c>
      <c r="F11" s="81">
        <f>858607+2497.31+148367.8+9647+201947+3318</f>
        <v>1224384.11</v>
      </c>
      <c r="G11" s="81">
        <f>858607+2497.31+148367.8+9647+205265</f>
        <v>1224384.11</v>
      </c>
      <c r="H11" s="81">
        <f>858607+2497.31+148367.8+9647+205265</f>
        <v>1224384.11</v>
      </c>
      <c r="I11" s="81">
        <f>858607+2497.31+148367.8+9647+205265</f>
        <v>1224384.11</v>
      </c>
      <c r="J11" s="33">
        <f>951081+147763.51+197022</f>
        <v>1295866.51</v>
      </c>
      <c r="K11" s="24">
        <f aca="true" t="shared" si="0" ref="K11:S11">951081+147763.51+197022</f>
        <v>1295866.51</v>
      </c>
      <c r="L11" s="20">
        <f t="shared" si="0"/>
        <v>1295866.51</v>
      </c>
      <c r="M11" s="20">
        <f t="shared" si="0"/>
        <v>1295866.51</v>
      </c>
      <c r="N11" s="20">
        <f t="shared" si="0"/>
        <v>1295866.51</v>
      </c>
      <c r="O11" s="20">
        <f t="shared" si="0"/>
        <v>1295866.51</v>
      </c>
      <c r="P11" s="20">
        <f t="shared" si="0"/>
        <v>1295866.51</v>
      </c>
      <c r="Q11" s="20">
        <f t="shared" si="0"/>
        <v>1295866.51</v>
      </c>
      <c r="R11" s="20">
        <f t="shared" si="0"/>
        <v>1295866.51</v>
      </c>
      <c r="S11" s="20">
        <f t="shared" si="0"/>
        <v>1295866.51</v>
      </c>
      <c r="T11" s="5" t="s">
        <v>134</v>
      </c>
      <c r="X11" s="3">
        <f>H9+H10+H11+H14+H18+H19+H20+H21+H24+H25+H26</f>
        <v>9631809.799999999</v>
      </c>
      <c r="AF11" s="2">
        <f>H9+H10+H11+H14+H18+H19+H20+H21+H24+H25+H26</f>
        <v>9631809.799999999</v>
      </c>
      <c r="AG11">
        <f>AG10/1000</f>
        <v>10640.064739999998</v>
      </c>
      <c r="AH11">
        <f>AH10/1000</f>
        <v>9553.86645</v>
      </c>
    </row>
    <row r="12" spans="1:37" s="23" customFormat="1" ht="21.75" customHeight="1">
      <c r="A12" s="171"/>
      <c r="B12" s="172"/>
      <c r="C12" s="118" t="s">
        <v>54</v>
      </c>
      <c r="D12" s="117" t="s">
        <v>55</v>
      </c>
      <c r="E12" s="104">
        <f>135+2292</f>
        <v>2427</v>
      </c>
      <c r="F12" s="80">
        <f>142+2382.3+1130</f>
        <v>3654.3</v>
      </c>
      <c r="G12" s="80">
        <f>142+2382.3+1130</f>
        <v>3654.3</v>
      </c>
      <c r="H12" s="80">
        <f>142+2382.3+1130</f>
        <v>3654.3</v>
      </c>
      <c r="I12" s="80">
        <f>142+2382.3+1130</f>
        <v>3654.3</v>
      </c>
      <c r="J12" s="18">
        <f>135+2292.3+1130</f>
        <v>3557.3</v>
      </c>
      <c r="T12" s="68"/>
      <c r="X12" s="69">
        <f>I9+I10+I11+I14+I18+I19+I20+I21+I24+I25+I26</f>
        <v>9631809.799999999</v>
      </c>
      <c r="AF12" s="68">
        <f>I9+I10+I11+I18+I19+I20+I21+I24+I25+I26+I14</f>
        <v>9631809.799999999</v>
      </c>
      <c r="AK12" s="23">
        <v>3318</v>
      </c>
    </row>
    <row r="13" spans="1:39" s="23" customFormat="1" ht="23.25" customHeight="1">
      <c r="A13" s="171"/>
      <c r="B13" s="172"/>
      <c r="C13" s="118" t="s">
        <v>76</v>
      </c>
      <c r="D13" s="117" t="s">
        <v>68</v>
      </c>
      <c r="E13" s="104">
        <v>687</v>
      </c>
      <c r="F13" s="82">
        <f>678+7+140</f>
        <v>825</v>
      </c>
      <c r="G13" s="82">
        <f>678+7+140</f>
        <v>825</v>
      </c>
      <c r="H13" s="82">
        <f>678+7+140</f>
        <v>825</v>
      </c>
      <c r="I13" s="82">
        <f>678+7+140</f>
        <v>825</v>
      </c>
      <c r="J13" s="119">
        <f>680+7+140</f>
        <v>827</v>
      </c>
      <c r="X13" s="31"/>
      <c r="AF13" s="30">
        <f>J9+J10+J11+J14+J18+J19+J20+J21+J24+J25+J26</f>
        <v>10780762.58</v>
      </c>
      <c r="AK13" s="23">
        <v>222</v>
      </c>
      <c r="AM13" s="23">
        <f>10522+120</f>
        <v>10642</v>
      </c>
    </row>
    <row r="14" spans="1:42" ht="18" customHeight="1">
      <c r="A14" s="182" t="s">
        <v>91</v>
      </c>
      <c r="B14" s="172" t="s">
        <v>88</v>
      </c>
      <c r="C14" s="48" t="s">
        <v>121</v>
      </c>
      <c r="D14" s="86" t="s">
        <v>38</v>
      </c>
      <c r="E14" s="86" t="s">
        <v>39</v>
      </c>
      <c r="F14" s="79">
        <f>7307+222+593</f>
        <v>8122</v>
      </c>
      <c r="G14" s="79">
        <v>7695</v>
      </c>
      <c r="H14" s="79">
        <v>7529</v>
      </c>
      <c r="I14" s="79">
        <v>7529</v>
      </c>
      <c r="J14" s="16">
        <f>2384</f>
        <v>2384</v>
      </c>
      <c r="K14" s="3"/>
      <c r="L14" s="3"/>
      <c r="M14" s="4"/>
      <c r="T14" t="s">
        <v>134</v>
      </c>
      <c r="X14" s="2"/>
      <c r="AF14" s="3">
        <f>AG14+AH14</f>
        <v>8122</v>
      </c>
      <c r="AG14">
        <v>7529</v>
      </c>
      <c r="AH14" s="3">
        <f>F14-AG14</f>
        <v>593</v>
      </c>
      <c r="AI14" s="3">
        <f>AH14+AK13</f>
        <v>815</v>
      </c>
      <c r="AK14">
        <v>2222.71</v>
      </c>
      <c r="AN14">
        <v>9623.3</v>
      </c>
      <c r="AO14">
        <v>9631.8</v>
      </c>
      <c r="AP14">
        <v>9631.8</v>
      </c>
    </row>
    <row r="15" spans="1:40" ht="18" customHeight="1">
      <c r="A15" s="182"/>
      <c r="B15" s="172"/>
      <c r="C15" s="120" t="s">
        <v>56</v>
      </c>
      <c r="D15" s="86" t="s">
        <v>55</v>
      </c>
      <c r="E15" s="86">
        <v>94878</v>
      </c>
      <c r="F15" s="79">
        <f>63015+4439+1766+33155</f>
        <v>102375</v>
      </c>
      <c r="G15" s="79">
        <f>63015+4439+1766+34151</f>
        <v>103371</v>
      </c>
      <c r="H15" s="79">
        <f>63015+4439+1766+34119</f>
        <v>103339</v>
      </c>
      <c r="I15" s="79">
        <f>63015+4439+1766+34119</f>
        <v>103339</v>
      </c>
      <c r="J15" s="16">
        <f>28403+67991</f>
        <v>96394</v>
      </c>
      <c r="K15" s="3"/>
      <c r="L15" s="3">
        <f>I30+I31+I32</f>
        <v>3072222</v>
      </c>
      <c r="M15" s="4">
        <v>56.9</v>
      </c>
      <c r="T15" t="s">
        <v>134</v>
      </c>
      <c r="U15" s="3"/>
      <c r="X15" s="2" t="s">
        <v>135</v>
      </c>
      <c r="AN15">
        <f>AM13-AN14</f>
        <v>1018.7000000000007</v>
      </c>
    </row>
    <row r="16" spans="1:34" ht="39.75" customHeight="1">
      <c r="A16" s="182"/>
      <c r="B16" s="172"/>
      <c r="C16" s="120" t="s">
        <v>57</v>
      </c>
      <c r="D16" s="86" t="s">
        <v>68</v>
      </c>
      <c r="E16" s="86">
        <v>1724</v>
      </c>
      <c r="F16" s="79">
        <f>4878</f>
        <v>4878</v>
      </c>
      <c r="G16" s="79">
        <v>5871</v>
      </c>
      <c r="H16" s="79">
        <v>5642</v>
      </c>
      <c r="I16" s="79">
        <v>5642</v>
      </c>
      <c r="J16" s="16">
        <v>2181</v>
      </c>
      <c r="K16" s="3"/>
      <c r="L16" s="3">
        <f>J30+J31+J32</f>
        <v>3727777.5</v>
      </c>
      <c r="M16">
        <f>L16*M15/L15</f>
        <v>69.0414103375342</v>
      </c>
      <c r="T16" t="s">
        <v>134</v>
      </c>
      <c r="U16" s="3"/>
      <c r="V16" s="3"/>
      <c r="X16" s="2"/>
      <c r="AF16">
        <f>3069</f>
        <v>3069</v>
      </c>
      <c r="AG16">
        <v>5642</v>
      </c>
      <c r="AH16" s="3">
        <f>AG16-F16</f>
        <v>764</v>
      </c>
    </row>
    <row r="17" spans="1:35" ht="28.5" customHeight="1">
      <c r="A17" s="182"/>
      <c r="B17" s="172"/>
      <c r="C17" s="120" t="s">
        <v>58</v>
      </c>
      <c r="D17" s="86" t="s">
        <v>40</v>
      </c>
      <c r="E17" s="86">
        <v>2173</v>
      </c>
      <c r="F17" s="79">
        <f>1580+1655</f>
        <v>3235</v>
      </c>
      <c r="G17" s="79">
        <v>1700</v>
      </c>
      <c r="H17" s="79">
        <v>1600</v>
      </c>
      <c r="I17" s="79">
        <v>1600</v>
      </c>
      <c r="J17" s="16">
        <v>1733</v>
      </c>
      <c r="L17" s="3">
        <f>H30+H31+H32</f>
        <v>3072222</v>
      </c>
      <c r="M17">
        <f>L17*M15/L15</f>
        <v>56.89999999999999</v>
      </c>
      <c r="T17" s="25" t="s">
        <v>39</v>
      </c>
      <c r="U17" s="3"/>
      <c r="X17" s="2"/>
      <c r="AF17" s="3">
        <f>G16-AF16</f>
        <v>2802</v>
      </c>
      <c r="AI17">
        <f>16554+2034+71.6</f>
        <v>18659.6</v>
      </c>
    </row>
    <row r="18" spans="1:33" ht="27" customHeight="1">
      <c r="A18" s="121" t="s">
        <v>92</v>
      </c>
      <c r="B18" s="122" t="s">
        <v>122</v>
      </c>
      <c r="C18" s="95" t="s">
        <v>78</v>
      </c>
      <c r="D18" s="96" t="s">
        <v>38</v>
      </c>
      <c r="E18" s="26">
        <v>193501.5</v>
      </c>
      <c r="F18" s="83">
        <f>137615.2+21809+2025+16316</f>
        <v>177765.2</v>
      </c>
      <c r="G18" s="83">
        <f>137615.2+21809+2025+16316</f>
        <v>177765.2</v>
      </c>
      <c r="H18" s="83">
        <f>137615.2+21809+2025+16316</f>
        <v>177765.2</v>
      </c>
      <c r="I18" s="83">
        <f>137615.2+21809+2025+16316</f>
        <v>177765.2</v>
      </c>
      <c r="J18" s="28">
        <f>123857.6+24640.2+1284+16316</f>
        <v>166097.80000000002</v>
      </c>
      <c r="L18" s="3">
        <f>G30+G31+G32</f>
        <v>3072222</v>
      </c>
      <c r="M18">
        <f>L18*M15/L15</f>
        <v>56.89999999999999</v>
      </c>
      <c r="T18" s="5" t="s">
        <v>136</v>
      </c>
      <c r="U18" s="3"/>
      <c r="X18" s="3"/>
      <c r="AF18">
        <f>76396+68315</f>
        <v>144711</v>
      </c>
      <c r="AG18">
        <v>146350</v>
      </c>
    </row>
    <row r="19" spans="1:46" ht="37.5" customHeight="1">
      <c r="A19" s="121" t="s">
        <v>93</v>
      </c>
      <c r="B19" s="122" t="s">
        <v>124</v>
      </c>
      <c r="C19" s="95" t="s">
        <v>126</v>
      </c>
      <c r="D19" s="96" t="s">
        <v>38</v>
      </c>
      <c r="E19" s="26" t="s">
        <v>39</v>
      </c>
      <c r="F19" s="79">
        <f>82486.3+232613.6+6401+33615.6+10437.5+24031+76396+68315</f>
        <v>534296</v>
      </c>
      <c r="G19" s="79">
        <f>82486.3+232613.6+6401+33615.6+10437.5+24031+146465</f>
        <v>536050</v>
      </c>
      <c r="H19" s="79">
        <f>82486.3+232613.6+6401+33615.6+10437.5+24031+146465</f>
        <v>536050</v>
      </c>
      <c r="I19" s="79">
        <f>82486.3+232613.6+6401+33615.6+10437.5+24031+146465</f>
        <v>536050</v>
      </c>
      <c r="J19" s="27">
        <f>296053.3+5718+32400.6+9458.6+17750+273957</f>
        <v>635337.5</v>
      </c>
      <c r="K19" s="21"/>
      <c r="L19" s="22"/>
      <c r="M19" s="21"/>
      <c r="N19" s="21"/>
      <c r="O19" s="21"/>
      <c r="P19" s="21"/>
      <c r="Q19" s="21"/>
      <c r="R19" s="21"/>
      <c r="S19" s="21"/>
      <c r="T19" s="23"/>
      <c r="U19" s="3"/>
      <c r="X19" s="2"/>
      <c r="AR19">
        <f>76396+68315</f>
        <v>144711</v>
      </c>
      <c r="AS19">
        <v>146465</v>
      </c>
      <c r="AT19">
        <f>AS19-AR19</f>
        <v>1754</v>
      </c>
    </row>
    <row r="20" spans="1:26" s="23" customFormat="1" ht="56.25" customHeight="1">
      <c r="A20" s="123" t="s">
        <v>94</v>
      </c>
      <c r="B20" s="48" t="s">
        <v>112</v>
      </c>
      <c r="C20" s="95" t="s">
        <v>77</v>
      </c>
      <c r="D20" s="117" t="s">
        <v>38</v>
      </c>
      <c r="E20" s="104">
        <v>2358</v>
      </c>
      <c r="F20" s="84">
        <f>'[1]Прил. 2'!F19</f>
        <v>7729.23</v>
      </c>
      <c r="G20" s="84">
        <f>4000+200+50+1805.02</f>
        <v>6055.02</v>
      </c>
      <c r="H20" s="84">
        <f>'[1]Прил. 2'!H19</f>
        <v>11256.29</v>
      </c>
      <c r="I20" s="50">
        <f>11256.29</f>
        <v>11256.29</v>
      </c>
      <c r="J20" s="119">
        <v>13480</v>
      </c>
      <c r="K20" s="70"/>
      <c r="L20" s="68"/>
      <c r="U20" s="31" t="e">
        <f>F35+F40+F42</f>
        <v>#VALUE!</v>
      </c>
      <c r="V20" s="23" t="e">
        <f>U20*#REF!/#REF!</f>
        <v>#VALUE!</v>
      </c>
      <c r="X20" s="62"/>
      <c r="Y20" s="62"/>
      <c r="Z20" s="62"/>
    </row>
    <row r="21" spans="1:26" s="23" customFormat="1" ht="50.25" customHeight="1">
      <c r="A21" s="123" t="s">
        <v>95</v>
      </c>
      <c r="B21" s="94" t="s">
        <v>123</v>
      </c>
      <c r="C21" s="95" t="s">
        <v>77</v>
      </c>
      <c r="D21" s="96" t="s">
        <v>38</v>
      </c>
      <c r="E21" s="15">
        <v>4557</v>
      </c>
      <c r="F21" s="79">
        <f>'[1]Прил. 2'!F20-2222.71</f>
        <v>570</v>
      </c>
      <c r="G21" s="81">
        <v>1113.35</v>
      </c>
      <c r="H21" s="79">
        <f>4600</f>
        <v>4600</v>
      </c>
      <c r="I21" s="79">
        <f>4600</f>
        <v>4600</v>
      </c>
      <c r="J21" s="33">
        <v>3038.17</v>
      </c>
      <c r="K21" s="70"/>
      <c r="L21" s="68"/>
      <c r="U21" s="31"/>
      <c r="X21" s="63"/>
      <c r="Y21" s="63"/>
      <c r="Z21" s="63"/>
    </row>
    <row r="22" spans="1:20" s="23" customFormat="1" ht="31.5" customHeight="1">
      <c r="A22" s="182" t="s">
        <v>96</v>
      </c>
      <c r="B22" s="187" t="s">
        <v>100</v>
      </c>
      <c r="C22" s="122" t="s">
        <v>60</v>
      </c>
      <c r="D22" s="86" t="s">
        <v>68</v>
      </c>
      <c r="E22" s="86">
        <v>115</v>
      </c>
      <c r="F22" s="15">
        <v>115</v>
      </c>
      <c r="G22" s="124">
        <v>115</v>
      </c>
      <c r="H22" s="124">
        <v>115</v>
      </c>
      <c r="I22" s="124">
        <v>115</v>
      </c>
      <c r="J22" s="125">
        <v>113</v>
      </c>
      <c r="T22" s="23" t="s">
        <v>134</v>
      </c>
    </row>
    <row r="23" spans="1:10" s="23" customFormat="1" ht="27" customHeight="1">
      <c r="A23" s="182"/>
      <c r="B23" s="187"/>
      <c r="C23" s="122" t="s">
        <v>83</v>
      </c>
      <c r="D23" s="86" t="s">
        <v>85</v>
      </c>
      <c r="E23" s="85" t="s">
        <v>39</v>
      </c>
      <c r="F23" s="85" t="s">
        <v>81</v>
      </c>
      <c r="G23" s="126" t="s">
        <v>190</v>
      </c>
      <c r="H23" s="126" t="s">
        <v>195</v>
      </c>
      <c r="I23" s="126" t="s">
        <v>195</v>
      </c>
      <c r="J23" s="127" t="s">
        <v>81</v>
      </c>
    </row>
    <row r="24" spans="1:10" s="23" customFormat="1" ht="34.5" customHeight="1">
      <c r="A24" s="123" t="s">
        <v>97</v>
      </c>
      <c r="B24" s="48" t="s">
        <v>111</v>
      </c>
      <c r="C24" s="122" t="s">
        <v>70</v>
      </c>
      <c r="D24" s="86" t="s">
        <v>38</v>
      </c>
      <c r="E24" s="86" t="s">
        <v>39</v>
      </c>
      <c r="F24" s="86">
        <f>278696-68729</f>
        <v>209967</v>
      </c>
      <c r="G24" s="128">
        <f>278696-68729</f>
        <v>209967</v>
      </c>
      <c r="H24" s="128">
        <f>278696-68729</f>
        <v>209967</v>
      </c>
      <c r="I24" s="128">
        <f>278696-68729</f>
        <v>209967</v>
      </c>
      <c r="J24" s="129">
        <f>278696-68729</f>
        <v>209967</v>
      </c>
    </row>
    <row r="25" spans="1:10" s="23" customFormat="1" ht="27" customHeight="1">
      <c r="A25" s="123" t="s">
        <v>98</v>
      </c>
      <c r="B25" s="48" t="s">
        <v>82</v>
      </c>
      <c r="C25" s="122" t="s">
        <v>132</v>
      </c>
      <c r="D25" s="86" t="s">
        <v>38</v>
      </c>
      <c r="E25" s="86" t="s">
        <v>39</v>
      </c>
      <c r="F25" s="86">
        <v>393856</v>
      </c>
      <c r="G25" s="128">
        <v>393856</v>
      </c>
      <c r="H25" s="128">
        <v>393856</v>
      </c>
      <c r="I25" s="128">
        <v>393856</v>
      </c>
      <c r="J25" s="129">
        <v>393856</v>
      </c>
    </row>
    <row r="26" spans="1:10" s="23" customFormat="1" ht="27" customHeight="1">
      <c r="A26" s="123" t="s">
        <v>99</v>
      </c>
      <c r="B26" s="48" t="s">
        <v>66</v>
      </c>
      <c r="C26" s="122" t="s">
        <v>59</v>
      </c>
      <c r="D26" s="86" t="s">
        <v>38</v>
      </c>
      <c r="E26" s="86">
        <v>67510</v>
      </c>
      <c r="F26" s="86">
        <v>67510</v>
      </c>
      <c r="G26" s="86">
        <v>67510</v>
      </c>
      <c r="H26" s="86">
        <v>67510</v>
      </c>
      <c r="I26" s="86">
        <v>67510</v>
      </c>
      <c r="J26" s="130">
        <v>67510</v>
      </c>
    </row>
    <row r="27" spans="1:10" s="23" customFormat="1" ht="73.5" customHeight="1">
      <c r="A27" s="123" t="s">
        <v>115</v>
      </c>
      <c r="B27" s="48" t="s">
        <v>67</v>
      </c>
      <c r="C27" s="122" t="s">
        <v>65</v>
      </c>
      <c r="D27" s="86" t="s">
        <v>61</v>
      </c>
      <c r="E27" s="86">
        <v>100</v>
      </c>
      <c r="F27" s="86">
        <v>100</v>
      </c>
      <c r="G27" s="86">
        <v>100</v>
      </c>
      <c r="H27" s="86">
        <v>100</v>
      </c>
      <c r="I27" s="86">
        <v>100</v>
      </c>
      <c r="J27" s="130">
        <v>100</v>
      </c>
    </row>
    <row r="28" spans="1:37" s="23" customFormat="1" ht="81.75" customHeight="1">
      <c r="A28" s="169" t="s">
        <v>116</v>
      </c>
      <c r="B28" s="170" t="s">
        <v>177</v>
      </c>
      <c r="C28" s="132" t="s">
        <v>170</v>
      </c>
      <c r="D28" s="133" t="s">
        <v>85</v>
      </c>
      <c r="E28" s="86" t="s">
        <v>39</v>
      </c>
      <c r="F28" s="86">
        <v>1</v>
      </c>
      <c r="G28" s="221">
        <v>12</v>
      </c>
      <c r="H28" s="86" t="s">
        <v>39</v>
      </c>
      <c r="I28" s="86" t="s">
        <v>39</v>
      </c>
      <c r="J28" s="130" t="s">
        <v>39</v>
      </c>
      <c r="AH28" s="23">
        <f>2932+229+2</f>
        <v>3163</v>
      </c>
      <c r="AI28" s="23">
        <f>2134+AH28</f>
        <v>5297</v>
      </c>
      <c r="AJ28" s="23">
        <v>1337</v>
      </c>
      <c r="AK28" s="23">
        <f>AI28+AJ28</f>
        <v>6634</v>
      </c>
    </row>
    <row r="29" spans="1:34" ht="25.5" customHeight="1">
      <c r="A29" s="188" t="s">
        <v>89</v>
      </c>
      <c r="B29" s="189"/>
      <c r="C29" s="189"/>
      <c r="D29" s="189"/>
      <c r="E29" s="189"/>
      <c r="F29" s="189"/>
      <c r="G29" s="189"/>
      <c r="H29" s="189"/>
      <c r="I29" s="189"/>
      <c r="J29" s="190"/>
      <c r="X29" s="5"/>
      <c r="Z29">
        <f>4.85</f>
        <v>4.85</v>
      </c>
      <c r="AA29">
        <v>200000</v>
      </c>
      <c r="AB29">
        <f>AA29*Z29%</f>
        <v>9699.999999999998</v>
      </c>
      <c r="AH29">
        <f>8743.3+4706+1256.7</f>
        <v>14706</v>
      </c>
    </row>
    <row r="30" spans="1:32" ht="29.25" customHeight="1">
      <c r="A30" s="134" t="s">
        <v>3</v>
      </c>
      <c r="B30" s="94" t="s">
        <v>23</v>
      </c>
      <c r="C30" s="95" t="s">
        <v>41</v>
      </c>
      <c r="D30" s="96" t="s">
        <v>38</v>
      </c>
      <c r="E30" s="87">
        <v>242110</v>
      </c>
      <c r="F30" s="87">
        <v>242110</v>
      </c>
      <c r="G30" s="87">
        <v>242110</v>
      </c>
      <c r="H30" s="87">
        <v>242110</v>
      </c>
      <c r="I30" s="87">
        <v>242110</v>
      </c>
      <c r="J30" s="135">
        <v>242110</v>
      </c>
      <c r="X30" s="2"/>
      <c r="AB30">
        <f>AB29/12</f>
        <v>808.3333333333331</v>
      </c>
      <c r="AC30">
        <f>AB30*4</f>
        <v>3233.3333333333326</v>
      </c>
      <c r="AF30" s="103">
        <f>F30+F31+F32</f>
        <v>3072222</v>
      </c>
    </row>
    <row r="31" spans="1:34" ht="29.25" customHeight="1">
      <c r="A31" s="134" t="s">
        <v>25</v>
      </c>
      <c r="B31" s="94" t="s">
        <v>24</v>
      </c>
      <c r="C31" s="95" t="s">
        <v>42</v>
      </c>
      <c r="D31" s="96" t="s">
        <v>38</v>
      </c>
      <c r="E31" s="87">
        <v>377395</v>
      </c>
      <c r="F31" s="87">
        <v>377395</v>
      </c>
      <c r="G31" s="87">
        <v>377395</v>
      </c>
      <c r="H31" s="87">
        <v>377395</v>
      </c>
      <c r="I31" s="87">
        <v>377395</v>
      </c>
      <c r="J31" s="135">
        <v>377395</v>
      </c>
      <c r="AH31">
        <f>1256.7+8743.3</f>
        <v>10000</v>
      </c>
    </row>
    <row r="32" spans="1:24" ht="38.25">
      <c r="A32" s="134" t="s">
        <v>26</v>
      </c>
      <c r="B32" s="94" t="s">
        <v>27</v>
      </c>
      <c r="C32" s="95" t="s">
        <v>43</v>
      </c>
      <c r="D32" s="96" t="s">
        <v>38</v>
      </c>
      <c r="E32" s="88">
        <v>3076722</v>
      </c>
      <c r="F32" s="88">
        <v>2452717</v>
      </c>
      <c r="G32" s="88">
        <v>2452717</v>
      </c>
      <c r="H32" s="88">
        <v>2452717</v>
      </c>
      <c r="I32" s="15">
        <v>2452717</v>
      </c>
      <c r="J32" s="136">
        <f>2452717+655555.5</f>
        <v>3108272.5</v>
      </c>
      <c r="X32" s="3">
        <f>I32-H32</f>
        <v>0</v>
      </c>
    </row>
    <row r="33" spans="1:36" ht="31.5" customHeight="1">
      <c r="A33" s="116" t="s">
        <v>31</v>
      </c>
      <c r="B33" s="94" t="s">
        <v>184</v>
      </c>
      <c r="C33" s="95" t="s">
        <v>43</v>
      </c>
      <c r="D33" s="96" t="s">
        <v>38</v>
      </c>
      <c r="E33" s="87">
        <v>169475</v>
      </c>
      <c r="F33" s="87">
        <f>169475+2808000</f>
        <v>2977475</v>
      </c>
      <c r="G33" s="87">
        <v>169475</v>
      </c>
      <c r="H33" s="87">
        <v>169475</v>
      </c>
      <c r="I33" s="87">
        <v>169475</v>
      </c>
      <c r="J33" s="135">
        <v>169475</v>
      </c>
      <c r="AF33">
        <v>2024</v>
      </c>
      <c r="AG33" s="2">
        <v>2021</v>
      </c>
      <c r="AH33">
        <v>2020</v>
      </c>
      <c r="AI33">
        <v>2022</v>
      </c>
      <c r="AJ33">
        <v>2023</v>
      </c>
    </row>
    <row r="34" spans="1:10" ht="29.25" customHeight="1" thickBot="1">
      <c r="A34" s="191" t="s">
        <v>44</v>
      </c>
      <c r="B34" s="192"/>
      <c r="C34" s="192"/>
      <c r="D34" s="192"/>
      <c r="E34" s="192"/>
      <c r="F34" s="192"/>
      <c r="G34" s="192"/>
      <c r="H34" s="192"/>
      <c r="I34" s="192"/>
      <c r="J34" s="193"/>
    </row>
    <row r="35" spans="1:36" s="23" customFormat="1" ht="31.5" customHeight="1">
      <c r="A35" s="137" t="s">
        <v>15</v>
      </c>
      <c r="B35" s="120" t="s">
        <v>11</v>
      </c>
      <c r="C35" s="138" t="s">
        <v>64</v>
      </c>
      <c r="D35" s="96" t="s">
        <v>38</v>
      </c>
      <c r="E35" s="139">
        <v>112989.8</v>
      </c>
      <c r="F35" s="26">
        <f>27777+200+84114.3+250+48.5+50+250+380</f>
        <v>113069.8</v>
      </c>
      <c r="G35" s="26">
        <f>27777+200+84114.3+250+48.5+50+250+380+40703+2190</f>
        <v>155962.8</v>
      </c>
      <c r="H35" s="26">
        <f>27777+200+84114.3+250+48.5+50+250+380+40703+2190</f>
        <v>155962.8</v>
      </c>
      <c r="I35" s="26">
        <f>27777+200+84114.3+250+48.5+50+250+380+40703+2190</f>
        <v>155962.8</v>
      </c>
      <c r="J35" s="28">
        <f>27777+200+84114.3+250+48.5+50+250+380+40703+14527.5</f>
        <v>168300.3</v>
      </c>
      <c r="T35" s="30">
        <f>H35+H40+H42</f>
        <v>2368376.3</v>
      </c>
      <c r="X35" s="76" t="e">
        <f>F35+F40+F42+F43</f>
        <v>#VALUE!</v>
      </c>
      <c r="Y35" s="77" t="e">
        <f>X35*Y36/X36</f>
        <v>#VALUE!</v>
      </c>
      <c r="AF35" s="195" t="s">
        <v>185</v>
      </c>
      <c r="AG35" s="196"/>
      <c r="AH35" s="196"/>
      <c r="AI35" s="106"/>
      <c r="AJ35" s="107"/>
    </row>
    <row r="36" spans="1:36" ht="33" customHeight="1">
      <c r="A36" s="137" t="s">
        <v>16</v>
      </c>
      <c r="B36" s="48" t="s">
        <v>107</v>
      </c>
      <c r="C36" s="95" t="s">
        <v>110</v>
      </c>
      <c r="D36" s="96" t="s">
        <v>40</v>
      </c>
      <c r="E36" s="15" t="s">
        <v>39</v>
      </c>
      <c r="F36" s="32">
        <v>14058.35</v>
      </c>
      <c r="G36" s="26">
        <v>12064.6</v>
      </c>
      <c r="H36" s="88">
        <v>12000</v>
      </c>
      <c r="I36" s="88">
        <v>12000</v>
      </c>
      <c r="J36" s="136">
        <v>14400</v>
      </c>
      <c r="T36">
        <f>T35*Y36/X36</f>
        <v>100</v>
      </c>
      <c r="X36" s="5">
        <f>I35+I40+I42</f>
        <v>2368376.3</v>
      </c>
      <c r="Y36">
        <v>100</v>
      </c>
      <c r="AF36" s="98">
        <f>J35+J40+J42</f>
        <v>2406013.8</v>
      </c>
      <c r="AG36" s="99">
        <f>G35+G40+G42+G44</f>
        <v>2372453.3</v>
      </c>
      <c r="AH36" s="99">
        <f>F35+F42+F43</f>
        <v>2188798.8</v>
      </c>
      <c r="AI36" s="99">
        <f>H35+H40+H42+H44</f>
        <v>2372453.3</v>
      </c>
      <c r="AJ36" s="100">
        <f>I35+I40+I42</f>
        <v>2368376.3</v>
      </c>
    </row>
    <row r="37" spans="1:36" ht="34.5" customHeight="1" thickBot="1">
      <c r="A37" s="200" t="s">
        <v>17</v>
      </c>
      <c r="B37" s="172" t="s">
        <v>22</v>
      </c>
      <c r="C37" s="95" t="s">
        <v>45</v>
      </c>
      <c r="D37" s="140" t="s">
        <v>46</v>
      </c>
      <c r="E37" s="50">
        <v>603.62</v>
      </c>
      <c r="F37" s="50">
        <f>825.53+368.78+1667.35+48.65+814.64+398.39+1062.73+99.59+1035.16+104.56+1681.78+140.17+873.88+20.743</f>
        <v>9141.953</v>
      </c>
      <c r="G37" s="104">
        <v>1140</v>
      </c>
      <c r="H37" s="141">
        <v>950</v>
      </c>
      <c r="I37" s="142">
        <v>1400</v>
      </c>
      <c r="J37" s="143">
        <v>2400</v>
      </c>
      <c r="AF37" s="101">
        <v>100</v>
      </c>
      <c r="AG37" s="102">
        <f>AF37*AG36/AF36</f>
        <v>98.6051410012694</v>
      </c>
      <c r="AH37" s="108">
        <f>AF37*AH36/AF36</f>
        <v>90.9719969187209</v>
      </c>
      <c r="AI37" s="102">
        <f>AI36*AF37/AF36</f>
        <v>98.6051410012694</v>
      </c>
      <c r="AJ37" s="109">
        <f>AJ36*AF37/AF36</f>
        <v>98.43569060160834</v>
      </c>
    </row>
    <row r="38" spans="1:10" ht="30.75" customHeight="1">
      <c r="A38" s="200"/>
      <c r="B38" s="172"/>
      <c r="C38" s="95" t="s">
        <v>47</v>
      </c>
      <c r="D38" s="140" t="s">
        <v>68</v>
      </c>
      <c r="E38" s="104">
        <v>90</v>
      </c>
      <c r="F38" s="104">
        <f>11+11+6+3+8</f>
        <v>39</v>
      </c>
      <c r="G38" s="104">
        <v>50</v>
      </c>
      <c r="H38" s="142">
        <v>50</v>
      </c>
      <c r="I38" s="142">
        <v>50</v>
      </c>
      <c r="J38" s="143">
        <v>200</v>
      </c>
    </row>
    <row r="39" spans="1:36" ht="28.5" customHeight="1">
      <c r="A39" s="137" t="s">
        <v>18</v>
      </c>
      <c r="B39" s="120" t="s">
        <v>12</v>
      </c>
      <c r="C39" s="95" t="s">
        <v>48</v>
      </c>
      <c r="D39" s="96" t="s">
        <v>40</v>
      </c>
      <c r="E39" s="139">
        <v>1421.4</v>
      </c>
      <c r="F39" s="15">
        <v>5365</v>
      </c>
      <c r="G39" s="26">
        <v>3839.5</v>
      </c>
      <c r="H39" s="144">
        <v>1124.107</v>
      </c>
      <c r="I39" s="145">
        <v>2617</v>
      </c>
      <c r="J39" s="146">
        <v>4000</v>
      </c>
      <c r="AF39" s="3">
        <f>F39-4656</f>
        <v>709</v>
      </c>
      <c r="AH39" s="5" t="e">
        <f>F35+F40+F42</f>
        <v>#VALUE!</v>
      </c>
      <c r="AI39" s="5" t="e">
        <f>G35+G40+G42+F43+F44</f>
        <v>#VALUE!</v>
      </c>
      <c r="AJ39" s="5">
        <f>J35+J40+J42</f>
        <v>2406013.8</v>
      </c>
    </row>
    <row r="40" spans="1:36" s="23" customFormat="1" ht="27.75" customHeight="1">
      <c r="A40" s="137" t="s">
        <v>19</v>
      </c>
      <c r="B40" s="120" t="s">
        <v>13</v>
      </c>
      <c r="C40" s="95" t="s">
        <v>49</v>
      </c>
      <c r="D40" s="117" t="s">
        <v>50</v>
      </c>
      <c r="E40" s="104">
        <v>21785</v>
      </c>
      <c r="F40" s="17" t="s">
        <v>39</v>
      </c>
      <c r="G40" s="17">
        <v>141441.5</v>
      </c>
      <c r="H40" s="17">
        <v>141441.5</v>
      </c>
      <c r="I40" s="17">
        <v>141441.5</v>
      </c>
      <c r="J40" s="18">
        <f>1.5+11640+45300+1800+2000+5500+100000+500</f>
        <v>166741.5</v>
      </c>
      <c r="AF40" s="30" t="e">
        <f>G40-F40</f>
        <v>#VALUE!</v>
      </c>
      <c r="AH40" s="23" t="e">
        <f>AH39*AJ40/AJ39</f>
        <v>#VALUE!</v>
      </c>
      <c r="AI40" s="23" t="e">
        <f>AI39*AJ40/AJ39</f>
        <v>#VALUE!</v>
      </c>
      <c r="AJ40" s="23">
        <v>100</v>
      </c>
    </row>
    <row r="41" spans="1:10" ht="30" customHeight="1">
      <c r="A41" s="137" t="s">
        <v>20</v>
      </c>
      <c r="B41" s="120" t="s">
        <v>14</v>
      </c>
      <c r="C41" s="95" t="s">
        <v>51</v>
      </c>
      <c r="D41" s="96" t="s">
        <v>40</v>
      </c>
      <c r="E41" s="87">
        <v>1900</v>
      </c>
      <c r="F41" s="15">
        <f>2400-82</f>
        <v>2318</v>
      </c>
      <c r="G41" s="15">
        <v>2850</v>
      </c>
      <c r="H41" s="15">
        <v>2850</v>
      </c>
      <c r="I41" s="15">
        <v>2850</v>
      </c>
      <c r="J41" s="136">
        <v>3400</v>
      </c>
    </row>
    <row r="42" spans="1:22" s="23" customFormat="1" ht="27" customHeight="1">
      <c r="A42" s="137" t="s">
        <v>29</v>
      </c>
      <c r="B42" s="120" t="s">
        <v>28</v>
      </c>
      <c r="C42" s="95" t="s">
        <v>52</v>
      </c>
      <c r="D42" s="96" t="s">
        <v>38</v>
      </c>
      <c r="E42" s="139">
        <v>1460111.1</v>
      </c>
      <c r="F42" s="15">
        <v>2070972</v>
      </c>
      <c r="G42" s="15">
        <v>2070972</v>
      </c>
      <c r="H42" s="15">
        <v>2070972</v>
      </c>
      <c r="I42" s="15">
        <v>2070972</v>
      </c>
      <c r="J42" s="16">
        <v>2070972</v>
      </c>
      <c r="V42" s="30"/>
    </row>
    <row r="43" spans="1:36" ht="41.25" customHeight="1">
      <c r="A43" s="137" t="s">
        <v>127</v>
      </c>
      <c r="B43" s="147" t="s">
        <v>174</v>
      </c>
      <c r="C43" s="120" t="s">
        <v>129</v>
      </c>
      <c r="D43" s="96" t="s">
        <v>38</v>
      </c>
      <c r="E43" s="139" t="s">
        <v>39</v>
      </c>
      <c r="F43" s="15">
        <v>4757</v>
      </c>
      <c r="G43" s="15" t="s">
        <v>39</v>
      </c>
      <c r="H43" s="15" t="s">
        <v>39</v>
      </c>
      <c r="I43" s="15" t="s">
        <v>39</v>
      </c>
      <c r="J43" s="16" t="s">
        <v>39</v>
      </c>
      <c r="V43" s="5"/>
      <c r="AG43">
        <f>161079.5-66241.5</f>
        <v>94838</v>
      </c>
      <c r="AH43">
        <f>3638+950+14706+4500</f>
        <v>23794</v>
      </c>
      <c r="AI43">
        <f>43+443+18+132+3+692+353+1086</f>
        <v>2770</v>
      </c>
      <c r="AJ43">
        <f>2134+132+18+443+43</f>
        <v>2770</v>
      </c>
    </row>
    <row r="44" spans="1:33" s="23" customFormat="1" ht="33" customHeight="1">
      <c r="A44" s="169" t="s">
        <v>164</v>
      </c>
      <c r="B44" s="131" t="s">
        <v>175</v>
      </c>
      <c r="C44" s="132" t="s">
        <v>176</v>
      </c>
      <c r="D44" s="133" t="s">
        <v>38</v>
      </c>
      <c r="E44" s="139" t="s">
        <v>39</v>
      </c>
      <c r="F44" s="97" t="s">
        <v>39</v>
      </c>
      <c r="G44" s="15">
        <v>4077</v>
      </c>
      <c r="H44" s="15">
        <v>4077</v>
      </c>
      <c r="I44" s="15" t="s">
        <v>39</v>
      </c>
      <c r="J44" s="16" t="s">
        <v>39</v>
      </c>
      <c r="V44" s="30"/>
      <c r="AG44" s="23">
        <f>1890+1057</f>
        <v>2947</v>
      </c>
    </row>
    <row r="45" spans="1:22" s="23" customFormat="1" ht="33" customHeight="1">
      <c r="A45" s="169" t="s">
        <v>165</v>
      </c>
      <c r="B45" s="148" t="s">
        <v>172</v>
      </c>
      <c r="C45" s="132" t="s">
        <v>52</v>
      </c>
      <c r="D45" s="133" t="s">
        <v>38</v>
      </c>
      <c r="E45" s="139" t="s">
        <v>39</v>
      </c>
      <c r="F45" s="97">
        <v>2070972</v>
      </c>
      <c r="G45" s="97">
        <v>2070972</v>
      </c>
      <c r="H45" s="97">
        <v>2070972</v>
      </c>
      <c r="I45" s="97">
        <v>2070972</v>
      </c>
      <c r="J45" s="16" t="s">
        <v>39</v>
      </c>
      <c r="V45" s="30"/>
    </row>
    <row r="46" spans="1:22" s="23" customFormat="1" ht="48.75" customHeight="1">
      <c r="A46" s="169" t="s">
        <v>166</v>
      </c>
      <c r="B46" s="131" t="s">
        <v>167</v>
      </c>
      <c r="C46" s="132" t="s">
        <v>173</v>
      </c>
      <c r="D46" s="133" t="s">
        <v>85</v>
      </c>
      <c r="E46" s="87">
        <v>1</v>
      </c>
      <c r="F46" s="89">
        <v>1</v>
      </c>
      <c r="G46" s="15" t="s">
        <v>39</v>
      </c>
      <c r="H46" s="15" t="s">
        <v>39</v>
      </c>
      <c r="I46" s="15" t="s">
        <v>39</v>
      </c>
      <c r="J46" s="16" t="s">
        <v>39</v>
      </c>
      <c r="V46" s="30"/>
    </row>
    <row r="47" spans="1:22" s="93" customFormat="1" ht="41.25" customHeight="1">
      <c r="A47" s="169" t="s">
        <v>189</v>
      </c>
      <c r="B47" s="131" t="s">
        <v>193</v>
      </c>
      <c r="C47" s="132" t="s">
        <v>194</v>
      </c>
      <c r="D47" s="133" t="s">
        <v>38</v>
      </c>
      <c r="E47" s="87" t="s">
        <v>39</v>
      </c>
      <c r="F47" s="89" t="s">
        <v>39</v>
      </c>
      <c r="G47" s="97">
        <v>47299</v>
      </c>
      <c r="H47" s="97">
        <v>357052</v>
      </c>
      <c r="I47" s="97">
        <v>1053190</v>
      </c>
      <c r="J47" s="16" t="s">
        <v>39</v>
      </c>
      <c r="V47" s="168"/>
    </row>
    <row r="48" spans="1:22" ht="26.25" customHeight="1">
      <c r="A48" s="173" t="s">
        <v>103</v>
      </c>
      <c r="B48" s="174"/>
      <c r="C48" s="174"/>
      <c r="D48" s="174"/>
      <c r="E48" s="174"/>
      <c r="F48" s="174"/>
      <c r="G48" s="174"/>
      <c r="H48" s="174"/>
      <c r="I48" s="174"/>
      <c r="J48" s="175"/>
      <c r="K48">
        <v>185184</v>
      </c>
      <c r="L48" s="3" t="e">
        <f>I52-K48</f>
        <v>#VALUE!</v>
      </c>
      <c r="V48" s="3"/>
    </row>
    <row r="49" spans="1:33" s="23" customFormat="1" ht="21" customHeight="1">
      <c r="A49" s="205" t="s">
        <v>4</v>
      </c>
      <c r="B49" s="203" t="s">
        <v>158</v>
      </c>
      <c r="C49" s="149" t="s">
        <v>62</v>
      </c>
      <c r="D49" s="86" t="s">
        <v>68</v>
      </c>
      <c r="E49" s="86">
        <v>5</v>
      </c>
      <c r="F49" s="86">
        <f>20+2+4+1</f>
        <v>27</v>
      </c>
      <c r="G49" s="86">
        <f>13+2</f>
        <v>15</v>
      </c>
      <c r="H49" s="86">
        <f>13+2</f>
        <v>15</v>
      </c>
      <c r="I49" s="86">
        <f>13+2</f>
        <v>15</v>
      </c>
      <c r="J49" s="130">
        <v>18</v>
      </c>
      <c r="K49" s="74">
        <f aca="true" t="shared" si="1" ref="K49:S49">15+2</f>
        <v>17</v>
      </c>
      <c r="L49" s="14">
        <f t="shared" si="1"/>
        <v>17</v>
      </c>
      <c r="M49" s="14">
        <f t="shared" si="1"/>
        <v>17</v>
      </c>
      <c r="N49" s="14">
        <f t="shared" si="1"/>
        <v>17</v>
      </c>
      <c r="O49" s="14">
        <f t="shared" si="1"/>
        <v>17</v>
      </c>
      <c r="P49" s="14">
        <f t="shared" si="1"/>
        <v>17</v>
      </c>
      <c r="Q49" s="14">
        <f t="shared" si="1"/>
        <v>17</v>
      </c>
      <c r="R49" s="14">
        <f t="shared" si="1"/>
        <v>17</v>
      </c>
      <c r="S49" s="14">
        <f t="shared" si="1"/>
        <v>17</v>
      </c>
      <c r="T49" s="23" t="s">
        <v>162</v>
      </c>
      <c r="V49" s="31"/>
      <c r="AF49" s="23" t="s">
        <v>188</v>
      </c>
      <c r="AG49" s="23" t="s">
        <v>186</v>
      </c>
    </row>
    <row r="50" spans="1:36" s="23" customFormat="1" ht="21" customHeight="1">
      <c r="A50" s="206"/>
      <c r="B50" s="204"/>
      <c r="C50" s="149" t="s">
        <v>159</v>
      </c>
      <c r="D50" s="86" t="s">
        <v>38</v>
      </c>
      <c r="E50" s="86" t="s">
        <v>39</v>
      </c>
      <c r="F50" s="86">
        <v>474.7</v>
      </c>
      <c r="G50" s="86">
        <v>94.8</v>
      </c>
      <c r="H50" s="86">
        <v>94.8</v>
      </c>
      <c r="I50" s="86">
        <v>94.8</v>
      </c>
      <c r="J50" s="130" t="s">
        <v>39</v>
      </c>
      <c r="K50" s="75"/>
      <c r="L50" s="75"/>
      <c r="M50" s="75"/>
      <c r="N50" s="75"/>
      <c r="O50" s="75"/>
      <c r="P50" s="75"/>
      <c r="Q50" s="75"/>
      <c r="R50" s="75"/>
      <c r="S50" s="75"/>
      <c r="T50" s="23" t="s">
        <v>160</v>
      </c>
      <c r="V50" s="31"/>
      <c r="AF50" s="23">
        <f>474.7-223</f>
        <v>251.7</v>
      </c>
      <c r="AG50" s="23">
        <f>0.04*100</f>
        <v>4</v>
      </c>
      <c r="AH50" s="23">
        <f>0.006*10000</f>
        <v>60</v>
      </c>
      <c r="AI50" s="23">
        <f>2.07*100</f>
        <v>206.99999999999997</v>
      </c>
      <c r="AJ50" s="23">
        <f>AI50+AH50+AG50+AF50-60</f>
        <v>462.70000000000005</v>
      </c>
    </row>
    <row r="51" spans="1:33" s="23" customFormat="1" ht="21" customHeight="1">
      <c r="A51" s="207"/>
      <c r="B51" s="201"/>
      <c r="C51" s="149" t="s">
        <v>161</v>
      </c>
      <c r="D51" s="86" t="s">
        <v>68</v>
      </c>
      <c r="E51" s="86" t="s">
        <v>39</v>
      </c>
      <c r="F51" s="86">
        <v>12</v>
      </c>
      <c r="G51" s="86" t="s">
        <v>39</v>
      </c>
      <c r="H51" s="86" t="s">
        <v>39</v>
      </c>
      <c r="I51" s="86" t="s">
        <v>39</v>
      </c>
      <c r="J51" s="130" t="s">
        <v>39</v>
      </c>
      <c r="K51" s="75"/>
      <c r="L51" s="75"/>
      <c r="M51" s="75"/>
      <c r="N51" s="75"/>
      <c r="O51" s="75"/>
      <c r="P51" s="75"/>
      <c r="Q51" s="75"/>
      <c r="R51" s="75"/>
      <c r="S51" s="75"/>
      <c r="T51" s="23" t="s">
        <v>160</v>
      </c>
      <c r="V51" s="31"/>
      <c r="AG51" s="23">
        <f>0.228*1000</f>
        <v>228</v>
      </c>
    </row>
    <row r="52" spans="1:22" s="23" customFormat="1" ht="31.5" customHeight="1">
      <c r="A52" s="137" t="s">
        <v>7</v>
      </c>
      <c r="B52" s="48" t="s">
        <v>106</v>
      </c>
      <c r="C52" s="147" t="s">
        <v>63</v>
      </c>
      <c r="D52" s="86" t="s">
        <v>38</v>
      </c>
      <c r="E52" s="86">
        <v>185184</v>
      </c>
      <c r="F52" s="86" t="s">
        <v>39</v>
      </c>
      <c r="G52" s="86" t="s">
        <v>39</v>
      </c>
      <c r="H52" s="86" t="s">
        <v>39</v>
      </c>
      <c r="I52" s="86" t="s">
        <v>39</v>
      </c>
      <c r="J52" s="130">
        <f>21292+8200+10000+30000+2500+76550+4120+86935</f>
        <v>239597</v>
      </c>
      <c r="L52" s="31"/>
      <c r="V52" s="31"/>
    </row>
    <row r="53" spans="1:34" s="23" customFormat="1" ht="31.5" customHeight="1">
      <c r="A53" s="200" t="s">
        <v>10</v>
      </c>
      <c r="B53" s="187" t="s">
        <v>30</v>
      </c>
      <c r="C53" s="122" t="s">
        <v>80</v>
      </c>
      <c r="D53" s="86" t="s">
        <v>68</v>
      </c>
      <c r="E53" s="15">
        <v>30</v>
      </c>
      <c r="F53" s="15">
        <f>30+5</f>
        <v>35</v>
      </c>
      <c r="G53" s="15">
        <v>36</v>
      </c>
      <c r="H53" s="15">
        <v>36</v>
      </c>
      <c r="I53" s="15">
        <v>36</v>
      </c>
      <c r="J53" s="16">
        <v>17</v>
      </c>
      <c r="T53" s="23" t="s">
        <v>146</v>
      </c>
      <c r="V53" s="30"/>
      <c r="Y53" s="23" t="s">
        <v>131</v>
      </c>
      <c r="AF53" s="110" t="s">
        <v>187</v>
      </c>
      <c r="AG53" s="194" t="s">
        <v>192</v>
      </c>
      <c r="AH53" s="194"/>
    </row>
    <row r="54" spans="1:22" s="23" customFormat="1" ht="36" customHeight="1">
      <c r="A54" s="200"/>
      <c r="B54" s="187"/>
      <c r="C54" s="122" t="s">
        <v>128</v>
      </c>
      <c r="D54" s="86" t="s">
        <v>68</v>
      </c>
      <c r="E54" s="15" t="s">
        <v>39</v>
      </c>
      <c r="F54" s="15">
        <v>348</v>
      </c>
      <c r="G54" s="15">
        <v>348</v>
      </c>
      <c r="H54" s="15">
        <v>348</v>
      </c>
      <c r="I54" s="15">
        <v>348</v>
      </c>
      <c r="J54" s="16" t="s">
        <v>39</v>
      </c>
      <c r="V54" s="30"/>
    </row>
    <row r="55" spans="1:10" s="23" customFormat="1" ht="36.75" customHeight="1">
      <c r="A55" s="200"/>
      <c r="B55" s="187"/>
      <c r="C55" s="122" t="s">
        <v>69</v>
      </c>
      <c r="D55" s="86" t="s">
        <v>68</v>
      </c>
      <c r="E55" s="86" t="s">
        <v>39</v>
      </c>
      <c r="F55" s="86">
        <v>562</v>
      </c>
      <c r="G55" s="86">
        <v>562</v>
      </c>
      <c r="H55" s="86">
        <v>562</v>
      </c>
      <c r="I55" s="86">
        <v>562</v>
      </c>
      <c r="J55" s="130">
        <v>562</v>
      </c>
    </row>
    <row r="56" spans="1:10" ht="29.25" customHeight="1">
      <c r="A56" s="197" t="s">
        <v>104</v>
      </c>
      <c r="B56" s="198"/>
      <c r="C56" s="198"/>
      <c r="D56" s="198"/>
      <c r="E56" s="198"/>
      <c r="F56" s="198"/>
      <c r="G56" s="198"/>
      <c r="H56" s="198"/>
      <c r="I56" s="198"/>
      <c r="J56" s="199"/>
    </row>
    <row r="57" spans="1:10" ht="37.5" customHeight="1">
      <c r="A57" s="121" t="s">
        <v>9</v>
      </c>
      <c r="B57" s="48" t="s">
        <v>108</v>
      </c>
      <c r="C57" s="122" t="s">
        <v>109</v>
      </c>
      <c r="D57" s="86" t="s">
        <v>68</v>
      </c>
      <c r="E57" s="86">
        <v>544</v>
      </c>
      <c r="F57" s="86">
        <f>619-39</f>
        <v>580</v>
      </c>
      <c r="G57" s="86">
        <f>341+219</f>
        <v>560</v>
      </c>
      <c r="H57" s="86" t="s">
        <v>39</v>
      </c>
      <c r="I57" s="86" t="s">
        <v>39</v>
      </c>
      <c r="J57" s="130" t="s">
        <v>79</v>
      </c>
    </row>
    <row r="58" spans="1:10" ht="30" customHeight="1">
      <c r="A58" s="184" t="s">
        <v>183</v>
      </c>
      <c r="B58" s="185"/>
      <c r="C58" s="185"/>
      <c r="D58" s="185"/>
      <c r="E58" s="185"/>
      <c r="F58" s="185"/>
      <c r="G58" s="185"/>
      <c r="H58" s="185"/>
      <c r="I58" s="185"/>
      <c r="J58" s="186"/>
    </row>
    <row r="59" spans="1:10" s="23" customFormat="1" ht="35.25" customHeight="1">
      <c r="A59" s="202" t="s">
        <v>178</v>
      </c>
      <c r="B59" s="201" t="s">
        <v>191</v>
      </c>
      <c r="C59" s="151" t="s">
        <v>110</v>
      </c>
      <c r="D59" s="152" t="s">
        <v>40</v>
      </c>
      <c r="E59" s="153" t="s">
        <v>39</v>
      </c>
      <c r="F59" s="105">
        <f>2905.5+6318.35</f>
        <v>9223.85</v>
      </c>
      <c r="G59" s="154">
        <f>4813+50</f>
        <v>4863</v>
      </c>
      <c r="H59" s="154">
        <f>4813+50</f>
        <v>4863</v>
      </c>
      <c r="I59" s="154">
        <f>4813+50</f>
        <v>4863</v>
      </c>
      <c r="J59" s="155">
        <v>7692</v>
      </c>
    </row>
    <row r="60" spans="1:10" s="23" customFormat="1" ht="40.5" customHeight="1">
      <c r="A60" s="182"/>
      <c r="B60" s="187"/>
      <c r="C60" s="95" t="s">
        <v>169</v>
      </c>
      <c r="D60" s="117" t="s">
        <v>68</v>
      </c>
      <c r="E60" s="17" t="s">
        <v>39</v>
      </c>
      <c r="F60" s="79">
        <v>6</v>
      </c>
      <c r="G60" s="156">
        <v>20</v>
      </c>
      <c r="H60" s="156">
        <v>20</v>
      </c>
      <c r="I60" s="156">
        <v>20</v>
      </c>
      <c r="J60" s="157" t="s">
        <v>39</v>
      </c>
    </row>
    <row r="61" spans="1:10" ht="30" customHeight="1">
      <c r="A61" s="158" t="s">
        <v>179</v>
      </c>
      <c r="B61" s="150" t="s">
        <v>137</v>
      </c>
      <c r="C61" s="95" t="s">
        <v>157</v>
      </c>
      <c r="D61" s="117" t="s">
        <v>40</v>
      </c>
      <c r="E61" s="17" t="s">
        <v>39</v>
      </c>
      <c r="F61" s="82">
        <f>1685-935</f>
        <v>750</v>
      </c>
      <c r="G61" s="82" t="s">
        <v>39</v>
      </c>
      <c r="H61" s="82" t="s">
        <v>39</v>
      </c>
      <c r="I61" s="159" t="s">
        <v>39</v>
      </c>
      <c r="J61" s="29" t="s">
        <v>39</v>
      </c>
    </row>
    <row r="62" spans="1:10" ht="32.25" customHeight="1">
      <c r="A62" s="158" t="s">
        <v>180</v>
      </c>
      <c r="B62" s="150" t="s">
        <v>138</v>
      </c>
      <c r="C62" s="95" t="s">
        <v>139</v>
      </c>
      <c r="D62" s="117" t="s">
        <v>140</v>
      </c>
      <c r="E62" s="17" t="s">
        <v>39</v>
      </c>
      <c r="F62" s="82">
        <v>563</v>
      </c>
      <c r="G62" s="82">
        <v>563</v>
      </c>
      <c r="H62" s="82">
        <v>563</v>
      </c>
      <c r="I62" s="82">
        <v>563</v>
      </c>
      <c r="J62" s="29" t="s">
        <v>39</v>
      </c>
    </row>
    <row r="63" spans="1:10" s="23" customFormat="1" ht="45" customHeight="1">
      <c r="A63" s="158" t="s">
        <v>182</v>
      </c>
      <c r="B63" s="170" t="s">
        <v>168</v>
      </c>
      <c r="C63" s="132" t="s">
        <v>171</v>
      </c>
      <c r="D63" s="133" t="s">
        <v>85</v>
      </c>
      <c r="E63" s="86" t="s">
        <v>39</v>
      </c>
      <c r="F63" s="86">
        <v>57</v>
      </c>
      <c r="G63" s="86">
        <v>80</v>
      </c>
      <c r="H63" s="86">
        <v>35</v>
      </c>
      <c r="I63" s="86">
        <v>35</v>
      </c>
      <c r="J63" s="130" t="s">
        <v>39</v>
      </c>
    </row>
    <row r="64" spans="1:10" ht="45.75" customHeight="1" thickBot="1">
      <c r="A64" s="160" t="s">
        <v>181</v>
      </c>
      <c r="B64" s="161" t="s">
        <v>145</v>
      </c>
      <c r="C64" s="162" t="s">
        <v>141</v>
      </c>
      <c r="D64" s="163" t="s">
        <v>68</v>
      </c>
      <c r="E64" s="164" t="s">
        <v>39</v>
      </c>
      <c r="F64" s="90">
        <v>5</v>
      </c>
      <c r="G64" s="165" t="s">
        <v>39</v>
      </c>
      <c r="H64" s="165" t="s">
        <v>39</v>
      </c>
      <c r="I64" s="72" t="s">
        <v>39</v>
      </c>
      <c r="J64" s="73" t="s">
        <v>39</v>
      </c>
    </row>
    <row r="65" spans="1:10" ht="20.25" customHeight="1">
      <c r="A65" s="92"/>
      <c r="B65" s="166" t="s">
        <v>102</v>
      </c>
      <c r="C65" s="166"/>
      <c r="D65" s="91"/>
      <c r="E65" s="91"/>
      <c r="F65" s="91"/>
      <c r="G65" s="92"/>
      <c r="H65" s="92"/>
      <c r="I65" s="92"/>
      <c r="J65" s="92"/>
    </row>
    <row r="66" spans="1:10" ht="15">
      <c r="A66" s="92"/>
      <c r="B66" s="112"/>
      <c r="C66" s="167"/>
      <c r="D66" s="92"/>
      <c r="E66" s="92"/>
      <c r="F66" s="92"/>
      <c r="G66" s="92"/>
      <c r="H66" s="92"/>
      <c r="I66" s="92"/>
      <c r="J66" s="92"/>
    </row>
    <row r="67" spans="1:10" ht="15">
      <c r="A67" s="93"/>
      <c r="B67" s="93"/>
      <c r="C67" s="93"/>
      <c r="D67" s="93"/>
      <c r="E67" s="93"/>
      <c r="G67" s="93"/>
      <c r="H67" s="93"/>
      <c r="I67" s="93"/>
      <c r="J67" s="93"/>
    </row>
    <row r="68" spans="1:10" ht="15">
      <c r="A68" s="93"/>
      <c r="B68" s="93"/>
      <c r="C68" s="93"/>
      <c r="D68" s="93"/>
      <c r="E68" s="93"/>
      <c r="G68" s="93"/>
      <c r="H68" s="93"/>
      <c r="I68" s="93"/>
      <c r="J68" s="93"/>
    </row>
  </sheetData>
  <sheetProtection/>
  <mergeCells count="32">
    <mergeCell ref="F1:J1"/>
    <mergeCell ref="E4:E5"/>
    <mergeCell ref="A14:A17"/>
    <mergeCell ref="A7:J7"/>
    <mergeCell ref="A8:J8"/>
    <mergeCell ref="B53:B55"/>
    <mergeCell ref="AG53:AH53"/>
    <mergeCell ref="AF35:AH35"/>
    <mergeCell ref="A56:J56"/>
    <mergeCell ref="A37:A38"/>
    <mergeCell ref="A53:A55"/>
    <mergeCell ref="B59:B60"/>
    <mergeCell ref="A59:A60"/>
    <mergeCell ref="B49:B51"/>
    <mergeCell ref="A49:A51"/>
    <mergeCell ref="F4:J4"/>
    <mergeCell ref="B11:B13"/>
    <mergeCell ref="A58:J58"/>
    <mergeCell ref="B22:B23"/>
    <mergeCell ref="A29:J29"/>
    <mergeCell ref="A34:J34"/>
    <mergeCell ref="D4:D5"/>
    <mergeCell ref="A11:A13"/>
    <mergeCell ref="B14:B17"/>
    <mergeCell ref="A48:J48"/>
    <mergeCell ref="B37:B38"/>
    <mergeCell ref="F2:J2"/>
    <mergeCell ref="A3:J3"/>
    <mergeCell ref="A4:A5"/>
    <mergeCell ref="B4:B5"/>
    <mergeCell ref="C4:C5"/>
    <mergeCell ref="A22:A23"/>
  </mergeCells>
  <printOptions/>
  <pageMargins left="0.7086614173228347" right="0.7086614173228347" top="0.7480314960629921" bottom="0.7480314960629921" header="0.31496062992125984" footer="0.31496062992125984"/>
  <pageSetup firstPageNumber="9" useFirstPageNumber="1" horizontalDpi="600" verticalDpi="600" orientation="landscape" paperSize="9" scale="81" r:id="rId1"/>
  <headerFooter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85"/>
  <sheetViews>
    <sheetView zoomScalePageLayoutView="0" workbookViewId="0" topLeftCell="H41">
      <selection activeCell="X56" sqref="X56"/>
    </sheetView>
  </sheetViews>
  <sheetFormatPr defaultColWidth="9.140625" defaultRowHeight="15"/>
  <cols>
    <col min="2" max="2" width="41.57421875" style="0" customWidth="1"/>
    <col min="3" max="3" width="18.421875" style="0" customWidth="1"/>
    <col min="4" max="4" width="11.7109375" style="0" customWidth="1"/>
    <col min="6" max="6" width="12.28125" style="0" customWidth="1"/>
    <col min="8" max="8" width="11.140625" style="0" bestFit="1" customWidth="1"/>
    <col min="9" max="9" width="10.57421875" style="0" bestFit="1" customWidth="1"/>
    <col min="20" max="20" width="11.57421875" style="0" bestFit="1" customWidth="1"/>
    <col min="24" max="24" width="54.140625" style="0" customWidth="1"/>
    <col min="25" max="25" width="14.7109375" style="0" customWidth="1"/>
  </cols>
  <sheetData>
    <row r="1" ht="15">
      <c r="F1" t="s">
        <v>155</v>
      </c>
    </row>
    <row r="2" spans="1:6" ht="15">
      <c r="A2" s="52" t="s">
        <v>32</v>
      </c>
      <c r="B2" s="52" t="s">
        <v>150</v>
      </c>
      <c r="C2" s="52" t="s">
        <v>151</v>
      </c>
      <c r="D2" s="52" t="s">
        <v>147</v>
      </c>
      <c r="E2" s="52" t="s">
        <v>148</v>
      </c>
      <c r="F2" s="52" t="s">
        <v>149</v>
      </c>
    </row>
    <row r="3" spans="1:27" ht="15" customHeight="1">
      <c r="A3" s="216" t="s">
        <v>0</v>
      </c>
      <c r="B3" s="217" t="s">
        <v>113</v>
      </c>
      <c r="C3" s="36" t="s">
        <v>5</v>
      </c>
      <c r="D3" s="11">
        <v>38260.5</v>
      </c>
      <c r="E3" s="1">
        <v>45433.3</v>
      </c>
      <c r="F3" s="44">
        <f>E3-D3</f>
        <v>7172.800000000003</v>
      </c>
      <c r="W3" s="49" t="s">
        <v>32</v>
      </c>
      <c r="X3" s="49" t="s">
        <v>150</v>
      </c>
      <c r="Y3" s="49" t="s">
        <v>147</v>
      </c>
      <c r="Z3" s="49" t="s">
        <v>148</v>
      </c>
      <c r="AA3" s="49" t="s">
        <v>149</v>
      </c>
    </row>
    <row r="4" spans="1:28" ht="30.75" customHeight="1">
      <c r="A4" s="216"/>
      <c r="B4" s="217"/>
      <c r="C4" s="36" t="s">
        <v>125</v>
      </c>
      <c r="D4" s="8">
        <v>20398</v>
      </c>
      <c r="E4" s="1">
        <v>28059.5</v>
      </c>
      <c r="F4" s="44">
        <f aca="true" t="shared" si="0" ref="F4:F27">E4-D4</f>
        <v>7661.5</v>
      </c>
      <c r="I4" s="1"/>
      <c r="J4" s="1">
        <v>43</v>
      </c>
      <c r="K4" s="6">
        <v>43</v>
      </c>
      <c r="L4" s="1">
        <f>J4-K4</f>
        <v>0</v>
      </c>
      <c r="M4" s="1"/>
      <c r="N4" s="1"/>
      <c r="R4" s="1">
        <v>0</v>
      </c>
      <c r="S4" s="6"/>
      <c r="T4" s="6"/>
      <c r="U4" s="6"/>
      <c r="W4" s="47" t="s">
        <v>15</v>
      </c>
      <c r="X4" s="48" t="s">
        <v>11</v>
      </c>
      <c r="Y4" s="50">
        <v>2754</v>
      </c>
      <c r="Z4" s="38">
        <v>3942</v>
      </c>
      <c r="AA4" s="51">
        <f>Z4-Y4</f>
        <v>1188</v>
      </c>
      <c r="AB4" s="35"/>
    </row>
    <row r="5" spans="1:28" ht="15" customHeight="1">
      <c r="A5" s="218" t="s">
        <v>1</v>
      </c>
      <c r="B5" s="217" t="s">
        <v>114</v>
      </c>
      <c r="C5" s="36" t="s">
        <v>5</v>
      </c>
      <c r="D5" s="8">
        <v>63760</v>
      </c>
      <c r="E5" s="1">
        <v>64141</v>
      </c>
      <c r="F5" s="44">
        <f t="shared" si="0"/>
        <v>381</v>
      </c>
      <c r="I5" s="1"/>
      <c r="J5" s="1">
        <v>68</v>
      </c>
      <c r="K5" s="6">
        <v>68</v>
      </c>
      <c r="L5" s="1">
        <f>J5-K5</f>
        <v>0</v>
      </c>
      <c r="M5" s="1"/>
      <c r="N5" s="1"/>
      <c r="R5" s="1">
        <v>0</v>
      </c>
      <c r="S5" s="6"/>
      <c r="T5" s="6"/>
      <c r="U5" s="6"/>
      <c r="W5" s="47" t="s">
        <v>16</v>
      </c>
      <c r="X5" s="48" t="s">
        <v>107</v>
      </c>
      <c r="Y5" s="50">
        <v>7042</v>
      </c>
      <c r="Z5" s="38">
        <v>10265</v>
      </c>
      <c r="AA5" s="51">
        <f aca="true" t="shared" si="1" ref="AA5:AA12">Z5-Y5</f>
        <v>3223</v>
      </c>
      <c r="AB5" s="35"/>
    </row>
    <row r="6" spans="1:28" ht="26.25" customHeight="1">
      <c r="A6" s="219"/>
      <c r="B6" s="217"/>
      <c r="C6" s="36" t="s">
        <v>125</v>
      </c>
      <c r="D6" s="8">
        <v>22104</v>
      </c>
      <c r="E6" s="1">
        <v>30000.5</v>
      </c>
      <c r="F6" s="44">
        <f t="shared" si="0"/>
        <v>7896.5</v>
      </c>
      <c r="I6" s="1"/>
      <c r="J6" s="1">
        <v>442</v>
      </c>
      <c r="K6" s="6">
        <f>442+118</f>
        <v>560</v>
      </c>
      <c r="L6" s="1">
        <f>J6-K6</f>
        <v>-118</v>
      </c>
      <c r="M6" s="1"/>
      <c r="N6" s="1"/>
      <c r="R6" s="1">
        <v>0</v>
      </c>
      <c r="S6" s="6"/>
      <c r="T6" s="6"/>
      <c r="U6" s="6"/>
      <c r="W6" s="47" t="s">
        <v>17</v>
      </c>
      <c r="X6" s="48" t="s">
        <v>22</v>
      </c>
      <c r="Y6" s="50">
        <v>2071</v>
      </c>
      <c r="Z6" s="38">
        <v>7188</v>
      </c>
      <c r="AA6" s="51">
        <f t="shared" si="1"/>
        <v>5117</v>
      </c>
      <c r="AB6" s="35"/>
    </row>
    <row r="7" spans="1:28" ht="15" customHeight="1">
      <c r="A7" s="218" t="s">
        <v>2</v>
      </c>
      <c r="B7" s="217" t="s">
        <v>87</v>
      </c>
      <c r="C7" s="36" t="s">
        <v>5</v>
      </c>
      <c r="D7" s="13">
        <v>31606.4</v>
      </c>
      <c r="E7" s="64">
        <v>34609.3</v>
      </c>
      <c r="F7" s="44">
        <f t="shared" si="0"/>
        <v>3002.9000000000015</v>
      </c>
      <c r="I7" s="1"/>
      <c r="J7" s="1">
        <f>60</f>
        <v>60</v>
      </c>
      <c r="K7" s="6">
        <f>60</f>
        <v>60</v>
      </c>
      <c r="L7" s="1">
        <f>J7-K7</f>
        <v>0</v>
      </c>
      <c r="M7" s="1"/>
      <c r="N7" s="1"/>
      <c r="R7" s="1">
        <v>0</v>
      </c>
      <c r="S7" s="6"/>
      <c r="T7" s="6"/>
      <c r="U7" s="6"/>
      <c r="W7" s="47" t="s">
        <v>18</v>
      </c>
      <c r="X7" s="48" t="s">
        <v>12</v>
      </c>
      <c r="Y7" s="50">
        <v>991.1</v>
      </c>
      <c r="Z7" s="38">
        <v>3078</v>
      </c>
      <c r="AA7" s="51">
        <f t="shared" si="1"/>
        <v>2086.9</v>
      </c>
      <c r="AB7" s="35"/>
    </row>
    <row r="8" spans="1:28" ht="33" customHeight="1">
      <c r="A8" s="219"/>
      <c r="B8" s="217"/>
      <c r="C8" s="36" t="s">
        <v>125</v>
      </c>
      <c r="D8" s="8">
        <v>8247</v>
      </c>
      <c r="E8" s="1">
        <v>8446.5</v>
      </c>
      <c r="F8" s="44">
        <f t="shared" si="0"/>
        <v>199.5</v>
      </c>
      <c r="I8" s="1"/>
      <c r="J8" s="1">
        <f>J7+J6+J5+J4</f>
        <v>613</v>
      </c>
      <c r="K8" s="6">
        <f>K7+K6+K5+K4</f>
        <v>731</v>
      </c>
      <c r="L8" s="1">
        <f>J8-K8</f>
        <v>-118</v>
      </c>
      <c r="M8" s="1"/>
      <c r="N8" s="1"/>
      <c r="R8" s="1">
        <v>0</v>
      </c>
      <c r="S8" s="6"/>
      <c r="T8" s="6"/>
      <c r="U8" s="6"/>
      <c r="W8" s="47" t="s">
        <v>19</v>
      </c>
      <c r="X8" s="48" t="s">
        <v>13</v>
      </c>
      <c r="Y8" s="50">
        <v>2954</v>
      </c>
      <c r="Z8" s="38">
        <v>16554</v>
      </c>
      <c r="AA8" s="51">
        <f t="shared" si="1"/>
        <v>13600</v>
      </c>
      <c r="AB8" s="35"/>
    </row>
    <row r="9" spans="1:28" ht="15" customHeight="1">
      <c r="A9" s="218" t="s">
        <v>91</v>
      </c>
      <c r="B9" s="220" t="s">
        <v>86</v>
      </c>
      <c r="C9" s="36" t="s">
        <v>5</v>
      </c>
      <c r="D9" s="8">
        <v>4805.8</v>
      </c>
      <c r="E9" s="1">
        <v>12515.6</v>
      </c>
      <c r="F9" s="44">
        <f t="shared" si="0"/>
        <v>7709.8</v>
      </c>
      <c r="R9" s="1">
        <v>0</v>
      </c>
      <c r="S9" s="6"/>
      <c r="T9" s="6"/>
      <c r="U9" s="6"/>
      <c r="W9" s="47" t="s">
        <v>20</v>
      </c>
      <c r="X9" s="48" t="s">
        <v>14</v>
      </c>
      <c r="Y9" s="50">
        <v>624.3</v>
      </c>
      <c r="Z9" s="38">
        <v>629</v>
      </c>
      <c r="AA9" s="51">
        <f t="shared" si="1"/>
        <v>4.7000000000000455</v>
      </c>
      <c r="AB9" s="35"/>
    </row>
    <row r="10" spans="1:28" ht="26.25" customHeight="1">
      <c r="A10" s="218"/>
      <c r="B10" s="219"/>
      <c r="C10" s="36" t="s">
        <v>125</v>
      </c>
      <c r="D10" s="45">
        <v>11675</v>
      </c>
      <c r="E10" s="1">
        <v>19587</v>
      </c>
      <c r="F10" s="44">
        <f t="shared" si="0"/>
        <v>7912</v>
      </c>
      <c r="R10" s="1">
        <v>0</v>
      </c>
      <c r="S10" s="6"/>
      <c r="T10" s="6"/>
      <c r="U10" s="6"/>
      <c r="W10" s="47" t="s">
        <v>29</v>
      </c>
      <c r="X10" s="48" t="s">
        <v>28</v>
      </c>
      <c r="Y10" s="50">
        <v>455.6</v>
      </c>
      <c r="Z10" s="38">
        <v>911</v>
      </c>
      <c r="AA10" s="51">
        <f t="shared" si="1"/>
        <v>455.4</v>
      </c>
      <c r="AB10" s="35"/>
    </row>
    <row r="11" spans="1:28" ht="30" customHeight="1">
      <c r="A11" s="218" t="s">
        <v>92</v>
      </c>
      <c r="B11" s="220" t="s">
        <v>117</v>
      </c>
      <c r="C11" s="36" t="s">
        <v>5</v>
      </c>
      <c r="D11" s="8">
        <v>7367.2</v>
      </c>
      <c r="E11" s="1">
        <v>9396.3</v>
      </c>
      <c r="F11" s="44">
        <f t="shared" si="0"/>
        <v>2029.0999999999995</v>
      </c>
      <c r="R11" s="1">
        <v>277</v>
      </c>
      <c r="S11" s="6"/>
      <c r="T11" s="6"/>
      <c r="U11" s="6"/>
      <c r="W11" s="47" t="s">
        <v>127</v>
      </c>
      <c r="X11" s="48" t="s">
        <v>130</v>
      </c>
      <c r="Y11" s="51"/>
      <c r="Z11" s="38">
        <f>4234+277</f>
        <v>4511</v>
      </c>
      <c r="AA11" s="51">
        <f t="shared" si="1"/>
        <v>4511</v>
      </c>
      <c r="AB11" s="35"/>
    </row>
    <row r="12" spans="1:30" ht="30" customHeight="1">
      <c r="A12" s="218"/>
      <c r="B12" s="220"/>
      <c r="C12" s="36" t="s">
        <v>125</v>
      </c>
      <c r="D12" s="8">
        <f>2048</f>
        <v>2048</v>
      </c>
      <c r="E12" s="1">
        <v>2072.5</v>
      </c>
      <c r="F12" s="44">
        <f t="shared" si="0"/>
        <v>24.5</v>
      </c>
      <c r="R12" s="1">
        <f>R11</f>
        <v>277</v>
      </c>
      <c r="W12" s="47"/>
      <c r="X12" s="48" t="s">
        <v>6</v>
      </c>
      <c r="Y12" s="50">
        <f>Y4+Y5+Y6+Y7+Y8+Y9+Y10</f>
        <v>16892</v>
      </c>
      <c r="Z12" s="38">
        <f>Z4+Z5+Z6+Z7+Z8+Z9+Z10+Z11</f>
        <v>47078</v>
      </c>
      <c r="AA12" s="51">
        <f t="shared" si="1"/>
        <v>30186</v>
      </c>
      <c r="AB12" s="35"/>
      <c r="AC12" s="35"/>
      <c r="AD12" s="35"/>
    </row>
    <row r="13" spans="1:27" ht="15" customHeight="1">
      <c r="A13" s="218" t="s">
        <v>93</v>
      </c>
      <c r="B13" s="220" t="s">
        <v>124</v>
      </c>
      <c r="C13" s="36" t="s">
        <v>5</v>
      </c>
      <c r="D13" s="8">
        <v>15043.1</v>
      </c>
      <c r="E13" s="1">
        <v>20242.8</v>
      </c>
      <c r="F13" s="44">
        <f t="shared" si="0"/>
        <v>5199.699999999999</v>
      </c>
      <c r="AA13" s="35"/>
    </row>
    <row r="14" spans="1:6" ht="27.75" customHeight="1">
      <c r="A14" s="218"/>
      <c r="B14" s="220"/>
      <c r="C14" s="36" t="s">
        <v>125</v>
      </c>
      <c r="D14" s="8">
        <v>16478</v>
      </c>
      <c r="E14" s="1">
        <v>6588.4</v>
      </c>
      <c r="F14" s="44">
        <f t="shared" si="0"/>
        <v>-9889.6</v>
      </c>
    </row>
    <row r="15" spans="1:27" ht="42" customHeight="1">
      <c r="A15" s="37" t="s">
        <v>94</v>
      </c>
      <c r="B15" s="9" t="s">
        <v>112</v>
      </c>
      <c r="C15" s="36" t="s">
        <v>5</v>
      </c>
      <c r="D15" s="13">
        <v>18373</v>
      </c>
      <c r="E15" s="1">
        <f>2500+4065</f>
        <v>6565</v>
      </c>
      <c r="F15" s="44">
        <f t="shared" si="0"/>
        <v>-11808</v>
      </c>
      <c r="W15" s="49" t="s">
        <v>32</v>
      </c>
      <c r="X15" s="49" t="s">
        <v>150</v>
      </c>
      <c r="Y15" s="49" t="s">
        <v>147</v>
      </c>
      <c r="Z15" s="49" t="s">
        <v>148</v>
      </c>
      <c r="AA15" s="49" t="s">
        <v>149</v>
      </c>
    </row>
    <row r="16" spans="1:27" ht="36" customHeight="1">
      <c r="A16" s="37" t="s">
        <v>95</v>
      </c>
      <c r="B16" s="7" t="s">
        <v>123</v>
      </c>
      <c r="C16" s="36" t="s">
        <v>5</v>
      </c>
      <c r="D16" s="13">
        <v>0</v>
      </c>
      <c r="E16" s="34">
        <v>2006.7</v>
      </c>
      <c r="F16" s="44">
        <f t="shared" si="0"/>
        <v>2006.7</v>
      </c>
      <c r="W16" s="47" t="s">
        <v>15</v>
      </c>
      <c r="X16" s="48" t="s">
        <v>11</v>
      </c>
      <c r="Y16" s="50">
        <v>2754</v>
      </c>
      <c r="Z16" s="6">
        <v>3942</v>
      </c>
      <c r="AA16" s="51">
        <f>Z16-Y16</f>
        <v>1188</v>
      </c>
    </row>
    <row r="17" spans="1:27" ht="15" customHeight="1">
      <c r="A17" s="218" t="s">
        <v>96</v>
      </c>
      <c r="B17" s="220" t="s">
        <v>107</v>
      </c>
      <c r="C17" s="36" t="s">
        <v>5</v>
      </c>
      <c r="D17" s="13">
        <v>3620</v>
      </c>
      <c r="E17" s="1">
        <v>1500</v>
      </c>
      <c r="F17" s="44">
        <f t="shared" si="0"/>
        <v>-2120</v>
      </c>
      <c r="W17" s="47" t="s">
        <v>16</v>
      </c>
      <c r="X17" s="48" t="s">
        <v>107</v>
      </c>
      <c r="Y17" s="50">
        <v>7042</v>
      </c>
      <c r="Z17" s="6">
        <v>10265</v>
      </c>
      <c r="AA17" s="51">
        <f aca="true" t="shared" si="2" ref="AA17:AA24">Z17-Y17</f>
        <v>3223</v>
      </c>
    </row>
    <row r="18" spans="1:27" ht="30.75" customHeight="1">
      <c r="A18" s="218"/>
      <c r="B18" s="220"/>
      <c r="C18" s="36" t="s">
        <v>125</v>
      </c>
      <c r="D18" s="44">
        <v>0</v>
      </c>
      <c r="E18" s="1">
        <v>463.5</v>
      </c>
      <c r="F18" s="44">
        <f t="shared" si="0"/>
        <v>463.5</v>
      </c>
      <c r="W18" s="47" t="s">
        <v>17</v>
      </c>
      <c r="X18" s="48" t="s">
        <v>22</v>
      </c>
      <c r="Y18" s="50">
        <v>2071</v>
      </c>
      <c r="Z18" s="6">
        <v>7188</v>
      </c>
      <c r="AA18" s="51">
        <f t="shared" si="2"/>
        <v>5117</v>
      </c>
    </row>
    <row r="19" spans="1:27" ht="18" customHeight="1">
      <c r="A19" s="37" t="s">
        <v>97</v>
      </c>
      <c r="B19" s="9" t="s">
        <v>137</v>
      </c>
      <c r="C19" s="36" t="s">
        <v>5</v>
      </c>
      <c r="D19" s="44">
        <v>0</v>
      </c>
      <c r="E19" s="1">
        <v>1500</v>
      </c>
      <c r="F19" s="44">
        <f t="shared" si="0"/>
        <v>1500</v>
      </c>
      <c r="W19" s="47" t="s">
        <v>18</v>
      </c>
      <c r="X19" s="48" t="s">
        <v>12</v>
      </c>
      <c r="Y19" s="50">
        <v>991.1</v>
      </c>
      <c r="Z19" s="6">
        <v>3078</v>
      </c>
      <c r="AA19" s="51">
        <f t="shared" si="2"/>
        <v>2086.9</v>
      </c>
    </row>
    <row r="20" spans="1:27" ht="24.75" customHeight="1">
      <c r="A20" s="37" t="s">
        <v>98</v>
      </c>
      <c r="B20" s="9" t="s">
        <v>138</v>
      </c>
      <c r="C20" s="36" t="s">
        <v>5</v>
      </c>
      <c r="D20" s="44">
        <v>0</v>
      </c>
      <c r="E20" s="1">
        <v>620</v>
      </c>
      <c r="F20" s="44">
        <f t="shared" si="0"/>
        <v>620</v>
      </c>
      <c r="W20" s="47" t="s">
        <v>19</v>
      </c>
      <c r="X20" s="48" t="s">
        <v>13</v>
      </c>
      <c r="Y20" s="50">
        <v>2954</v>
      </c>
      <c r="Z20" s="6">
        <v>16702</v>
      </c>
      <c r="AA20" s="51">
        <f t="shared" si="2"/>
        <v>13748</v>
      </c>
    </row>
    <row r="21" spans="1:27" ht="33.75" customHeight="1">
      <c r="A21" s="37" t="s">
        <v>99</v>
      </c>
      <c r="B21" s="9" t="s">
        <v>145</v>
      </c>
      <c r="C21" s="36" t="s">
        <v>5</v>
      </c>
      <c r="D21" s="44">
        <v>0</v>
      </c>
      <c r="E21" s="1">
        <v>73</v>
      </c>
      <c r="F21" s="44">
        <f t="shared" si="0"/>
        <v>73</v>
      </c>
      <c r="W21" s="47" t="s">
        <v>20</v>
      </c>
      <c r="X21" s="48" t="s">
        <v>14</v>
      </c>
      <c r="Y21" s="50">
        <v>624.3</v>
      </c>
      <c r="Z21" s="6">
        <v>885</v>
      </c>
      <c r="AA21" s="51">
        <f t="shared" si="2"/>
        <v>260.70000000000005</v>
      </c>
    </row>
    <row r="22" spans="1:27" ht="30" customHeight="1">
      <c r="A22" s="37" t="s">
        <v>115</v>
      </c>
      <c r="B22" s="9" t="s">
        <v>101</v>
      </c>
      <c r="C22" s="36" t="s">
        <v>125</v>
      </c>
      <c r="D22" s="8">
        <v>2145</v>
      </c>
      <c r="E22" s="1">
        <v>2184.3</v>
      </c>
      <c r="F22" s="44">
        <f t="shared" si="0"/>
        <v>39.30000000000018</v>
      </c>
      <c r="W22" s="47" t="s">
        <v>29</v>
      </c>
      <c r="X22" s="48" t="s">
        <v>28</v>
      </c>
      <c r="Y22" s="50">
        <v>455.6</v>
      </c>
      <c r="Z22" s="6">
        <v>911</v>
      </c>
      <c r="AA22" s="51">
        <f t="shared" si="2"/>
        <v>455.4</v>
      </c>
    </row>
    <row r="23" spans="1:27" ht="28.5" customHeight="1">
      <c r="A23" s="37" t="s">
        <v>116</v>
      </c>
      <c r="B23" s="9" t="s">
        <v>111</v>
      </c>
      <c r="C23" s="36" t="s">
        <v>125</v>
      </c>
      <c r="D23" s="8">
        <f>6403</f>
        <v>6403</v>
      </c>
      <c r="E23" s="1">
        <v>6718</v>
      </c>
      <c r="F23" s="44">
        <f t="shared" si="0"/>
        <v>315</v>
      </c>
      <c r="W23" s="47" t="s">
        <v>127</v>
      </c>
      <c r="X23" s="48" t="s">
        <v>130</v>
      </c>
      <c r="Y23" s="51"/>
      <c r="Z23" s="6"/>
      <c r="AA23" s="51">
        <f t="shared" si="2"/>
        <v>0</v>
      </c>
    </row>
    <row r="24" spans="1:27" ht="28.5" customHeight="1">
      <c r="A24" s="37" t="s">
        <v>142</v>
      </c>
      <c r="B24" s="9" t="s">
        <v>82</v>
      </c>
      <c r="C24" s="36" t="s">
        <v>125</v>
      </c>
      <c r="D24" s="8">
        <v>23777</v>
      </c>
      <c r="E24" s="1">
        <v>25652.8</v>
      </c>
      <c r="F24" s="44">
        <f t="shared" si="0"/>
        <v>1875.7999999999993</v>
      </c>
      <c r="W24" s="47"/>
      <c r="X24" s="48" t="s">
        <v>6</v>
      </c>
      <c r="Y24" s="50">
        <f>Y16+Y17+Y18+Y19+Y20+Y21+Y22</f>
        <v>16892</v>
      </c>
      <c r="Z24" s="6">
        <f>Z16+Z17+Z18+Z19+Z20+Z21+Z22</f>
        <v>42971</v>
      </c>
      <c r="AA24" s="51">
        <f t="shared" si="2"/>
        <v>26079</v>
      </c>
    </row>
    <row r="25" spans="1:6" ht="25.5" customHeight="1">
      <c r="A25" s="37" t="s">
        <v>143</v>
      </c>
      <c r="B25" s="9" t="s">
        <v>66</v>
      </c>
      <c r="C25" s="36" t="s">
        <v>125</v>
      </c>
      <c r="D25" s="8">
        <f>1284+388</f>
        <v>1672</v>
      </c>
      <c r="E25" s="1">
        <v>1660</v>
      </c>
      <c r="F25" s="44">
        <f t="shared" si="0"/>
        <v>-12</v>
      </c>
    </row>
    <row r="26" spans="1:27" ht="67.5" customHeight="1">
      <c r="A26" s="37" t="s">
        <v>144</v>
      </c>
      <c r="B26" s="9" t="s">
        <v>67</v>
      </c>
      <c r="C26" s="36" t="s">
        <v>125</v>
      </c>
      <c r="D26" s="8">
        <v>19</v>
      </c>
      <c r="E26" s="1">
        <v>24</v>
      </c>
      <c r="F26" s="44">
        <f t="shared" si="0"/>
        <v>5</v>
      </c>
      <c r="W26" s="49" t="s">
        <v>32</v>
      </c>
      <c r="X26" s="49" t="s">
        <v>150</v>
      </c>
      <c r="Y26" s="49" t="s">
        <v>147</v>
      </c>
      <c r="Z26" s="49" t="s">
        <v>148</v>
      </c>
      <c r="AA26" s="49" t="s">
        <v>149</v>
      </c>
    </row>
    <row r="27" spans="1:27" s="43" customFormat="1" ht="15">
      <c r="A27" s="40"/>
      <c r="B27" s="40" t="s">
        <v>152</v>
      </c>
      <c r="C27" s="40"/>
      <c r="D27" s="41">
        <f>D26+D25+D24+D23+D22+D17+D16+D15+D14+D13+D12+D11+D10+D9+D8+D7+D6+D5+D4+D3+D18+D19+D20+D21</f>
        <v>297802</v>
      </c>
      <c r="E27" s="41">
        <f>E26+E25+E24+E23+E22+E17+E16+E15+E14+E13+E12+E11+E10+E9+E8+E7+E6+E5+E4+E3+E18+E19+E20+E21</f>
        <v>330060</v>
      </c>
      <c r="F27" s="42">
        <f t="shared" si="0"/>
        <v>32258</v>
      </c>
      <c r="W27" s="47" t="s">
        <v>15</v>
      </c>
      <c r="X27" s="48" t="s">
        <v>11</v>
      </c>
      <c r="Y27" s="6">
        <v>13652</v>
      </c>
      <c r="Z27" s="6">
        <v>3942</v>
      </c>
      <c r="AA27" s="51">
        <f>Z27-Y27</f>
        <v>-9710</v>
      </c>
    </row>
    <row r="28" spans="6:27" ht="15">
      <c r="F28" s="35"/>
      <c r="W28" s="47" t="s">
        <v>16</v>
      </c>
      <c r="X28" s="48" t="s">
        <v>107</v>
      </c>
      <c r="Y28" s="6">
        <v>7988.3</v>
      </c>
      <c r="Z28" s="6">
        <v>10265</v>
      </c>
      <c r="AA28" s="51">
        <f aca="true" t="shared" si="3" ref="AA28:AA35">Z28-Y28</f>
        <v>2276.7</v>
      </c>
    </row>
    <row r="29" spans="6:27" ht="15">
      <c r="F29" t="s">
        <v>153</v>
      </c>
      <c r="W29" s="47" t="s">
        <v>17</v>
      </c>
      <c r="X29" s="48" t="s">
        <v>22</v>
      </c>
      <c r="Y29" s="6">
        <v>8078</v>
      </c>
      <c r="Z29" s="6">
        <v>7188</v>
      </c>
      <c r="AA29" s="51">
        <f t="shared" si="3"/>
        <v>-890</v>
      </c>
    </row>
    <row r="30" spans="1:27" ht="15">
      <c r="A30" s="52" t="s">
        <v>32</v>
      </c>
      <c r="B30" s="52" t="s">
        <v>150</v>
      </c>
      <c r="C30" s="52" t="s">
        <v>151</v>
      </c>
      <c r="D30" s="52" t="s">
        <v>147</v>
      </c>
      <c r="E30" s="52" t="s">
        <v>148</v>
      </c>
      <c r="F30" s="52" t="s">
        <v>149</v>
      </c>
      <c r="W30" s="47" t="s">
        <v>18</v>
      </c>
      <c r="X30" s="48" t="s">
        <v>12</v>
      </c>
      <c r="Y30" s="6">
        <v>6126</v>
      </c>
      <c r="Z30" s="6">
        <v>3078</v>
      </c>
      <c r="AA30" s="51">
        <f t="shared" si="3"/>
        <v>-3048</v>
      </c>
    </row>
    <row r="31" spans="1:27" ht="15">
      <c r="A31" s="216" t="s">
        <v>0</v>
      </c>
      <c r="B31" s="217" t="s">
        <v>113</v>
      </c>
      <c r="C31" s="36" t="s">
        <v>5</v>
      </c>
      <c r="D31" s="11">
        <v>38260.5</v>
      </c>
      <c r="E31" s="1">
        <v>45433.3</v>
      </c>
      <c r="F31" s="44">
        <f>E31-D31</f>
        <v>7172.800000000003</v>
      </c>
      <c r="G31" s="35">
        <f>E31+E33+E35+E37+E39+E41+E43+E44+E45+E47+E48</f>
        <v>202362.99999999997</v>
      </c>
      <c r="H31" s="3">
        <f>F31+F33+F35+F37+F39+F41+F43+F44+F4</f>
        <v>27188.500000000004</v>
      </c>
      <c r="W31" s="47" t="s">
        <v>19</v>
      </c>
      <c r="X31" s="48" t="s">
        <v>13</v>
      </c>
      <c r="Y31" s="6">
        <v>12483</v>
      </c>
      <c r="Z31" s="6">
        <v>16702</v>
      </c>
      <c r="AA31" s="51">
        <f t="shared" si="3"/>
        <v>4219</v>
      </c>
    </row>
    <row r="32" spans="1:27" ht="25.5">
      <c r="A32" s="216"/>
      <c r="B32" s="217"/>
      <c r="C32" s="36" t="s">
        <v>125</v>
      </c>
      <c r="D32" s="8">
        <v>20398</v>
      </c>
      <c r="E32" s="1">
        <v>27025</v>
      </c>
      <c r="F32" s="44">
        <f aca="true" t="shared" si="4" ref="F32:F55">E32-D32</f>
        <v>6627</v>
      </c>
      <c r="W32" s="47" t="s">
        <v>20</v>
      </c>
      <c r="X32" s="48" t="s">
        <v>14</v>
      </c>
      <c r="Y32" s="6">
        <v>931.6</v>
      </c>
      <c r="Z32" s="6">
        <v>885</v>
      </c>
      <c r="AA32" s="51">
        <f t="shared" si="3"/>
        <v>-46.60000000000002</v>
      </c>
    </row>
    <row r="33" spans="1:27" ht="15">
      <c r="A33" s="218" t="s">
        <v>1</v>
      </c>
      <c r="B33" s="217" t="s">
        <v>114</v>
      </c>
      <c r="C33" s="36" t="s">
        <v>5</v>
      </c>
      <c r="D33" s="8">
        <v>63760</v>
      </c>
      <c r="E33" s="1">
        <v>64141</v>
      </c>
      <c r="F33" s="44">
        <f t="shared" si="4"/>
        <v>381</v>
      </c>
      <c r="H33" s="3">
        <f>F32+F34+F36+F38+F40+F42+F46+F50+F51+F52+F53+F54</f>
        <v>40488</v>
      </c>
      <c r="I33" s="3">
        <f>H33+H31</f>
        <v>67676.5</v>
      </c>
      <c r="W33" s="47" t="s">
        <v>29</v>
      </c>
      <c r="X33" s="48" t="s">
        <v>28</v>
      </c>
      <c r="Y33" s="6">
        <v>994.1</v>
      </c>
      <c r="Z33" s="6">
        <v>911</v>
      </c>
      <c r="AA33" s="51">
        <f t="shared" si="3"/>
        <v>-83.10000000000002</v>
      </c>
    </row>
    <row r="34" spans="1:27" ht="25.5">
      <c r="A34" s="219"/>
      <c r="B34" s="217"/>
      <c r="C34" s="36" t="s">
        <v>125</v>
      </c>
      <c r="D34" s="8">
        <v>22104</v>
      </c>
      <c r="E34" s="1">
        <v>46642</v>
      </c>
      <c r="F34" s="44">
        <f t="shared" si="4"/>
        <v>24538</v>
      </c>
      <c r="W34" s="47" t="s">
        <v>127</v>
      </c>
      <c r="X34" s="48" t="s">
        <v>130</v>
      </c>
      <c r="Y34" s="6"/>
      <c r="Z34" s="6"/>
      <c r="AA34" s="51">
        <f t="shared" si="3"/>
        <v>0</v>
      </c>
    </row>
    <row r="35" spans="1:27" ht="15">
      <c r="A35" s="218" t="s">
        <v>2</v>
      </c>
      <c r="B35" s="217" t="s">
        <v>87</v>
      </c>
      <c r="C35" s="36" t="s">
        <v>5</v>
      </c>
      <c r="D35" s="13">
        <v>31606.4</v>
      </c>
      <c r="E35" s="64">
        <v>34609.3</v>
      </c>
      <c r="F35" s="44">
        <f t="shared" si="4"/>
        <v>3002.9000000000015</v>
      </c>
      <c r="H35">
        <f>157164-116817</f>
        <v>40347</v>
      </c>
      <c r="I35" s="35">
        <f>F55-I33</f>
        <v>-7661.5</v>
      </c>
      <c r="K35">
        <f>198743-179216</f>
        <v>19527</v>
      </c>
      <c r="W35" s="47"/>
      <c r="X35" s="48" t="s">
        <v>6</v>
      </c>
      <c r="Y35" s="50">
        <f>Y27+Y28+Y29+Y30+Y31+Y32+Y33</f>
        <v>50253</v>
      </c>
      <c r="Z35" s="6">
        <f>Z27+Z28+Z29+Z30+Z31+Z32+Z33</f>
        <v>42971</v>
      </c>
      <c r="AA35" s="51">
        <f t="shared" si="3"/>
        <v>-7282</v>
      </c>
    </row>
    <row r="36" spans="1:6" ht="25.5">
      <c r="A36" s="219"/>
      <c r="B36" s="217"/>
      <c r="C36" s="36" t="s">
        <v>125</v>
      </c>
      <c r="D36" s="8">
        <v>8247</v>
      </c>
      <c r="E36" s="1">
        <v>8608</v>
      </c>
      <c r="F36" s="44">
        <f t="shared" si="4"/>
        <v>361</v>
      </c>
    </row>
    <row r="37" spans="1:6" ht="15">
      <c r="A37" s="218" t="s">
        <v>91</v>
      </c>
      <c r="B37" s="220" t="s">
        <v>86</v>
      </c>
      <c r="C37" s="36" t="s">
        <v>5</v>
      </c>
      <c r="D37" s="8">
        <v>4805.8</v>
      </c>
      <c r="E37" s="1">
        <v>12515.6</v>
      </c>
      <c r="F37" s="44">
        <f t="shared" si="4"/>
        <v>7709.8</v>
      </c>
    </row>
    <row r="38" spans="1:28" ht="25.5">
      <c r="A38" s="218"/>
      <c r="B38" s="219"/>
      <c r="C38" s="36" t="s">
        <v>125</v>
      </c>
      <c r="D38" s="45">
        <v>11675</v>
      </c>
      <c r="E38" s="1">
        <v>24918</v>
      </c>
      <c r="F38" s="44">
        <f t="shared" si="4"/>
        <v>13243</v>
      </c>
      <c r="W38" s="49" t="s">
        <v>32</v>
      </c>
      <c r="X38" s="49" t="s">
        <v>150</v>
      </c>
      <c r="Y38" s="46" t="s">
        <v>156</v>
      </c>
      <c r="Z38" s="49" t="s">
        <v>147</v>
      </c>
      <c r="AA38" s="49" t="s">
        <v>148</v>
      </c>
      <c r="AB38" s="49" t="s">
        <v>149</v>
      </c>
    </row>
    <row r="39" spans="1:28" ht="15">
      <c r="A39" s="218" t="s">
        <v>92</v>
      </c>
      <c r="B39" s="220" t="s">
        <v>117</v>
      </c>
      <c r="C39" s="36" t="s">
        <v>5</v>
      </c>
      <c r="D39" s="8">
        <v>7367.2</v>
      </c>
      <c r="E39" s="1">
        <v>9396.3</v>
      </c>
      <c r="F39" s="44">
        <f t="shared" si="4"/>
        <v>2029.0999999999995</v>
      </c>
      <c r="W39" s="218" t="s">
        <v>4</v>
      </c>
      <c r="X39" s="220" t="s">
        <v>21</v>
      </c>
      <c r="Y39" s="36" t="s">
        <v>5</v>
      </c>
      <c r="Z39" s="60">
        <v>1934</v>
      </c>
      <c r="AA39" s="60">
        <f>1788+1334</f>
        <v>3122</v>
      </c>
      <c r="AB39" s="61">
        <f aca="true" t="shared" si="5" ref="AB39:AB44">AA39-Z39</f>
        <v>1188</v>
      </c>
    </row>
    <row r="40" spans="1:28" ht="25.5">
      <c r="A40" s="218"/>
      <c r="B40" s="220"/>
      <c r="C40" s="36" t="s">
        <v>125</v>
      </c>
      <c r="D40" s="8">
        <f>2048</f>
        <v>2048</v>
      </c>
      <c r="E40" s="1">
        <v>2075</v>
      </c>
      <c r="F40" s="44">
        <f t="shared" si="4"/>
        <v>27</v>
      </c>
      <c r="W40" s="218"/>
      <c r="X40" s="220"/>
      <c r="Y40" s="36" t="s">
        <v>125</v>
      </c>
      <c r="Z40" s="61"/>
      <c r="AA40" s="66">
        <v>362.1</v>
      </c>
      <c r="AB40" s="67">
        <f t="shared" si="5"/>
        <v>362.1</v>
      </c>
    </row>
    <row r="41" spans="1:28" ht="25.5">
      <c r="A41" s="218" t="s">
        <v>93</v>
      </c>
      <c r="B41" s="220" t="s">
        <v>124</v>
      </c>
      <c r="C41" s="36" t="s">
        <v>5</v>
      </c>
      <c r="D41" s="8">
        <v>15043.1</v>
      </c>
      <c r="E41" s="1">
        <v>20242.8</v>
      </c>
      <c r="F41" s="44">
        <f t="shared" si="4"/>
        <v>5199.699999999999</v>
      </c>
      <c r="W41" s="37" t="s">
        <v>7</v>
      </c>
      <c r="X41" s="9" t="s">
        <v>106</v>
      </c>
      <c r="Y41" s="36" t="s">
        <v>5</v>
      </c>
      <c r="Z41" s="60">
        <v>1000</v>
      </c>
      <c r="AA41" s="60">
        <v>1000</v>
      </c>
      <c r="AB41" s="61">
        <f t="shared" si="5"/>
        <v>0</v>
      </c>
    </row>
    <row r="42" spans="1:28" ht="25.5">
      <c r="A42" s="218"/>
      <c r="B42" s="220"/>
      <c r="C42" s="36" t="s">
        <v>125</v>
      </c>
      <c r="D42" s="8">
        <v>16478</v>
      </c>
      <c r="E42" s="1">
        <v>14012</v>
      </c>
      <c r="F42" s="44">
        <f t="shared" si="4"/>
        <v>-2466</v>
      </c>
      <c r="S42">
        <f>401478-333678</f>
        <v>67800</v>
      </c>
      <c r="W42" s="218" t="s">
        <v>10</v>
      </c>
      <c r="X42" s="220" t="s">
        <v>30</v>
      </c>
      <c r="Y42" s="36" t="s">
        <v>5</v>
      </c>
      <c r="Z42" s="60">
        <v>6025</v>
      </c>
      <c r="AA42" s="60">
        <f>2469+300+996</f>
        <v>3765</v>
      </c>
      <c r="AB42" s="61">
        <f t="shared" si="5"/>
        <v>-2260</v>
      </c>
    </row>
    <row r="43" spans="1:28" ht="38.25">
      <c r="A43" s="37" t="s">
        <v>94</v>
      </c>
      <c r="B43" s="9" t="s">
        <v>112</v>
      </c>
      <c r="C43" s="36" t="s">
        <v>5</v>
      </c>
      <c r="D43" s="13">
        <v>18373</v>
      </c>
      <c r="E43" s="1">
        <f>4065+5034.4</f>
        <v>9099.4</v>
      </c>
      <c r="F43" s="44">
        <f t="shared" si="4"/>
        <v>-9273.6</v>
      </c>
      <c r="S43">
        <f>401478-S42</f>
        <v>333678</v>
      </c>
      <c r="W43" s="218"/>
      <c r="X43" s="220"/>
      <c r="Y43" s="36" t="s">
        <v>125</v>
      </c>
      <c r="Z43" s="60">
        <v>1870</v>
      </c>
      <c r="AA43" s="66">
        <v>1927.2</v>
      </c>
      <c r="AB43" s="67">
        <f t="shared" si="5"/>
        <v>57.200000000000045</v>
      </c>
    </row>
    <row r="44" spans="1:28" ht="38.25">
      <c r="A44" s="37" t="s">
        <v>95</v>
      </c>
      <c r="B44" s="7" t="s">
        <v>123</v>
      </c>
      <c r="C44" s="36" t="s">
        <v>5</v>
      </c>
      <c r="D44" s="13">
        <v>0</v>
      </c>
      <c r="E44" s="1">
        <v>3305.3</v>
      </c>
      <c r="F44" s="44">
        <f t="shared" si="4"/>
        <v>3305.3</v>
      </c>
      <c r="W44" s="37"/>
      <c r="X44" s="9" t="s">
        <v>8</v>
      </c>
      <c r="Y44" s="36"/>
      <c r="Z44" s="60">
        <f>Z39+Z41+Z42+Z43</f>
        <v>10829</v>
      </c>
      <c r="AA44" s="60">
        <f>AA39+AA41+AA42+AA43+AA40</f>
        <v>10176.300000000001</v>
      </c>
      <c r="AB44" s="61">
        <f t="shared" si="5"/>
        <v>-652.6999999999989</v>
      </c>
    </row>
    <row r="45" spans="1:28" ht="15">
      <c r="A45" s="218" t="s">
        <v>96</v>
      </c>
      <c r="B45" s="220" t="s">
        <v>107</v>
      </c>
      <c r="C45" s="36" t="s">
        <v>5</v>
      </c>
      <c r="D45" s="13">
        <v>3620</v>
      </c>
      <c r="E45" s="1">
        <v>1500</v>
      </c>
      <c r="F45" s="44">
        <f t="shared" si="4"/>
        <v>-2120</v>
      </c>
      <c r="N45">
        <f>43898+763</f>
        <v>44661</v>
      </c>
      <c r="P45">
        <f>540*2</f>
        <v>1080</v>
      </c>
      <c r="S45">
        <f>48400+15400</f>
        <v>63800</v>
      </c>
      <c r="T45">
        <f>S45+S45</f>
        <v>127600</v>
      </c>
      <c r="AB45" s="35"/>
    </row>
    <row r="46" spans="1:16" ht="25.5">
      <c r="A46" s="218"/>
      <c r="B46" s="220"/>
      <c r="C46" s="36" t="s">
        <v>125</v>
      </c>
      <c r="D46" s="44">
        <v>0</v>
      </c>
      <c r="E46" s="1">
        <v>260</v>
      </c>
      <c r="F46" s="44">
        <f t="shared" si="4"/>
        <v>260</v>
      </c>
      <c r="P46">
        <f>760*4</f>
        <v>3040</v>
      </c>
    </row>
    <row r="47" spans="1:28" ht="15">
      <c r="A47" s="37" t="s">
        <v>97</v>
      </c>
      <c r="B47" s="9" t="s">
        <v>137</v>
      </c>
      <c r="C47" s="36" t="s">
        <v>5</v>
      </c>
      <c r="D47" s="44">
        <v>0</v>
      </c>
      <c r="E47" s="1">
        <v>1500</v>
      </c>
      <c r="F47" s="44">
        <f t="shared" si="4"/>
        <v>1500</v>
      </c>
      <c r="P47">
        <f>720*9</f>
        <v>6480</v>
      </c>
      <c r="W47" s="49" t="s">
        <v>32</v>
      </c>
      <c r="X47" s="49" t="s">
        <v>150</v>
      </c>
      <c r="Y47" s="46" t="s">
        <v>156</v>
      </c>
      <c r="Z47" s="49" t="s">
        <v>147</v>
      </c>
      <c r="AA47" s="49" t="s">
        <v>148</v>
      </c>
      <c r="AB47" s="49" t="s">
        <v>149</v>
      </c>
    </row>
    <row r="48" spans="1:28" ht="15">
      <c r="A48" s="37" t="s">
        <v>98</v>
      </c>
      <c r="B48" s="9" t="s">
        <v>138</v>
      </c>
      <c r="C48" s="36" t="s">
        <v>5</v>
      </c>
      <c r="D48" s="44">
        <v>0</v>
      </c>
      <c r="E48" s="1">
        <v>620</v>
      </c>
      <c r="F48" s="44">
        <f t="shared" si="4"/>
        <v>620</v>
      </c>
      <c r="P48">
        <f>900*2</f>
        <v>1800</v>
      </c>
      <c r="W48" s="218" t="s">
        <v>4</v>
      </c>
      <c r="X48" s="220" t="s">
        <v>21</v>
      </c>
      <c r="Y48" s="36" t="s">
        <v>5</v>
      </c>
      <c r="Z48" s="60">
        <v>1934</v>
      </c>
      <c r="AA48" s="1">
        <v>1788</v>
      </c>
      <c r="AB48" s="61">
        <f aca="true" t="shared" si="6" ref="AB48:AB53">AA48-Z48</f>
        <v>-146</v>
      </c>
    </row>
    <row r="49" spans="1:28" ht="25.5">
      <c r="A49" s="37" t="s">
        <v>99</v>
      </c>
      <c r="B49" s="9" t="s">
        <v>145</v>
      </c>
      <c r="C49" s="36" t="s">
        <v>5</v>
      </c>
      <c r="D49" s="44">
        <v>0</v>
      </c>
      <c r="E49" s="1">
        <v>0</v>
      </c>
      <c r="F49" s="44">
        <f t="shared" si="4"/>
        <v>0</v>
      </c>
      <c r="P49">
        <f>1440</f>
        <v>1440</v>
      </c>
      <c r="S49">
        <f>1631123*13%</f>
        <v>212045.99000000002</v>
      </c>
      <c r="W49" s="218"/>
      <c r="X49" s="220"/>
      <c r="Y49" s="36" t="s">
        <v>125</v>
      </c>
      <c r="Z49" s="61"/>
      <c r="AA49" s="1">
        <v>311</v>
      </c>
      <c r="AB49" s="61">
        <f t="shared" si="6"/>
        <v>311</v>
      </c>
    </row>
    <row r="50" spans="1:28" ht="25.5">
      <c r="A50" s="37" t="s">
        <v>115</v>
      </c>
      <c r="B50" s="9" t="s">
        <v>101</v>
      </c>
      <c r="C50" s="36" t="s">
        <v>125</v>
      </c>
      <c r="D50" s="8">
        <v>2145</v>
      </c>
      <c r="E50" s="1">
        <v>3696</v>
      </c>
      <c r="F50" s="44">
        <f t="shared" si="4"/>
        <v>1551</v>
      </c>
      <c r="P50">
        <f>P51*Q50/Q51</f>
        <v>1468010.7</v>
      </c>
      <c r="Q50">
        <v>9</v>
      </c>
      <c r="R50">
        <f>1631123-1360000</f>
        <v>271123</v>
      </c>
      <c r="S50">
        <f>6*40000</f>
        <v>240000</v>
      </c>
      <c r="W50" s="37" t="s">
        <v>7</v>
      </c>
      <c r="X50" s="9" t="s">
        <v>106</v>
      </c>
      <c r="Y50" s="36" t="s">
        <v>5</v>
      </c>
      <c r="Z50" s="60">
        <v>1000</v>
      </c>
      <c r="AA50" s="1">
        <v>1000</v>
      </c>
      <c r="AB50" s="61">
        <f t="shared" si="6"/>
        <v>0</v>
      </c>
    </row>
    <row r="51" spans="1:28" ht="25.5">
      <c r="A51" s="37" t="s">
        <v>116</v>
      </c>
      <c r="B51" s="9" t="s">
        <v>111</v>
      </c>
      <c r="C51" s="36" t="s">
        <v>125</v>
      </c>
      <c r="D51" s="8">
        <f>6403</f>
        <v>6403</v>
      </c>
      <c r="E51" s="1">
        <v>6128</v>
      </c>
      <c r="F51" s="44">
        <f t="shared" si="4"/>
        <v>-275</v>
      </c>
      <c r="P51">
        <v>1631123</v>
      </c>
      <c r="Q51">
        <v>10</v>
      </c>
      <c r="T51" s="3">
        <f>1309713+313189</f>
        <v>1622902</v>
      </c>
      <c r="U51">
        <f>T51*13%</f>
        <v>210977.26</v>
      </c>
      <c r="W51" s="218" t="s">
        <v>10</v>
      </c>
      <c r="X51" s="220" t="s">
        <v>30</v>
      </c>
      <c r="Y51" s="36" t="s">
        <v>5</v>
      </c>
      <c r="Z51" s="60">
        <v>6025</v>
      </c>
      <c r="AA51" s="1">
        <f>2469+300+1000</f>
        <v>3769</v>
      </c>
      <c r="AB51" s="61">
        <f t="shared" si="6"/>
        <v>-2256</v>
      </c>
    </row>
    <row r="52" spans="1:28" ht="25.5">
      <c r="A52" s="37" t="s">
        <v>142</v>
      </c>
      <c r="B52" s="9" t="s">
        <v>82</v>
      </c>
      <c r="C52" s="36" t="s">
        <v>125</v>
      </c>
      <c r="D52" s="8">
        <v>23777</v>
      </c>
      <c r="E52" s="1">
        <v>20390</v>
      </c>
      <c r="F52" s="44">
        <f t="shared" si="4"/>
        <v>-3387</v>
      </c>
      <c r="P52">
        <v>1360000</v>
      </c>
      <c r="Q52">
        <f>P52*Q51/P51</f>
        <v>8.337813886506414</v>
      </c>
      <c r="S52">
        <f>40714+36130+35536+33883</f>
        <v>146263</v>
      </c>
      <c r="T52" s="71">
        <f>1631123-T51</f>
        <v>8221</v>
      </c>
      <c r="W52" s="218"/>
      <c r="X52" s="220"/>
      <c r="Y52" s="36" t="s">
        <v>125</v>
      </c>
      <c r="Z52" s="60">
        <v>1870</v>
      </c>
      <c r="AA52" s="1">
        <v>1402</v>
      </c>
      <c r="AB52" s="61">
        <f t="shared" si="6"/>
        <v>-468</v>
      </c>
    </row>
    <row r="53" spans="1:28" ht="25.5">
      <c r="A53" s="37" t="s">
        <v>143</v>
      </c>
      <c r="B53" s="9" t="s">
        <v>66</v>
      </c>
      <c r="C53" s="36" t="s">
        <v>125</v>
      </c>
      <c r="D53" s="8">
        <f>1284+388</f>
        <v>1672</v>
      </c>
      <c r="E53" s="1">
        <v>1697</v>
      </c>
      <c r="F53" s="44">
        <f t="shared" si="4"/>
        <v>25</v>
      </c>
      <c r="S53">
        <f>S49-S52</f>
        <v>65782.99000000002</v>
      </c>
      <c r="T53">
        <f>S53-32000</f>
        <v>33782.99000000002</v>
      </c>
      <c r="W53" s="37"/>
      <c r="X53" s="9" t="s">
        <v>8</v>
      </c>
      <c r="Y53" s="36"/>
      <c r="Z53" s="60">
        <f>Z48+Z50+Z51+Z52</f>
        <v>10829</v>
      </c>
      <c r="AA53" s="1">
        <f>AA48+AA50+AA51+AA52+AA49</f>
        <v>8270</v>
      </c>
      <c r="AB53" s="61">
        <f t="shared" si="6"/>
        <v>-2559</v>
      </c>
    </row>
    <row r="54" spans="1:20" ht="63.75">
      <c r="A54" s="37" t="s">
        <v>144</v>
      </c>
      <c r="B54" s="9" t="s">
        <v>67</v>
      </c>
      <c r="C54" s="36" t="s">
        <v>125</v>
      </c>
      <c r="D54" s="8">
        <v>19</v>
      </c>
      <c r="E54" s="1">
        <v>3</v>
      </c>
      <c r="F54" s="44">
        <f t="shared" si="4"/>
        <v>-16</v>
      </c>
      <c r="P54">
        <f>760+760+760+760+570+720+720+900+1440</f>
        <v>7390</v>
      </c>
      <c r="Q54">
        <v>100</v>
      </c>
      <c r="T54">
        <f>8221*13%</f>
        <v>1068.73</v>
      </c>
    </row>
    <row r="55" spans="1:17" s="43" customFormat="1" ht="15">
      <c r="A55" s="40"/>
      <c r="B55" s="40" t="s">
        <v>152</v>
      </c>
      <c r="C55" s="40"/>
      <c r="D55" s="41">
        <f>D54+D53+D52+D51+D50+D49+D48+D47+D46+D45+D44+D43+D42+D41+D40+D39+D38+D37+D36+D35+D34+D33+D32+D31</f>
        <v>297802</v>
      </c>
      <c r="E55" s="53">
        <f>E54+E53+E52+E51+E50+E45+E44+E43+E42+E41+E40+E39+E38+E37+E36+E35+E34+E33+E32+E31+E46+E47+E48+E49</f>
        <v>357817</v>
      </c>
      <c r="F55" s="65">
        <f t="shared" si="4"/>
        <v>60015</v>
      </c>
      <c r="G55" s="55">
        <f>F31+F32+F33+F34+F35+F36+F37+F38+F39+F40+F41+F42+F43+F44+F45+F46+F47+F48+F49+F50+F51+F52+F53+F54</f>
        <v>60015.00000000001</v>
      </c>
      <c r="H55" s="54">
        <f>E55-D55</f>
        <v>60015</v>
      </c>
      <c r="P55" s="43">
        <f>P54*Q55/Q54</f>
        <v>960.7</v>
      </c>
      <c r="Q55" s="43">
        <v>13</v>
      </c>
    </row>
    <row r="56" spans="16:17" ht="15">
      <c r="P56">
        <f>14410-P54</f>
        <v>7020</v>
      </c>
      <c r="Q56">
        <v>100</v>
      </c>
    </row>
    <row r="57" spans="16:17" ht="15">
      <c r="P57">
        <f>P56*Q57/Q56</f>
        <v>912.6</v>
      </c>
      <c r="Q57">
        <v>13</v>
      </c>
    </row>
    <row r="58" spans="6:16" ht="15">
      <c r="F58" t="s">
        <v>154</v>
      </c>
      <c r="P58">
        <f>P55+P57</f>
        <v>1873.3000000000002</v>
      </c>
    </row>
    <row r="59" spans="1:6" ht="15">
      <c r="A59" s="52" t="s">
        <v>32</v>
      </c>
      <c r="B59" s="52" t="s">
        <v>150</v>
      </c>
      <c r="C59" s="52" t="s">
        <v>151</v>
      </c>
      <c r="D59" s="52" t="s">
        <v>147</v>
      </c>
      <c r="E59" s="52" t="s">
        <v>148</v>
      </c>
      <c r="F59" s="52" t="s">
        <v>149</v>
      </c>
    </row>
    <row r="60" spans="1:9" ht="15">
      <c r="A60" s="216" t="s">
        <v>0</v>
      </c>
      <c r="B60" s="217" t="s">
        <v>113</v>
      </c>
      <c r="C60" s="36" t="s">
        <v>5</v>
      </c>
      <c r="D60" s="14">
        <v>351232.5</v>
      </c>
      <c r="E60" s="1">
        <v>45433.3</v>
      </c>
      <c r="F60" s="44">
        <f>E60-D60</f>
        <v>-305799.2</v>
      </c>
      <c r="I60" s="10"/>
    </row>
    <row r="61" spans="1:9" ht="25.5">
      <c r="A61" s="216"/>
      <c r="B61" s="217"/>
      <c r="C61" s="36" t="s">
        <v>125</v>
      </c>
      <c r="D61" s="14">
        <v>20398</v>
      </c>
      <c r="E61" s="1">
        <v>27025</v>
      </c>
      <c r="F61" s="44">
        <f aca="true" t="shared" si="7" ref="F61:F83">E61-D61</f>
        <v>6627</v>
      </c>
      <c r="I61" s="10"/>
    </row>
    <row r="62" spans="1:9" ht="15">
      <c r="A62" s="218" t="s">
        <v>1</v>
      </c>
      <c r="B62" s="217" t="s">
        <v>114</v>
      </c>
      <c r="C62" s="36" t="s">
        <v>5</v>
      </c>
      <c r="D62" s="14">
        <v>316914</v>
      </c>
      <c r="E62" s="1">
        <v>64141</v>
      </c>
      <c r="F62" s="44">
        <f t="shared" si="7"/>
        <v>-252773</v>
      </c>
      <c r="I62" s="10"/>
    </row>
    <row r="63" spans="1:9" ht="25.5">
      <c r="A63" s="219"/>
      <c r="B63" s="217"/>
      <c r="C63" s="36" t="s">
        <v>125</v>
      </c>
      <c r="D63" s="14">
        <v>22104</v>
      </c>
      <c r="E63" s="1">
        <v>50562</v>
      </c>
      <c r="F63" s="44">
        <f t="shared" si="7"/>
        <v>28458</v>
      </c>
      <c r="I63" s="10"/>
    </row>
    <row r="64" spans="1:9" ht="15">
      <c r="A64" s="218" t="s">
        <v>2</v>
      </c>
      <c r="B64" s="217" t="s">
        <v>87</v>
      </c>
      <c r="C64" s="36" t="s">
        <v>5</v>
      </c>
      <c r="D64" s="12">
        <f>61697+45926+20952.3</f>
        <v>128575.3</v>
      </c>
      <c r="E64" s="64">
        <v>34609.3</v>
      </c>
      <c r="F64" s="44">
        <f t="shared" si="7"/>
        <v>-93966</v>
      </c>
      <c r="I64" s="56"/>
    </row>
    <row r="65" spans="1:9" ht="25.5">
      <c r="A65" s="219"/>
      <c r="B65" s="217"/>
      <c r="C65" s="36" t="s">
        <v>125</v>
      </c>
      <c r="D65" s="14">
        <v>8247</v>
      </c>
      <c r="E65" s="1">
        <v>8608</v>
      </c>
      <c r="F65" s="44">
        <f t="shared" si="7"/>
        <v>361</v>
      </c>
      <c r="I65" s="10"/>
    </row>
    <row r="66" spans="1:9" ht="15">
      <c r="A66" s="218" t="s">
        <v>91</v>
      </c>
      <c r="B66" s="220" t="s">
        <v>86</v>
      </c>
      <c r="C66" s="36" t="s">
        <v>5</v>
      </c>
      <c r="D66" s="14">
        <f>20089</f>
        <v>20089</v>
      </c>
      <c r="E66" s="1">
        <v>12515.6</v>
      </c>
      <c r="F66" s="44">
        <f t="shared" si="7"/>
        <v>-7573.4</v>
      </c>
      <c r="I66" s="10"/>
    </row>
    <row r="67" spans="1:9" ht="25.5">
      <c r="A67" s="218"/>
      <c r="B67" s="219"/>
      <c r="C67" s="36" t="s">
        <v>125</v>
      </c>
      <c r="D67" s="44">
        <v>11675</v>
      </c>
      <c r="E67" s="1">
        <v>29200</v>
      </c>
      <c r="F67" s="44">
        <f t="shared" si="7"/>
        <v>17525</v>
      </c>
      <c r="I67" s="39"/>
    </row>
    <row r="68" spans="1:9" ht="15">
      <c r="A68" s="218" t="s">
        <v>92</v>
      </c>
      <c r="B68" s="220" t="s">
        <v>117</v>
      </c>
      <c r="C68" s="36" t="s">
        <v>5</v>
      </c>
      <c r="D68" s="14">
        <f>28212+3742.5+1572.1</f>
        <v>33526.6</v>
      </c>
      <c r="E68" s="1">
        <v>9396.3</v>
      </c>
      <c r="F68" s="44">
        <f t="shared" si="7"/>
        <v>-24130.3</v>
      </c>
      <c r="I68" s="10"/>
    </row>
    <row r="69" spans="1:9" ht="25.5">
      <c r="A69" s="218"/>
      <c r="B69" s="220"/>
      <c r="C69" s="36" t="s">
        <v>125</v>
      </c>
      <c r="D69" s="14">
        <f>326+1722</f>
        <v>2048</v>
      </c>
      <c r="E69" s="1">
        <v>2075</v>
      </c>
      <c r="F69" s="44">
        <f t="shared" si="7"/>
        <v>27</v>
      </c>
      <c r="I69" s="10"/>
    </row>
    <row r="70" spans="1:9" ht="15">
      <c r="A70" s="218" t="s">
        <v>93</v>
      </c>
      <c r="B70" s="220" t="s">
        <v>124</v>
      </c>
      <c r="C70" s="36" t="s">
        <v>5</v>
      </c>
      <c r="D70" s="14">
        <f>121350.6+27268.4</f>
        <v>148619</v>
      </c>
      <c r="E70" s="1">
        <v>20242.8</v>
      </c>
      <c r="F70" s="44">
        <f t="shared" si="7"/>
        <v>-128376.2</v>
      </c>
      <c r="I70" s="10"/>
    </row>
    <row r="71" spans="1:9" ht="25.5">
      <c r="A71" s="218"/>
      <c r="B71" s="220"/>
      <c r="C71" s="36" t="s">
        <v>125</v>
      </c>
      <c r="D71" s="14">
        <v>16478</v>
      </c>
      <c r="E71" s="1">
        <v>19630</v>
      </c>
      <c r="F71" s="44">
        <f t="shared" si="7"/>
        <v>3152</v>
      </c>
      <c r="I71" s="10"/>
    </row>
    <row r="72" spans="1:9" ht="38.25">
      <c r="A72" s="37" t="s">
        <v>94</v>
      </c>
      <c r="B72" s="9" t="s">
        <v>112</v>
      </c>
      <c r="C72" s="36" t="s">
        <v>5</v>
      </c>
      <c r="D72" s="12">
        <v>15388.6</v>
      </c>
      <c r="E72" s="1">
        <f>5034.4+4065</f>
        <v>9099.4</v>
      </c>
      <c r="F72" s="44">
        <f t="shared" si="7"/>
        <v>-6289.200000000001</v>
      </c>
      <c r="I72" s="56"/>
    </row>
    <row r="73" spans="1:9" ht="38.25">
      <c r="A73" s="37" t="s">
        <v>95</v>
      </c>
      <c r="B73" s="7" t="s">
        <v>123</v>
      </c>
      <c r="C73" s="36" t="s">
        <v>5</v>
      </c>
      <c r="D73" s="12">
        <v>2000</v>
      </c>
      <c r="E73" s="1">
        <v>3305.3</v>
      </c>
      <c r="F73" s="44">
        <f t="shared" si="7"/>
        <v>1305.3000000000002</v>
      </c>
      <c r="I73" s="56"/>
    </row>
    <row r="74" spans="1:9" ht="15">
      <c r="A74" s="218" t="s">
        <v>96</v>
      </c>
      <c r="B74" s="220" t="s">
        <v>107</v>
      </c>
      <c r="C74" s="36" t="s">
        <v>5</v>
      </c>
      <c r="D74" s="12">
        <v>3970</v>
      </c>
      <c r="E74" s="1">
        <v>1500</v>
      </c>
      <c r="F74" s="44">
        <f t="shared" si="7"/>
        <v>-2470</v>
      </c>
      <c r="I74" s="56"/>
    </row>
    <row r="75" spans="1:9" ht="25.5">
      <c r="A75" s="218"/>
      <c r="B75" s="220"/>
      <c r="C75" s="36" t="s">
        <v>125</v>
      </c>
      <c r="D75" s="58"/>
      <c r="E75" s="1">
        <v>260</v>
      </c>
      <c r="F75" s="44">
        <f>E75-D78</f>
        <v>260</v>
      </c>
      <c r="I75" s="39"/>
    </row>
    <row r="76" spans="1:9" ht="15">
      <c r="A76" s="37" t="s">
        <v>97</v>
      </c>
      <c r="B76" s="9" t="s">
        <v>137</v>
      </c>
      <c r="C76" s="36" t="s">
        <v>5</v>
      </c>
      <c r="D76" s="12">
        <v>0</v>
      </c>
      <c r="E76" s="1">
        <v>1500</v>
      </c>
      <c r="F76" s="44">
        <f t="shared" si="7"/>
        <v>1500</v>
      </c>
      <c r="I76" s="39"/>
    </row>
    <row r="77" spans="1:9" ht="15">
      <c r="A77" s="37" t="s">
        <v>98</v>
      </c>
      <c r="B77" s="9" t="s">
        <v>138</v>
      </c>
      <c r="C77" s="36" t="s">
        <v>5</v>
      </c>
      <c r="D77" s="12">
        <v>0</v>
      </c>
      <c r="E77" s="1">
        <v>620</v>
      </c>
      <c r="F77" s="44">
        <f t="shared" si="7"/>
        <v>620</v>
      </c>
      <c r="I77" s="39"/>
    </row>
    <row r="78" spans="1:9" ht="25.5">
      <c r="A78" s="37" t="s">
        <v>99</v>
      </c>
      <c r="B78" s="9" t="s">
        <v>145</v>
      </c>
      <c r="C78" s="36" t="s">
        <v>5</v>
      </c>
      <c r="D78" s="44"/>
      <c r="E78" s="1">
        <v>0</v>
      </c>
      <c r="F78" s="44">
        <f t="shared" si="7"/>
        <v>0</v>
      </c>
      <c r="I78" s="39"/>
    </row>
    <row r="79" spans="1:9" ht="25.5">
      <c r="A79" s="37" t="s">
        <v>115</v>
      </c>
      <c r="B79" s="9" t="s">
        <v>101</v>
      </c>
      <c r="C79" s="36" t="s">
        <v>125</v>
      </c>
      <c r="D79" s="44">
        <v>2145</v>
      </c>
      <c r="E79" s="1">
        <v>3696</v>
      </c>
      <c r="F79" s="44">
        <f t="shared" si="7"/>
        <v>1551</v>
      </c>
      <c r="I79" s="10"/>
    </row>
    <row r="80" spans="1:9" ht="25.5">
      <c r="A80" s="37" t="s">
        <v>116</v>
      </c>
      <c r="B80" s="9" t="s">
        <v>111</v>
      </c>
      <c r="C80" s="36" t="s">
        <v>125</v>
      </c>
      <c r="D80" s="44">
        <v>6403</v>
      </c>
      <c r="E80" s="1">
        <v>6128</v>
      </c>
      <c r="F80" s="44">
        <f t="shared" si="7"/>
        <v>-275</v>
      </c>
      <c r="I80" s="10"/>
    </row>
    <row r="81" spans="1:9" ht="25.5">
      <c r="A81" s="37" t="s">
        <v>142</v>
      </c>
      <c r="B81" s="9" t="s">
        <v>82</v>
      </c>
      <c r="C81" s="36" t="s">
        <v>125</v>
      </c>
      <c r="D81" s="44">
        <v>23777</v>
      </c>
      <c r="E81" s="1">
        <v>20390</v>
      </c>
      <c r="F81" s="44">
        <f t="shared" si="7"/>
        <v>-3387</v>
      </c>
      <c r="I81" s="10"/>
    </row>
    <row r="82" spans="1:9" ht="25.5">
      <c r="A82" s="37" t="s">
        <v>143</v>
      </c>
      <c r="B82" s="9" t="s">
        <v>66</v>
      </c>
      <c r="C82" s="36" t="s">
        <v>125</v>
      </c>
      <c r="D82" s="44">
        <f>1284+388</f>
        <v>1672</v>
      </c>
      <c r="E82" s="1">
        <v>1697</v>
      </c>
      <c r="F82" s="44">
        <f t="shared" si="7"/>
        <v>25</v>
      </c>
      <c r="I82" s="10"/>
    </row>
    <row r="83" spans="1:9" ht="63.75">
      <c r="A83" s="37" t="s">
        <v>144</v>
      </c>
      <c r="B83" s="9" t="s">
        <v>67</v>
      </c>
      <c r="C83" s="36" t="s">
        <v>125</v>
      </c>
      <c r="D83" s="14">
        <v>19</v>
      </c>
      <c r="E83" s="1">
        <v>1</v>
      </c>
      <c r="F83" s="44">
        <f t="shared" si="7"/>
        <v>-18</v>
      </c>
      <c r="I83" s="10"/>
    </row>
    <row r="84" spans="1:9" s="43" customFormat="1" ht="15">
      <c r="A84" s="40"/>
      <c r="B84" s="40" t="s">
        <v>152</v>
      </c>
      <c r="C84" s="40"/>
      <c r="D84" s="14">
        <f>D83+D82+D81+D80+D79+D75+D74+D73+D72+D71+D70+D69+D68+D67+D66+D65+D64+D63+D62+D61+D78+D77+D76+D60</f>
        <v>1135281</v>
      </c>
      <c r="E84" s="59">
        <f>E83+E82+E81+E80+E79+E74+E73+E72+E71+E70+E69+E68+E67+E66+E65+E64+E63+E62+E61+E60+E75+E76+E77+E78</f>
        <v>371635</v>
      </c>
      <c r="F84" s="59">
        <f>F83+F82+F81+F80+F79+F74+F73+F72+F71+F70+F69+F68+F67+F66+F65+F64+F63+F62+F61+F60+F75+F76+F77+F78</f>
        <v>-763646</v>
      </c>
      <c r="H84" s="54"/>
      <c r="I84" s="57"/>
    </row>
    <row r="85" ht="15">
      <c r="F85" s="35"/>
    </row>
  </sheetData>
  <sheetProtection/>
  <mergeCells count="50">
    <mergeCell ref="A74:A75"/>
    <mergeCell ref="B74:B75"/>
    <mergeCell ref="W51:W52"/>
    <mergeCell ref="X51:X52"/>
    <mergeCell ref="W39:W40"/>
    <mergeCell ref="X39:X40"/>
    <mergeCell ref="W42:W43"/>
    <mergeCell ref="X42:X43"/>
    <mergeCell ref="W48:W49"/>
    <mergeCell ref="X48:X49"/>
    <mergeCell ref="A66:A67"/>
    <mergeCell ref="B66:B67"/>
    <mergeCell ref="A68:A69"/>
    <mergeCell ref="B68:B69"/>
    <mergeCell ref="A70:A71"/>
    <mergeCell ref="B70:B71"/>
    <mergeCell ref="A60:A61"/>
    <mergeCell ref="B60:B61"/>
    <mergeCell ref="A62:A63"/>
    <mergeCell ref="B62:B63"/>
    <mergeCell ref="A64:A65"/>
    <mergeCell ref="B64:B65"/>
    <mergeCell ref="A39:A40"/>
    <mergeCell ref="B39:B40"/>
    <mergeCell ref="A41:A42"/>
    <mergeCell ref="B41:B42"/>
    <mergeCell ref="A45:A46"/>
    <mergeCell ref="B45:B46"/>
    <mergeCell ref="A31:A32"/>
    <mergeCell ref="B31:B32"/>
    <mergeCell ref="A35:A36"/>
    <mergeCell ref="B35:B36"/>
    <mergeCell ref="A37:A38"/>
    <mergeCell ref="B37:B38"/>
    <mergeCell ref="A11:A12"/>
    <mergeCell ref="B11:B12"/>
    <mergeCell ref="A13:A14"/>
    <mergeCell ref="B13:B14"/>
    <mergeCell ref="A17:A18"/>
    <mergeCell ref="B17:B18"/>
    <mergeCell ref="A3:A4"/>
    <mergeCell ref="B3:B4"/>
    <mergeCell ref="A5:A6"/>
    <mergeCell ref="B5:B6"/>
    <mergeCell ref="A33:A34"/>
    <mergeCell ref="B33:B34"/>
    <mergeCell ref="A7:A8"/>
    <mergeCell ref="B7:B8"/>
    <mergeCell ref="A9:A10"/>
    <mergeCell ref="B9:B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cityhall</dc:creator>
  <cp:keywords/>
  <dc:description/>
  <cp:lastModifiedBy>Рогачева Елена Евгеньевна</cp:lastModifiedBy>
  <cp:lastPrinted>2021-02-05T09:35:58Z</cp:lastPrinted>
  <dcterms:created xsi:type="dcterms:W3CDTF">2009-09-03T06:56:12Z</dcterms:created>
  <dcterms:modified xsi:type="dcterms:W3CDTF">2021-02-05T09:43:38Z</dcterms:modified>
  <cp:category/>
  <cp:version/>
  <cp:contentType/>
  <cp:contentStatus/>
</cp:coreProperties>
</file>