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never" defaultThemeVersion="124226"/>
  <bookViews>
    <workbookView xWindow="0" yWindow="0" windowWidth="24000" windowHeight="7575" tabRatio="599" firstSheet="1" activeTab="4"/>
  </bookViews>
  <sheets>
    <sheet name="конеч.рез." sheetId="9" state="hidden" r:id="rId1"/>
    <sheet name="1.переченьПБДД" sheetId="5" r:id="rId2"/>
    <sheet name="2.переченьМРАД" sheetId="1" r:id="rId3"/>
    <sheet name="3.меропр." sheetId="4" r:id="rId4"/>
    <sheet name="4.индик." sheetId="8" r:id="rId5"/>
  </sheets>
  <externalReferences>
    <externalReference r:id="rId6"/>
    <externalReference r:id="rId7"/>
  </externalReferences>
  <definedNames>
    <definedName name="_xlnm._FilterDatabase" localSheetId="1" hidden="1">'1.переченьПБДД'!#REF!</definedName>
    <definedName name="_xlnm._FilterDatabase" localSheetId="2" hidden="1">'2.переченьМРАД'!$A$4:$AE$6</definedName>
    <definedName name="_xlnm._FilterDatabase" localSheetId="3" hidden="1">'3.меропр.'!#REF!</definedName>
    <definedName name="Aс1">'3.меропр.'!#REF!</definedName>
    <definedName name="_xlnm.Print_Titles" localSheetId="1">'1.переченьПБДД'!$4:$7</definedName>
    <definedName name="_xlnm.Print_Titles" localSheetId="2">'2.переченьМРАД'!$4:$7</definedName>
    <definedName name="_xlnm.Print_Titles" localSheetId="3">'3.меропр.'!$4:$7</definedName>
    <definedName name="_xlnm.Print_Titles" localSheetId="4">'4.индик.'!$5:$9</definedName>
    <definedName name="_xlnm.Print_Titles" localSheetId="0">конеч.рез.!$3:$5</definedName>
    <definedName name="_xlnm.Print_Area" localSheetId="1">'1.переченьПБДД'!$A$1:$AB$651</definedName>
    <definedName name="_xlnm.Print_Area" localSheetId="2">'2.переченьМРАД'!$A$1:$AC$306</definedName>
    <definedName name="_xlnm.Print_Area" localSheetId="3">'3.меропр.'!$A$1:$AD$109</definedName>
    <definedName name="_xlnm.Print_Area" localSheetId="4">'4.индик.'!$A$1:$J$152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E206" i="1" l="1"/>
  <c r="F206" i="1"/>
  <c r="K206" i="1"/>
  <c r="O206" i="1"/>
  <c r="P206" i="1"/>
  <c r="U206" i="1"/>
  <c r="Z107" i="4" l="1"/>
  <c r="Z38" i="4" l="1"/>
  <c r="Z35" i="4"/>
  <c r="Z25" i="4"/>
  <c r="Z19" i="4"/>
  <c r="Z17" i="4"/>
  <c r="Z16" i="4"/>
  <c r="Z13" i="4"/>
  <c r="J104" i="8" l="1"/>
  <c r="X635" i="5"/>
  <c r="X596" i="5"/>
  <c r="J137" i="8"/>
  <c r="J30" i="8"/>
  <c r="J29" i="8"/>
  <c r="X237" i="5"/>
  <c r="X195" i="5"/>
  <c r="J20" i="8"/>
  <c r="J17" i="8"/>
  <c r="J19" i="8"/>
  <c r="X154" i="5" l="1"/>
  <c r="J18" i="8"/>
  <c r="X136" i="5"/>
  <c r="J15" i="8"/>
  <c r="X10" i="5"/>
  <c r="J138" i="8"/>
  <c r="AC264" i="1" l="1"/>
  <c r="AC298" i="1"/>
  <c r="C206" i="1"/>
  <c r="D206" i="1"/>
  <c r="Z206" i="1"/>
  <c r="Z70" i="4"/>
  <c r="AB97" i="1" l="1"/>
  <c r="AC188" i="1"/>
  <c r="J68" i="8"/>
  <c r="Z104" i="4"/>
  <c r="Z95" i="4"/>
  <c r="AA95" i="4"/>
  <c r="Z80" i="4"/>
  <c r="I13" i="9" l="1"/>
  <c r="I9" i="9"/>
  <c r="Z92" i="1" l="1"/>
  <c r="AF189" i="1" l="1"/>
  <c r="AE189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189" i="1"/>
  <c r="Z190" i="1"/>
  <c r="U205" i="1"/>
  <c r="P205" i="1"/>
  <c r="O205" i="1"/>
  <c r="U204" i="1"/>
  <c r="P204" i="1"/>
  <c r="O204" i="1"/>
  <c r="U203" i="1"/>
  <c r="P203" i="1"/>
  <c r="O203" i="1"/>
  <c r="U202" i="1"/>
  <c r="P202" i="1"/>
  <c r="O202" i="1"/>
  <c r="U201" i="1"/>
  <c r="P201" i="1"/>
  <c r="O201" i="1"/>
  <c r="U200" i="1"/>
  <c r="P200" i="1"/>
  <c r="O200" i="1"/>
  <c r="U199" i="1"/>
  <c r="P199" i="1"/>
  <c r="O199" i="1"/>
  <c r="U198" i="1"/>
  <c r="P198" i="1"/>
  <c r="O198" i="1"/>
  <c r="U197" i="1"/>
  <c r="P197" i="1"/>
  <c r="O197" i="1"/>
  <c r="U196" i="1"/>
  <c r="P196" i="1"/>
  <c r="O196" i="1"/>
  <c r="U195" i="1"/>
  <c r="P195" i="1"/>
  <c r="O195" i="1"/>
  <c r="U194" i="1"/>
  <c r="P194" i="1"/>
  <c r="O194" i="1"/>
  <c r="U193" i="1"/>
  <c r="P193" i="1"/>
  <c r="O193" i="1"/>
  <c r="U192" i="1"/>
  <c r="P192" i="1"/>
  <c r="O192" i="1"/>
  <c r="U191" i="1"/>
  <c r="P191" i="1"/>
  <c r="O191" i="1"/>
  <c r="U190" i="1"/>
  <c r="P190" i="1"/>
  <c r="O190" i="1"/>
  <c r="U189" i="1"/>
  <c r="P189" i="1"/>
  <c r="F189" i="1"/>
  <c r="K189" i="1"/>
  <c r="F190" i="1"/>
  <c r="K190" i="1"/>
  <c r="F191" i="1"/>
  <c r="K191" i="1"/>
  <c r="F192" i="1"/>
  <c r="K192" i="1"/>
  <c r="F193" i="1"/>
  <c r="K193" i="1"/>
  <c r="F194" i="1"/>
  <c r="K194" i="1"/>
  <c r="F195" i="1"/>
  <c r="K195" i="1"/>
  <c r="F196" i="1"/>
  <c r="K196" i="1"/>
  <c r="F197" i="1"/>
  <c r="K197" i="1"/>
  <c r="F198" i="1"/>
  <c r="K198" i="1"/>
  <c r="F199" i="1"/>
  <c r="K199" i="1"/>
  <c r="F200" i="1"/>
  <c r="K200" i="1"/>
  <c r="F201" i="1"/>
  <c r="K201" i="1"/>
  <c r="F202" i="1"/>
  <c r="K202" i="1"/>
  <c r="F203" i="1"/>
  <c r="K203" i="1"/>
  <c r="F204" i="1"/>
  <c r="K204" i="1"/>
  <c r="F205" i="1"/>
  <c r="K205" i="1"/>
  <c r="E189" i="1"/>
  <c r="E190" i="1"/>
  <c r="E191" i="1"/>
  <c r="E192" i="1"/>
  <c r="C192" i="1" s="1"/>
  <c r="E193" i="1"/>
  <c r="E194" i="1"/>
  <c r="C194" i="1" s="1"/>
  <c r="E195" i="1"/>
  <c r="C195" i="1" s="1"/>
  <c r="E196" i="1"/>
  <c r="E197" i="1"/>
  <c r="C197" i="1" s="1"/>
  <c r="E198" i="1"/>
  <c r="E199" i="1"/>
  <c r="C199" i="1" s="1"/>
  <c r="E200" i="1"/>
  <c r="E201" i="1"/>
  <c r="C201" i="1" s="1"/>
  <c r="E202" i="1"/>
  <c r="E203" i="1"/>
  <c r="C203" i="1" s="1"/>
  <c r="E204" i="1"/>
  <c r="E205" i="1"/>
  <c r="C205" i="1" s="1"/>
  <c r="AF255" i="1"/>
  <c r="AE255" i="1"/>
  <c r="AD236" i="1"/>
  <c r="Z255" i="1"/>
  <c r="Z256" i="1"/>
  <c r="Z257" i="1"/>
  <c r="Z258" i="1"/>
  <c r="Z259" i="1"/>
  <c r="Z260" i="1"/>
  <c r="D205" i="1" l="1"/>
  <c r="D203" i="1"/>
  <c r="D201" i="1"/>
  <c r="D200" i="1"/>
  <c r="D199" i="1"/>
  <c r="D198" i="1"/>
  <c r="D197" i="1"/>
  <c r="D195" i="1"/>
  <c r="D194" i="1"/>
  <c r="D192" i="1"/>
  <c r="D190" i="1"/>
  <c r="AD189" i="1"/>
  <c r="D204" i="1"/>
  <c r="D202" i="1"/>
  <c r="D196" i="1"/>
  <c r="D193" i="1"/>
  <c r="D191" i="1"/>
  <c r="D189" i="1"/>
  <c r="C190" i="1"/>
  <c r="C204" i="1"/>
  <c r="C202" i="1"/>
  <c r="C200" i="1"/>
  <c r="C198" i="1"/>
  <c r="C196" i="1"/>
  <c r="C193" i="1"/>
  <c r="C191" i="1"/>
  <c r="C189" i="1"/>
  <c r="U260" i="1" l="1"/>
  <c r="U259" i="1"/>
  <c r="U258" i="1"/>
  <c r="U257" i="1"/>
  <c r="U256" i="1"/>
  <c r="U255" i="1"/>
  <c r="F255" i="1"/>
  <c r="K255" i="1"/>
  <c r="P255" i="1"/>
  <c r="F256" i="1"/>
  <c r="K256" i="1"/>
  <c r="P256" i="1"/>
  <c r="F257" i="1"/>
  <c r="K257" i="1"/>
  <c r="P257" i="1"/>
  <c r="F258" i="1"/>
  <c r="K258" i="1"/>
  <c r="P258" i="1"/>
  <c r="F259" i="1"/>
  <c r="K259" i="1"/>
  <c r="P259" i="1"/>
  <c r="F260" i="1"/>
  <c r="K260" i="1"/>
  <c r="P260" i="1"/>
  <c r="C255" i="1"/>
  <c r="C256" i="1"/>
  <c r="C257" i="1"/>
  <c r="C258" i="1"/>
  <c r="C259" i="1"/>
  <c r="C260" i="1"/>
  <c r="D258" i="1" l="1"/>
  <c r="D260" i="1"/>
  <c r="D259" i="1"/>
  <c r="D257" i="1"/>
  <c r="D256" i="1"/>
  <c r="D255" i="1"/>
  <c r="Y17" i="4"/>
  <c r="Z33" i="4"/>
  <c r="Y104" i="4" l="1"/>
  <c r="AD104" i="4" s="1"/>
  <c r="Z92" i="4"/>
  <c r="J145" i="8" l="1"/>
  <c r="J133" i="8"/>
  <c r="J75" i="8" l="1"/>
  <c r="J71" i="8"/>
  <c r="X610" i="5" l="1"/>
  <c r="W596" i="5"/>
  <c r="X564" i="5"/>
  <c r="W540" i="5"/>
  <c r="X523" i="5"/>
  <c r="X47" i="5" l="1"/>
  <c r="Z36" i="4" l="1"/>
  <c r="Z32" i="4"/>
  <c r="J31" i="8" l="1"/>
  <c r="Z26" i="4"/>
  <c r="Z15" i="4"/>
  <c r="I17" i="8"/>
  <c r="Z269" i="1" l="1"/>
  <c r="AC66" i="1"/>
  <c r="AC48" i="1"/>
  <c r="J95" i="8"/>
  <c r="AC296" i="1"/>
  <c r="Z68" i="4" s="1"/>
  <c r="AB296" i="1"/>
  <c r="AA296" i="1"/>
  <c r="Y296" i="1"/>
  <c r="W296" i="1"/>
  <c r="V296" i="1"/>
  <c r="T296" i="1"/>
  <c r="S296" i="1"/>
  <c r="R296" i="1"/>
  <c r="Q296" i="1"/>
  <c r="O296" i="1"/>
  <c r="N296" i="1"/>
  <c r="M296" i="1"/>
  <c r="L296" i="1"/>
  <c r="J296" i="1"/>
  <c r="I296" i="1"/>
  <c r="H296" i="1"/>
  <c r="G296" i="1"/>
  <c r="E296" i="1"/>
  <c r="Z295" i="1"/>
  <c r="Z296" i="1" s="1"/>
  <c r="Y68" i="4" s="1"/>
  <c r="AD68" i="4" s="1"/>
  <c r="X296" i="1"/>
  <c r="U295" i="1"/>
  <c r="U296" i="1" s="1"/>
  <c r="P295" i="1"/>
  <c r="P296" i="1" s="1"/>
  <c r="K295" i="1"/>
  <c r="K296" i="1" s="1"/>
  <c r="F296" i="1"/>
  <c r="C295" i="1"/>
  <c r="C296" i="1" s="1"/>
  <c r="Z271" i="1"/>
  <c r="AC270" i="1"/>
  <c r="Z270" i="1" s="1"/>
  <c r="C271" i="1"/>
  <c r="C270" i="1"/>
  <c r="D271" i="1"/>
  <c r="D295" i="1" l="1"/>
  <c r="D296" i="1" s="1"/>
  <c r="AC71" i="1"/>
  <c r="AC73" i="1"/>
  <c r="Z73" i="1" s="1"/>
  <c r="Y57" i="4"/>
  <c r="AD57" i="4" s="1"/>
  <c r="Z43" i="1"/>
  <c r="Z79" i="4"/>
  <c r="Z77" i="4"/>
  <c r="Z76" i="4"/>
  <c r="AA97" i="4" l="1"/>
  <c r="AA105" i="4" s="1"/>
  <c r="Z97" i="4"/>
  <c r="Z102" i="4"/>
  <c r="Z89" i="4"/>
  <c r="I137" i="8" l="1"/>
  <c r="H9" i="9" l="1"/>
  <c r="I95" i="8" l="1"/>
  <c r="V95" i="4" l="1"/>
  <c r="S635" i="5" l="1"/>
  <c r="U38" i="4"/>
  <c r="S610" i="5"/>
  <c r="S596" i="5"/>
  <c r="S591" i="5"/>
  <c r="S565" i="5"/>
  <c r="S564" i="5"/>
  <c r="S563" i="5"/>
  <c r="S540" i="5"/>
  <c r="S523" i="5"/>
  <c r="S237" i="5"/>
  <c r="S227" i="5"/>
  <c r="R227" i="5" s="1"/>
  <c r="S195" i="5"/>
  <c r="S154" i="5"/>
  <c r="S136" i="5"/>
  <c r="S47" i="5"/>
  <c r="H10" i="9" l="1"/>
  <c r="I39" i="8" l="1"/>
  <c r="I36" i="8"/>
  <c r="I30" i="8"/>
  <c r="I63" i="8" l="1"/>
  <c r="U25" i="4" l="1"/>
  <c r="U34" i="4"/>
  <c r="U61" i="4" l="1"/>
  <c r="T61" i="4" s="1"/>
  <c r="U76" i="4"/>
  <c r="U79" i="4"/>
  <c r="U90" i="4"/>
  <c r="I76" i="8" l="1"/>
  <c r="X47" i="1"/>
  <c r="X12" i="1"/>
  <c r="X71" i="1"/>
  <c r="U298" i="1"/>
  <c r="W12" i="1"/>
  <c r="X13" i="1"/>
  <c r="U31" i="4" l="1"/>
  <c r="U27" i="4" l="1"/>
  <c r="U36" i="4" l="1"/>
  <c r="U35" i="4"/>
  <c r="U32" i="4"/>
  <c r="U17" i="4" l="1"/>
  <c r="U33" i="4"/>
  <c r="U16" i="4"/>
  <c r="U15" i="4"/>
  <c r="U19" i="4"/>
  <c r="U26" i="4"/>
  <c r="U23" i="4"/>
  <c r="X103" i="1" l="1"/>
  <c r="X265" i="1"/>
  <c r="X50" i="1"/>
  <c r="X174" i="1"/>
  <c r="X264" i="1"/>
  <c r="X72" i="1"/>
  <c r="U81" i="4"/>
  <c r="U83" i="4"/>
  <c r="U95" i="4" l="1"/>
  <c r="I29" i="8" l="1"/>
  <c r="I69" i="8" l="1"/>
  <c r="X46" i="1"/>
  <c r="X69" i="1"/>
  <c r="I19" i="8" l="1"/>
  <c r="I108" i="8" l="1"/>
  <c r="I116" i="8" l="1"/>
  <c r="U107" i="4" l="1"/>
  <c r="X99" i="1"/>
  <c r="W292" i="1"/>
  <c r="X292" i="1"/>
  <c r="U70" i="4"/>
  <c r="X70" i="1"/>
  <c r="Y61" i="4"/>
  <c r="AD61" i="4" s="1"/>
  <c r="U14" i="4" l="1"/>
  <c r="I101" i="8" l="1"/>
  <c r="S33" i="5" l="1"/>
  <c r="AC55" i="1" l="1"/>
  <c r="U71" i="1"/>
  <c r="X88" i="1"/>
  <c r="Y22" i="4" l="1"/>
  <c r="T22" i="4"/>
  <c r="AD22" i="4" l="1"/>
  <c r="W227" i="5"/>
  <c r="AB227" i="5" l="1"/>
  <c r="U207" i="1"/>
  <c r="P187" i="1" l="1"/>
  <c r="P186" i="1"/>
  <c r="P185" i="1"/>
  <c r="P184" i="1"/>
  <c r="E184" i="1"/>
  <c r="F184" i="1"/>
  <c r="K184" i="1"/>
  <c r="E185" i="1"/>
  <c r="F185" i="1"/>
  <c r="K185" i="1"/>
  <c r="E186" i="1"/>
  <c r="F186" i="1"/>
  <c r="K186" i="1"/>
  <c r="E187" i="1"/>
  <c r="F187" i="1"/>
  <c r="K187" i="1"/>
  <c r="X42" i="1" l="1"/>
  <c r="C187" i="1" l="1"/>
  <c r="U187" i="1"/>
  <c r="C185" i="1"/>
  <c r="C186" i="1"/>
  <c r="U184" i="1"/>
  <c r="U185" i="1"/>
  <c r="D185" i="1" s="1"/>
  <c r="U186" i="1"/>
  <c r="D186" i="1" s="1"/>
  <c r="C184" i="1"/>
  <c r="D184" i="1" l="1"/>
  <c r="AD184" i="1"/>
  <c r="D187" i="1"/>
  <c r="U50" i="1"/>
  <c r="W42" i="1" l="1"/>
  <c r="U13" i="4" l="1"/>
  <c r="T262" i="1" l="1"/>
  <c r="C287" i="1"/>
  <c r="F287" i="1"/>
  <c r="C282" i="1"/>
  <c r="K282" i="1"/>
  <c r="F282" i="1"/>
  <c r="C269" i="1"/>
  <c r="F270" i="1"/>
  <c r="F269" i="1"/>
  <c r="K269" i="1"/>
  <c r="P24" i="1"/>
  <c r="Z36" i="1"/>
  <c r="Z37" i="1"/>
  <c r="Z35" i="1"/>
  <c r="U35" i="1"/>
  <c r="U36" i="1"/>
  <c r="U37" i="1"/>
  <c r="P35" i="1"/>
  <c r="P36" i="1"/>
  <c r="P37" i="1"/>
  <c r="K36" i="1"/>
  <c r="K37" i="1"/>
  <c r="K35" i="1"/>
  <c r="F35" i="1"/>
  <c r="F36" i="1"/>
  <c r="F37" i="1"/>
  <c r="C35" i="1"/>
  <c r="C36" i="1"/>
  <c r="U15" i="1"/>
  <c r="U16" i="1"/>
  <c r="U17" i="1"/>
  <c r="U18" i="1"/>
  <c r="U19" i="1"/>
  <c r="U20" i="1"/>
  <c r="Z15" i="1"/>
  <c r="Z16" i="1"/>
  <c r="Z17" i="1"/>
  <c r="Z18" i="1"/>
  <c r="Z19" i="1"/>
  <c r="Z20" i="1"/>
  <c r="P15" i="1"/>
  <c r="P16" i="1"/>
  <c r="P17" i="1"/>
  <c r="P18" i="1"/>
  <c r="P19" i="1"/>
  <c r="P20" i="1"/>
  <c r="P14" i="1"/>
  <c r="K15" i="1"/>
  <c r="K16" i="1"/>
  <c r="K17" i="1"/>
  <c r="K18" i="1"/>
  <c r="K19" i="1"/>
  <c r="K20" i="1"/>
  <c r="C18" i="1"/>
  <c r="C22" i="1"/>
  <c r="F22" i="1"/>
  <c r="M22" i="1"/>
  <c r="N22" i="1"/>
  <c r="R22" i="1"/>
  <c r="S22" i="1"/>
  <c r="U22" i="1"/>
  <c r="Z44" i="1" l="1"/>
  <c r="D35" i="1"/>
  <c r="D36" i="1"/>
  <c r="P22" i="1"/>
  <c r="D17" i="1"/>
  <c r="D15" i="1"/>
  <c r="D19" i="1"/>
  <c r="K22" i="1"/>
  <c r="D22" i="1" s="1"/>
  <c r="D21" i="1" s="1"/>
  <c r="D20" i="1"/>
  <c r="D18" i="1"/>
  <c r="D16" i="1"/>
  <c r="I31" i="8"/>
  <c r="S10" i="5" l="1"/>
  <c r="I16" i="8"/>
  <c r="X52" i="1"/>
  <c r="U264" i="1"/>
  <c r="T83" i="4"/>
  <c r="AC68" i="1" l="1"/>
  <c r="AC75" i="1" s="1"/>
  <c r="I46" i="8" l="1"/>
  <c r="I40" i="8"/>
  <c r="I28" i="8" l="1"/>
  <c r="I18" i="8" l="1"/>
  <c r="I15" i="8"/>
  <c r="W262" i="1" l="1"/>
  <c r="U188" i="1"/>
  <c r="U103" i="1"/>
  <c r="U47" i="1" l="1"/>
  <c r="U46" i="1"/>
  <c r="Y90" i="4"/>
  <c r="T90" i="4"/>
  <c r="AD90" i="4" l="1"/>
  <c r="O272" i="1"/>
  <c r="I110" i="8" l="1"/>
  <c r="S562" i="5" l="1"/>
  <c r="X562" i="5"/>
  <c r="Z30" i="4" l="1"/>
  <c r="U30" i="4"/>
  <c r="AG49" i="4" l="1"/>
  <c r="AH49" i="4"/>
  <c r="AF49" i="4"/>
  <c r="U92" i="1" l="1"/>
  <c r="C69" i="1"/>
  <c r="I20" i="8"/>
  <c r="U42" i="1" l="1"/>
  <c r="Y80" i="4" l="1"/>
  <c r="G17" i="9" l="1"/>
  <c r="G15" i="9"/>
  <c r="P95" i="4" l="1"/>
  <c r="P33" i="4"/>
  <c r="P17" i="4"/>
  <c r="P15" i="4"/>
  <c r="S58" i="1"/>
  <c r="R42" i="1"/>
  <c r="N565" i="5"/>
  <c r="N154" i="5"/>
  <c r="N47" i="5"/>
  <c r="U89" i="4" l="1"/>
  <c r="P254" i="1" l="1"/>
  <c r="P253" i="1"/>
  <c r="K254" i="1"/>
  <c r="K253" i="1"/>
  <c r="F254" i="1"/>
  <c r="F253" i="1"/>
  <c r="I145" i="8" l="1"/>
  <c r="I138" i="8"/>
  <c r="I133" i="8"/>
  <c r="H13" i="9"/>
  <c r="C73" i="1" l="1"/>
  <c r="C72" i="1"/>
  <c r="C70" i="1"/>
  <c r="C67" i="1"/>
  <c r="C68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49" i="1"/>
  <c r="C50" i="1"/>
  <c r="C51" i="1"/>
  <c r="AC252" i="1" l="1"/>
  <c r="AB252" i="1"/>
  <c r="AB251" i="1"/>
  <c r="AC251" i="1"/>
  <c r="AB250" i="1"/>
  <c r="AC250" i="1"/>
  <c r="AC249" i="1"/>
  <c r="AB249" i="1"/>
  <c r="AB248" i="1"/>
  <c r="AC248" i="1"/>
  <c r="X284" i="1" l="1"/>
  <c r="X274" i="1"/>
  <c r="W610" i="5" l="1"/>
  <c r="W154" i="5"/>
  <c r="X645" i="5" l="1"/>
  <c r="X647" i="5" l="1"/>
  <c r="AC179" i="1"/>
  <c r="AC95" i="1"/>
  <c r="AC97" i="1" s="1"/>
  <c r="Y264" i="1"/>
  <c r="AC103" i="1"/>
  <c r="X105" i="1"/>
  <c r="Z48" i="1"/>
  <c r="Z49" i="1"/>
  <c r="U48" i="1"/>
  <c r="U49" i="1"/>
  <c r="U28" i="4" l="1"/>
  <c r="X95" i="1" l="1"/>
  <c r="X97" i="1" s="1"/>
  <c r="X175" i="1"/>
  <c r="X262" i="1" s="1"/>
  <c r="C253" i="1"/>
  <c r="C254" i="1"/>
  <c r="U261" i="1"/>
  <c r="Z253" i="1" l="1"/>
  <c r="Z254" i="1"/>
  <c r="U254" i="1"/>
  <c r="U253" i="1"/>
  <c r="D253" i="1" l="1"/>
  <c r="D254" i="1"/>
  <c r="U73" i="1"/>
  <c r="D73" i="1" s="1"/>
  <c r="U176" i="1"/>
  <c r="X75" i="1" l="1"/>
  <c r="Z72" i="1"/>
  <c r="U72" i="1"/>
  <c r="U74" i="1"/>
  <c r="S551" i="5"/>
  <c r="S645" i="5" s="1"/>
  <c r="D72" i="1" l="1"/>
  <c r="W226" i="5"/>
  <c r="R226" i="5"/>
  <c r="Y23" i="4"/>
  <c r="T23" i="4"/>
  <c r="AD23" i="4" l="1"/>
  <c r="AB226" i="5"/>
  <c r="R610" i="5" l="1"/>
  <c r="R596" i="5"/>
  <c r="R591" i="5"/>
  <c r="R565" i="5"/>
  <c r="U77" i="4"/>
  <c r="U84" i="4" s="1"/>
  <c r="U97" i="4" l="1"/>
  <c r="U92" i="4"/>
  <c r="U102" i="4"/>
  <c r="X89" i="4"/>
  <c r="AC89" i="4"/>
  <c r="U105" i="4" l="1"/>
  <c r="P207" i="1"/>
  <c r="S261" i="1"/>
  <c r="R261" i="1"/>
  <c r="H109" i="8" l="1"/>
  <c r="H108" i="8"/>
  <c r="S103" i="1" l="1"/>
  <c r="S265" i="1"/>
  <c r="H78" i="8" l="1"/>
  <c r="H97" i="8"/>
  <c r="H34" i="8" l="1"/>
  <c r="H18" i="8"/>
  <c r="G22" i="9" l="1"/>
  <c r="G13" i="9"/>
  <c r="G10" i="9"/>
  <c r="G9" i="9"/>
  <c r="H18" i="9" l="1"/>
  <c r="G18" i="9"/>
  <c r="H17" i="9"/>
  <c r="H16" i="9"/>
  <c r="G16" i="9"/>
  <c r="H15" i="9"/>
  <c r="H138" i="8" l="1"/>
  <c r="H137" i="8" l="1"/>
  <c r="H17" i="8" l="1"/>
  <c r="H36" i="8" l="1"/>
  <c r="H39" i="8"/>
  <c r="S89" i="4" l="1"/>
  <c r="R232" i="1" l="1"/>
  <c r="S232" i="1"/>
  <c r="H646" i="5" l="1"/>
  <c r="C646" i="5"/>
  <c r="N646" i="5"/>
  <c r="Y49" i="4"/>
  <c r="T49" i="4"/>
  <c r="J49" i="4"/>
  <c r="E49" i="4"/>
  <c r="L48" i="4"/>
  <c r="M48" i="4"/>
  <c r="N48" i="4"/>
  <c r="G48" i="4"/>
  <c r="H48" i="4"/>
  <c r="I48" i="4"/>
  <c r="P38" i="4"/>
  <c r="H47" i="8"/>
  <c r="P36" i="4"/>
  <c r="P32" i="4"/>
  <c r="P29" i="4"/>
  <c r="P28" i="4"/>
  <c r="P27" i="4"/>
  <c r="P26" i="4"/>
  <c r="P25" i="4"/>
  <c r="P18" i="4"/>
  <c r="P49" i="4" s="1"/>
  <c r="P14" i="4"/>
  <c r="P13" i="4"/>
  <c r="O18" i="4" l="1"/>
  <c r="AD18" i="4" s="1"/>
  <c r="O49" i="4"/>
  <c r="P107" i="4" s="1"/>
  <c r="AE49" i="4"/>
  <c r="H16" i="8"/>
  <c r="H15" i="8"/>
  <c r="AD49" i="4" l="1"/>
  <c r="E100" i="4"/>
  <c r="J100" i="4"/>
  <c r="T100" i="4"/>
  <c r="Y100" i="4"/>
  <c r="O100" i="4"/>
  <c r="AD100" i="4" l="1"/>
  <c r="P79" i="4" l="1"/>
  <c r="N610" i="5" l="1"/>
  <c r="N33" i="5"/>
  <c r="N635" i="5"/>
  <c r="N564" i="5"/>
  <c r="N554" i="5"/>
  <c r="N551" i="5"/>
  <c r="N237" i="5"/>
  <c r="N523" i="5"/>
  <c r="N223" i="5" l="1"/>
  <c r="M194" i="5" l="1"/>
  <c r="M646" i="5" s="1"/>
  <c r="AB646" i="5" s="1"/>
  <c r="N195" i="5" l="1"/>
  <c r="N10" i="5"/>
  <c r="N540" i="5"/>
  <c r="S105" i="1" l="1"/>
  <c r="S175" i="1"/>
  <c r="S94" i="1" l="1"/>
  <c r="S264" i="1" l="1"/>
  <c r="S183" i="1" l="1"/>
  <c r="R182" i="1"/>
  <c r="S177" i="1"/>
  <c r="S40" i="1" l="1"/>
  <c r="S275" i="1" l="1"/>
  <c r="S286" i="1"/>
  <c r="S279" i="1"/>
  <c r="S276" i="1"/>
  <c r="Q272" i="1"/>
  <c r="R272" i="1"/>
  <c r="S272" i="1" l="1"/>
  <c r="S242" i="1"/>
  <c r="S233" i="1"/>
  <c r="R242" i="1" l="1"/>
  <c r="R236" i="1"/>
  <c r="S236" i="1"/>
  <c r="R234" i="1"/>
  <c r="S234" i="1"/>
  <c r="R233" i="1"/>
  <c r="R222" i="1"/>
  <c r="S222" i="1"/>
  <c r="R221" i="1"/>
  <c r="S221" i="1"/>
  <c r="R183" i="1"/>
  <c r="S182" i="1"/>
  <c r="R181" i="1"/>
  <c r="S181" i="1"/>
  <c r="C222" i="1"/>
  <c r="S179" i="1"/>
  <c r="S173" i="1"/>
  <c r="R93" i="1" l="1"/>
  <c r="S93" i="1"/>
  <c r="S71" i="1"/>
  <c r="S42" i="1" l="1"/>
  <c r="P83" i="4" l="1"/>
  <c r="P80" i="4"/>
  <c r="H133" i="8" l="1"/>
  <c r="P92" i="4"/>
  <c r="P21" i="4" l="1"/>
  <c r="P19" i="4"/>
  <c r="O13" i="4"/>
  <c r="G65" i="8" l="1"/>
  <c r="G62" i="4" l="1"/>
  <c r="F62" i="4"/>
  <c r="AA62" i="4"/>
  <c r="V62" i="4"/>
  <c r="U62" i="4"/>
  <c r="O102" i="4" l="1"/>
  <c r="I28" i="1"/>
  <c r="O242" i="1" l="1"/>
  <c r="G28" i="1" l="1"/>
  <c r="H28" i="1"/>
  <c r="AC293" i="1"/>
  <c r="AB293" i="1"/>
  <c r="AA293" i="1"/>
  <c r="Y293" i="1"/>
  <c r="X293" i="1"/>
  <c r="W293" i="1"/>
  <c r="V293" i="1"/>
  <c r="T293" i="1"/>
  <c r="Q293" i="1"/>
  <c r="O293" i="1"/>
  <c r="N293" i="1"/>
  <c r="M293" i="1"/>
  <c r="L67" i="4" s="1"/>
  <c r="L293" i="1"/>
  <c r="J293" i="1"/>
  <c r="H293" i="1"/>
  <c r="G293" i="1"/>
  <c r="E293" i="1"/>
  <c r="C292" i="1"/>
  <c r="C293" i="1" s="1"/>
  <c r="F292" i="1"/>
  <c r="F293" i="1" s="1"/>
  <c r="S38" i="1"/>
  <c r="R38" i="1"/>
  <c r="AB75" i="1"/>
  <c r="AA75" i="1"/>
  <c r="Y75" i="1"/>
  <c r="W75" i="1"/>
  <c r="V75" i="1"/>
  <c r="T75" i="1"/>
  <c r="R75" i="1"/>
  <c r="Q75" i="1"/>
  <c r="O75" i="1"/>
  <c r="J75" i="1"/>
  <c r="P38" i="1" l="1"/>
  <c r="AC174" i="1"/>
  <c r="Z95" i="1"/>
  <c r="U95" i="1"/>
  <c r="P41" i="1"/>
  <c r="P39" i="1"/>
  <c r="M41" i="1"/>
  <c r="K41" i="1" s="1"/>
  <c r="F41" i="1"/>
  <c r="C41" i="1"/>
  <c r="D41" i="1" l="1"/>
  <c r="P77" i="4" l="1"/>
  <c r="P76" i="4"/>
  <c r="C154" i="5" l="1"/>
  <c r="H101" i="8" l="1"/>
  <c r="O264" i="1" l="1"/>
  <c r="T264" i="1"/>
  <c r="H69" i="8"/>
  <c r="H63" i="8"/>
  <c r="C264" i="1" l="1"/>
  <c r="H116" i="8" l="1"/>
  <c r="E28" i="1" l="1"/>
  <c r="C28" i="1" s="1"/>
  <c r="Z32" i="1"/>
  <c r="N28" i="1"/>
  <c r="F32" i="1" l="1"/>
  <c r="U32" i="1"/>
  <c r="K32" i="1"/>
  <c r="P32" i="1"/>
  <c r="D32" i="1" l="1"/>
  <c r="H29" i="8"/>
  <c r="H28" i="8"/>
  <c r="H19" i="8" l="1"/>
  <c r="Q105" i="4" l="1"/>
  <c r="H40" i="8" l="1"/>
  <c r="N136" i="5" l="1"/>
  <c r="P16" i="4"/>
  <c r="S68" i="1"/>
  <c r="P40" i="1"/>
  <c r="S66" i="1"/>
  <c r="P84" i="4" l="1"/>
  <c r="O12" i="1"/>
  <c r="S12" i="1"/>
  <c r="E48" i="1"/>
  <c r="S48" i="1"/>
  <c r="O262" i="1"/>
  <c r="E75" i="1" l="1"/>
  <c r="C48" i="1"/>
  <c r="H20" i="8"/>
  <c r="H46" i="8" l="1"/>
  <c r="M610" i="5"/>
  <c r="H610" i="5"/>
  <c r="H30" i="8"/>
  <c r="M596" i="5"/>
  <c r="H596" i="5"/>
  <c r="AB610" i="5" l="1"/>
  <c r="AC84" i="4"/>
  <c r="AB84" i="4"/>
  <c r="AA84" i="4"/>
  <c r="X84" i="4"/>
  <c r="W84" i="4"/>
  <c r="V84" i="4"/>
  <c r="S84" i="4"/>
  <c r="R84" i="4"/>
  <c r="Q84" i="4"/>
  <c r="N84" i="4"/>
  <c r="M84" i="4"/>
  <c r="L84" i="4"/>
  <c r="I84" i="4"/>
  <c r="H84" i="4"/>
  <c r="G84" i="4"/>
  <c r="Z84" i="4"/>
  <c r="Y83" i="4"/>
  <c r="O83" i="4"/>
  <c r="J83" i="4"/>
  <c r="E83" i="4"/>
  <c r="AD83" i="4" l="1"/>
  <c r="P265" i="1"/>
  <c r="U265" i="1"/>
  <c r="K265" i="1"/>
  <c r="N264" i="1"/>
  <c r="K264" i="1" s="1"/>
  <c r="V105" i="4"/>
  <c r="K266" i="1" l="1"/>
  <c r="J102" i="4"/>
  <c r="Y102" i="4" l="1"/>
  <c r="T102" i="4"/>
  <c r="E102" i="4"/>
  <c r="AD102" i="4" l="1"/>
  <c r="Z71" i="1"/>
  <c r="P71" i="1"/>
  <c r="K71" i="1"/>
  <c r="C71" i="1"/>
  <c r="E21" i="4"/>
  <c r="K21" i="4"/>
  <c r="J21" i="4" s="1"/>
  <c r="O21" i="4"/>
  <c r="T21" i="4"/>
  <c r="Y21" i="4"/>
  <c r="D71" i="1" l="1"/>
  <c r="AD21" i="4"/>
  <c r="C223" i="5"/>
  <c r="H223" i="5"/>
  <c r="M223" i="5"/>
  <c r="R223" i="5"/>
  <c r="W223" i="5"/>
  <c r="AB223" i="5" l="1"/>
  <c r="U69" i="1" l="1"/>
  <c r="P69" i="1" l="1"/>
  <c r="N69" i="1" s="1"/>
  <c r="P70" i="1"/>
  <c r="N68" i="1"/>
  <c r="F68" i="1"/>
  <c r="Z70" i="1"/>
  <c r="U70" i="1" s="1"/>
  <c r="Z69" i="1"/>
  <c r="M69" i="1" l="1"/>
  <c r="L69" i="1" l="1"/>
  <c r="M75" i="1"/>
  <c r="F70" i="1"/>
  <c r="D70" i="1" s="1"/>
  <c r="K69" i="1" l="1"/>
  <c r="I69" i="1" s="1"/>
  <c r="L75" i="1"/>
  <c r="P188" i="1"/>
  <c r="E188" i="1"/>
  <c r="C188" i="1" s="1"/>
  <c r="F188" i="1"/>
  <c r="K188" i="1"/>
  <c r="Z188" i="1"/>
  <c r="D188" i="1" l="1"/>
  <c r="H69" i="1"/>
  <c r="R67" i="4"/>
  <c r="G69" i="1" l="1"/>
  <c r="H75" i="1"/>
  <c r="F69" i="1" l="1"/>
  <c r="D69" i="1" s="1"/>
  <c r="G75" i="1"/>
  <c r="E183" i="1"/>
  <c r="C183" i="1" s="1"/>
  <c r="F183" i="1"/>
  <c r="K183" i="1"/>
  <c r="P183" i="1"/>
  <c r="Z183" i="1"/>
  <c r="D183" i="1" l="1"/>
  <c r="P97" i="4"/>
  <c r="P105" i="4" s="1"/>
  <c r="H41" i="8" l="1"/>
  <c r="E182" i="1" l="1"/>
  <c r="C182" i="1" s="1"/>
  <c r="F182" i="1"/>
  <c r="K182" i="1"/>
  <c r="P182" i="1"/>
  <c r="Z182" i="1"/>
  <c r="E181" i="1"/>
  <c r="C181" i="1" s="1"/>
  <c r="F181" i="1"/>
  <c r="K181" i="1"/>
  <c r="P181" i="1"/>
  <c r="Z181" i="1"/>
  <c r="C207" i="1"/>
  <c r="H207" i="1"/>
  <c r="I207" i="1"/>
  <c r="K207" i="1"/>
  <c r="D181" i="1" l="1"/>
  <c r="D182" i="1"/>
  <c r="F207" i="1"/>
  <c r="D207" i="1" s="1"/>
  <c r="P92" i="1"/>
  <c r="M591" i="5"/>
  <c r="E180" i="1" l="1"/>
  <c r="C180" i="1" s="1"/>
  <c r="F180" i="1"/>
  <c r="K180" i="1"/>
  <c r="P180" i="1"/>
  <c r="Z180" i="1"/>
  <c r="D180" i="1" l="1"/>
  <c r="S293" i="1"/>
  <c r="R293" i="1"/>
  <c r="Q62" i="4"/>
  <c r="P46" i="1" l="1"/>
  <c r="C279" i="1"/>
  <c r="F279" i="1"/>
  <c r="K279" i="1"/>
  <c r="P279" i="1"/>
  <c r="Z279" i="1"/>
  <c r="D279" i="1" l="1"/>
  <c r="G101" i="8" l="1"/>
  <c r="P221" i="1"/>
  <c r="P222" i="1"/>
  <c r="P223" i="1" l="1"/>
  <c r="F22" i="9" l="1"/>
  <c r="G11" i="9"/>
  <c r="I109" i="8"/>
  <c r="G36" i="8" l="1"/>
  <c r="G63" i="8"/>
  <c r="J42" i="1"/>
  <c r="K63" i="1" l="1"/>
  <c r="K64" i="1"/>
  <c r="K65" i="1"/>
  <c r="K61" i="1"/>
  <c r="K62" i="1"/>
  <c r="P62" i="4"/>
  <c r="F48" i="1"/>
  <c r="K48" i="1"/>
  <c r="P48" i="1"/>
  <c r="D48" i="1" l="1"/>
  <c r="N88" i="1"/>
  <c r="N103" i="1"/>
  <c r="Z247" i="1"/>
  <c r="U247" i="1"/>
  <c r="P247" i="1"/>
  <c r="K247" i="1"/>
  <c r="F247" i="1"/>
  <c r="C247" i="1"/>
  <c r="Z246" i="1"/>
  <c r="U246" i="1"/>
  <c r="P246" i="1"/>
  <c r="K246" i="1"/>
  <c r="F246" i="1"/>
  <c r="C246" i="1"/>
  <c r="Z245" i="1"/>
  <c r="U245" i="1"/>
  <c r="P245" i="1"/>
  <c r="K245" i="1"/>
  <c r="F245" i="1"/>
  <c r="C245" i="1"/>
  <c r="M95" i="1"/>
  <c r="K95" i="1" s="1"/>
  <c r="M42" i="1"/>
  <c r="I635" i="5"/>
  <c r="I154" i="5"/>
  <c r="K38" i="4"/>
  <c r="K17" i="4"/>
  <c r="D245" i="1" l="1"/>
  <c r="D247" i="1"/>
  <c r="D246" i="1"/>
  <c r="J117" i="8" l="1"/>
  <c r="H95" i="8" l="1"/>
  <c r="O38" i="1" l="1"/>
  <c r="U53" i="1" l="1"/>
  <c r="U52" i="1"/>
  <c r="H21" i="8" l="1"/>
  <c r="Y272" i="1" l="1"/>
  <c r="Z79" i="1" l="1"/>
  <c r="Z80" i="1"/>
  <c r="Z81" i="1"/>
  <c r="Z82" i="1"/>
  <c r="T283" i="1"/>
  <c r="Z28" i="4" l="1"/>
  <c r="Z31" i="4"/>
  <c r="W523" i="5"/>
  <c r="AA64" i="4"/>
  <c r="Z64" i="4"/>
  <c r="C248" i="1"/>
  <c r="F248" i="1"/>
  <c r="K248" i="1"/>
  <c r="P248" i="1"/>
  <c r="U248" i="1"/>
  <c r="Z248" i="1"/>
  <c r="C249" i="1"/>
  <c r="F249" i="1"/>
  <c r="K249" i="1"/>
  <c r="P249" i="1"/>
  <c r="U249" i="1"/>
  <c r="Z249" i="1"/>
  <c r="C250" i="1"/>
  <c r="F250" i="1"/>
  <c r="K250" i="1"/>
  <c r="P250" i="1"/>
  <c r="U250" i="1"/>
  <c r="Z250" i="1"/>
  <c r="C251" i="1"/>
  <c r="F251" i="1"/>
  <c r="K251" i="1"/>
  <c r="P251" i="1"/>
  <c r="U251" i="1"/>
  <c r="Z251" i="1"/>
  <c r="C252" i="1"/>
  <c r="F252" i="1"/>
  <c r="K252" i="1"/>
  <c r="P252" i="1"/>
  <c r="U252" i="1"/>
  <c r="Z252" i="1"/>
  <c r="Z50" i="4" l="1"/>
  <c r="Z48" i="4"/>
  <c r="Y48" i="4" s="1"/>
  <c r="D252" i="1"/>
  <c r="D249" i="1"/>
  <c r="D251" i="1"/>
  <c r="D250" i="1"/>
  <c r="D248" i="1"/>
  <c r="Z179" i="1" l="1"/>
  <c r="P179" i="1"/>
  <c r="K179" i="1"/>
  <c r="F179" i="1"/>
  <c r="E179" i="1"/>
  <c r="C179" i="1" s="1"/>
  <c r="S50" i="1"/>
  <c r="S75" i="1" s="1"/>
  <c r="Z174" i="1"/>
  <c r="P93" i="1"/>
  <c r="D179" i="1" l="1"/>
  <c r="P58" i="4"/>
  <c r="AC173" i="1" l="1"/>
  <c r="Z173" i="1" s="1"/>
  <c r="U175" i="1"/>
  <c r="U177" i="1"/>
  <c r="Z177" i="1"/>
  <c r="AC105" i="1"/>
  <c r="AC262" i="1" s="1"/>
  <c r="K104" i="1"/>
  <c r="K105" i="1"/>
  <c r="P94" i="1"/>
  <c r="K94" i="1"/>
  <c r="K93" i="1"/>
  <c r="Z94" i="1"/>
  <c r="F94" i="1"/>
  <c r="E94" i="1"/>
  <c r="C94" i="1" s="1"/>
  <c r="Z93" i="1"/>
  <c r="F93" i="1"/>
  <c r="E93" i="1"/>
  <c r="C93" i="1" s="1"/>
  <c r="P12" i="1"/>
  <c r="K68" i="1"/>
  <c r="P68" i="1"/>
  <c r="U68" i="1"/>
  <c r="Z68" i="1"/>
  <c r="X25" i="1"/>
  <c r="S25" i="1"/>
  <c r="P25" i="1" s="1"/>
  <c r="Y38" i="4"/>
  <c r="T38" i="4"/>
  <c r="O38" i="4"/>
  <c r="AC105" i="4"/>
  <c r="AB105" i="4"/>
  <c r="X105" i="4"/>
  <c r="W105" i="4"/>
  <c r="S105" i="4"/>
  <c r="R105" i="4"/>
  <c r="Y99" i="4"/>
  <c r="T99" i="4"/>
  <c r="O99" i="4"/>
  <c r="Y98" i="4"/>
  <c r="Y97" i="4"/>
  <c r="T98" i="4"/>
  <c r="T97" i="4"/>
  <c r="O98" i="4"/>
  <c r="O97" i="4"/>
  <c r="T95" i="4"/>
  <c r="O95" i="4"/>
  <c r="T94" i="4"/>
  <c r="O94" i="4"/>
  <c r="Y93" i="4"/>
  <c r="T93" i="4"/>
  <c r="O93" i="4"/>
  <c r="Y92" i="4"/>
  <c r="T92" i="4"/>
  <c r="O92" i="4"/>
  <c r="Y89" i="4"/>
  <c r="T89" i="4"/>
  <c r="O89" i="4"/>
  <c r="Y82" i="4"/>
  <c r="Y81" i="4"/>
  <c r="T82" i="4"/>
  <c r="T81" i="4"/>
  <c r="T80" i="4"/>
  <c r="T79" i="4"/>
  <c r="Y79" i="4"/>
  <c r="Y77" i="4"/>
  <c r="T77" i="4"/>
  <c r="O82" i="4"/>
  <c r="O81" i="4"/>
  <c r="O80" i="4"/>
  <c r="O79" i="4"/>
  <c r="O77" i="4"/>
  <c r="T34" i="4"/>
  <c r="O34" i="4"/>
  <c r="Y33" i="4"/>
  <c r="T33" i="4"/>
  <c r="O33" i="4"/>
  <c r="Y31" i="4"/>
  <c r="T31" i="4"/>
  <c r="O31" i="4"/>
  <c r="Y29" i="4"/>
  <c r="Y28" i="4"/>
  <c r="T28" i="4"/>
  <c r="O28" i="4"/>
  <c r="Y27" i="4"/>
  <c r="Y26" i="4"/>
  <c r="Y20" i="4"/>
  <c r="T20" i="4"/>
  <c r="O20" i="4"/>
  <c r="Y19" i="4"/>
  <c r="T19" i="4"/>
  <c r="T17" i="4"/>
  <c r="Y16" i="4"/>
  <c r="T16" i="4"/>
  <c r="Y15" i="4"/>
  <c r="Y14" i="4"/>
  <c r="Y13" i="4"/>
  <c r="T14" i="4"/>
  <c r="O14" i="4"/>
  <c r="Y32" i="4"/>
  <c r="T32" i="4"/>
  <c r="O32" i="4"/>
  <c r="N562" i="5"/>
  <c r="N647" i="5" s="1"/>
  <c r="N645" i="5" s="1"/>
  <c r="Y30" i="4"/>
  <c r="T30" i="4"/>
  <c r="P30" i="4"/>
  <c r="O30" i="4" s="1"/>
  <c r="Y25" i="4"/>
  <c r="T25" i="4"/>
  <c r="O25" i="4"/>
  <c r="M551" i="5"/>
  <c r="T29" i="4"/>
  <c r="O29" i="4"/>
  <c r="W10" i="5"/>
  <c r="S32" i="5"/>
  <c r="S23" i="5"/>
  <c r="S22" i="5"/>
  <c r="S20" i="5"/>
  <c r="S19" i="5"/>
  <c r="S18" i="5"/>
  <c r="S17" i="5"/>
  <c r="S16" i="5"/>
  <c r="S15" i="5"/>
  <c r="S14" i="5"/>
  <c r="S13" i="5"/>
  <c r="S12" i="5"/>
  <c r="S11" i="5"/>
  <c r="T13" i="4"/>
  <c r="O17" i="4"/>
  <c r="O19" i="4"/>
  <c r="W136" i="5"/>
  <c r="R136" i="5"/>
  <c r="M136" i="5"/>
  <c r="O16" i="4"/>
  <c r="T26" i="4"/>
  <c r="O26" i="4"/>
  <c r="S647" i="5"/>
  <c r="O27" i="4"/>
  <c r="W47" i="5"/>
  <c r="T15" i="4"/>
  <c r="Y76" i="4"/>
  <c r="T76" i="4"/>
  <c r="O76" i="4"/>
  <c r="T105" i="4" l="1"/>
  <c r="T84" i="4"/>
  <c r="T27" i="4"/>
  <c r="U50" i="4"/>
  <c r="U48" i="4"/>
  <c r="T48" i="4" s="1"/>
  <c r="Y84" i="4"/>
  <c r="O105" i="4"/>
  <c r="O84" i="4"/>
  <c r="D68" i="1"/>
  <c r="D94" i="1"/>
  <c r="D93" i="1"/>
  <c r="Z94" i="4" l="1"/>
  <c r="Z105" i="4" s="1"/>
  <c r="Y94" i="4" l="1"/>
  <c r="Y105" i="4"/>
  <c r="G39" i="8"/>
  <c r="I564" i="5" l="1"/>
  <c r="I562" i="5"/>
  <c r="I540" i="5"/>
  <c r="I136" i="5"/>
  <c r="K16" i="4" l="1"/>
  <c r="K32" i="4"/>
  <c r="K30" i="4"/>
  <c r="F12" i="9" l="1"/>
  <c r="N39" i="1" l="1"/>
  <c r="M39" i="1"/>
  <c r="L93" i="4"/>
  <c r="L105" i="4" s="1"/>
  <c r="K93" i="4"/>
  <c r="G108" i="8" l="1"/>
  <c r="N173" i="1" l="1"/>
  <c r="N175" i="1"/>
  <c r="N177" i="1"/>
  <c r="M97" i="1"/>
  <c r="L62" i="4"/>
  <c r="K92" i="1"/>
  <c r="I10" i="5"/>
  <c r="K13" i="4"/>
  <c r="K27" i="4" l="1"/>
  <c r="G134" i="8" l="1"/>
  <c r="I105" i="4" l="1"/>
  <c r="E99" i="4"/>
  <c r="J99" i="4"/>
  <c r="AD99" i="4" l="1"/>
  <c r="G68" i="8" l="1"/>
  <c r="K175" i="1" l="1"/>
  <c r="K177" i="1"/>
  <c r="N67" i="1"/>
  <c r="N66" i="1"/>
  <c r="G40" i="8"/>
  <c r="I565" i="5" l="1"/>
  <c r="K33" i="4"/>
  <c r="K92" i="4"/>
  <c r="K49" i="1" l="1"/>
  <c r="U274" i="1"/>
  <c r="X283" i="1"/>
  <c r="W283" i="1"/>
  <c r="V283" i="1"/>
  <c r="U283" i="1" l="1"/>
  <c r="U284" i="1"/>
  <c r="K278" i="1"/>
  <c r="K277" i="1"/>
  <c r="K276" i="1"/>
  <c r="K275" i="1"/>
  <c r="K274" i="1"/>
  <c r="K273" i="1"/>
  <c r="K284" i="1"/>
  <c r="K286" i="1"/>
  <c r="F286" i="1"/>
  <c r="F284" i="1"/>
  <c r="F274" i="1"/>
  <c r="F275" i="1"/>
  <c r="F276" i="1"/>
  <c r="F277" i="1"/>
  <c r="F278" i="1"/>
  <c r="F273" i="1"/>
  <c r="G58" i="4"/>
  <c r="F283" i="1" l="1"/>
  <c r="C244" i="1"/>
  <c r="F244" i="1"/>
  <c r="K244" i="1"/>
  <c r="P244" i="1"/>
  <c r="U244" i="1"/>
  <c r="Z244" i="1"/>
  <c r="N262" i="1"/>
  <c r="P42" i="1"/>
  <c r="K20" i="4"/>
  <c r="T285" i="1"/>
  <c r="T288" i="1" s="1"/>
  <c r="Y285" i="1"/>
  <c r="U273" i="1"/>
  <c r="D244" i="1" l="1"/>
  <c r="J262" i="1"/>
  <c r="G80" i="8" l="1"/>
  <c r="M262" i="1"/>
  <c r="Z242" i="1" l="1"/>
  <c r="U242" i="1"/>
  <c r="P242" i="1"/>
  <c r="K242" i="1"/>
  <c r="F242" i="1"/>
  <c r="C242" i="1"/>
  <c r="D242" i="1" l="1"/>
  <c r="N54" i="1" l="1"/>
  <c r="N75" i="1" s="1"/>
  <c r="I237" i="5"/>
  <c r="M635" i="5"/>
  <c r="R635" i="5"/>
  <c r="W635" i="5"/>
  <c r="O647" i="5"/>
  <c r="P647" i="5"/>
  <c r="Q647" i="5"/>
  <c r="T647" i="5"/>
  <c r="U647" i="5"/>
  <c r="V647" i="5"/>
  <c r="AB596" i="5"/>
  <c r="H635" i="5"/>
  <c r="J35" i="4"/>
  <c r="J36" i="4"/>
  <c r="E36" i="4"/>
  <c r="O36" i="4"/>
  <c r="T36" i="4"/>
  <c r="Y36" i="4"/>
  <c r="K25" i="4"/>
  <c r="AD36" i="4" l="1"/>
  <c r="G35" i="8" l="1"/>
  <c r="G33" i="8"/>
  <c r="G20" i="8" l="1"/>
  <c r="K88" i="1" l="1"/>
  <c r="K95" i="4"/>
  <c r="K105" i="4" s="1"/>
  <c r="K29" i="4" l="1"/>
  <c r="I554" i="5"/>
  <c r="H591" i="5" l="1"/>
  <c r="AB591" i="5" s="1"/>
  <c r="D647" i="5"/>
  <c r="D645" i="5" s="1"/>
  <c r="H565" i="5"/>
  <c r="H564" i="5"/>
  <c r="Y34" i="4"/>
  <c r="J34" i="4"/>
  <c r="E34" i="4"/>
  <c r="J25" i="4"/>
  <c r="Y35" i="4"/>
  <c r="T35" i="4"/>
  <c r="O35" i="4"/>
  <c r="E35" i="4"/>
  <c r="P49" i="1"/>
  <c r="C75" i="1"/>
  <c r="I195" i="5"/>
  <c r="K19" i="4"/>
  <c r="K80" i="4"/>
  <c r="K84" i="4" s="1"/>
  <c r="E80" i="4"/>
  <c r="K67" i="1"/>
  <c r="K74" i="1"/>
  <c r="K48" i="4" l="1"/>
  <c r="J48" i="4" s="1"/>
  <c r="K50" i="4"/>
  <c r="Y50" i="4"/>
  <c r="D49" i="1"/>
  <c r="AD34" i="4"/>
  <c r="AD35" i="4"/>
  <c r="J80" i="4"/>
  <c r="P87" i="1"/>
  <c r="Z87" i="1"/>
  <c r="K89" i="1"/>
  <c r="P89" i="1"/>
  <c r="U89" i="1"/>
  <c r="F89" i="1"/>
  <c r="F88" i="1"/>
  <c r="Z88" i="1"/>
  <c r="C85" i="1"/>
  <c r="E89" i="1"/>
  <c r="C89" i="1" s="1"/>
  <c r="Z89" i="1"/>
  <c r="K84" i="1"/>
  <c r="U84" i="1"/>
  <c r="I84" i="1"/>
  <c r="H84" i="1"/>
  <c r="C84" i="1"/>
  <c r="U88" i="1" l="1"/>
  <c r="C88" i="1"/>
  <c r="P88" i="1"/>
  <c r="S97" i="1"/>
  <c r="P60" i="4" s="1"/>
  <c r="F84" i="1"/>
  <c r="D84" i="1" s="1"/>
  <c r="D89" i="1"/>
  <c r="K42" i="1"/>
  <c r="K54" i="1"/>
  <c r="N12" i="1"/>
  <c r="N11" i="1" s="1"/>
  <c r="K66" i="1"/>
  <c r="D88" i="1" l="1"/>
  <c r="L60" i="4"/>
  <c r="F90" i="1"/>
  <c r="K90" i="1"/>
  <c r="N24" i="1" l="1"/>
  <c r="I647" i="5"/>
  <c r="I645" i="5" s="1"/>
  <c r="K91" i="1" l="1"/>
  <c r="F91" i="1"/>
  <c r="C243" i="1" l="1"/>
  <c r="F243" i="1"/>
  <c r="K243" i="1"/>
  <c r="P243" i="1"/>
  <c r="U243" i="1"/>
  <c r="Z243" i="1"/>
  <c r="K173" i="1"/>
  <c r="K67" i="4"/>
  <c r="D243" i="1" l="1"/>
  <c r="N21" i="1" l="1"/>
  <c r="M21" i="1"/>
  <c r="K21" i="1" l="1"/>
  <c r="M28" i="1"/>
  <c r="L28" i="1"/>
  <c r="L38" i="1"/>
  <c r="M38" i="1"/>
  <c r="N38" i="1"/>
  <c r="K39" i="1"/>
  <c r="K38" i="1" s="1"/>
  <c r="L97" i="1"/>
  <c r="K31" i="1"/>
  <c r="K28" i="1" s="1"/>
  <c r="C31" i="1"/>
  <c r="F31" i="1"/>
  <c r="C240" i="1"/>
  <c r="F240" i="1"/>
  <c r="K240" i="1"/>
  <c r="P240" i="1"/>
  <c r="U240" i="1"/>
  <c r="Z240" i="1"/>
  <c r="D31" i="1" l="1"/>
  <c r="D240" i="1"/>
  <c r="AC283" i="1"/>
  <c r="AC285" i="1"/>
  <c r="Z28" i="1"/>
  <c r="N285" i="1" l="1"/>
  <c r="Z273" i="1"/>
  <c r="D273" i="1" s="1"/>
  <c r="U272" i="1" l="1"/>
  <c r="N272" i="1" l="1"/>
  <c r="P178" i="1"/>
  <c r="Z178" i="1"/>
  <c r="U178" i="1"/>
  <c r="K178" i="1"/>
  <c r="F178" i="1"/>
  <c r="C178" i="1"/>
  <c r="F67" i="4"/>
  <c r="F222" i="1"/>
  <c r="K222" i="1"/>
  <c r="U222" i="1"/>
  <c r="D178" i="1" l="1"/>
  <c r="J273" i="1"/>
  <c r="J272" i="1" s="1"/>
  <c r="D222" i="1"/>
  <c r="E19" i="4" l="1"/>
  <c r="Z298" i="1"/>
  <c r="P298" i="1"/>
  <c r="K298" i="1"/>
  <c r="F298" i="1"/>
  <c r="F50" i="1"/>
  <c r="F74" i="1"/>
  <c r="P74" i="1"/>
  <c r="Z74" i="1"/>
  <c r="AC107" i="4"/>
  <c r="AB107" i="4"/>
  <c r="X107" i="4"/>
  <c r="W107" i="4"/>
  <c r="S107" i="4"/>
  <c r="R107" i="4"/>
  <c r="N107" i="4"/>
  <c r="M107" i="4"/>
  <c r="L107" i="4"/>
  <c r="K107" i="4"/>
  <c r="G107" i="4"/>
  <c r="H107" i="4"/>
  <c r="I107" i="4"/>
  <c r="F107" i="4"/>
  <c r="AC70" i="4"/>
  <c r="AB70" i="4"/>
  <c r="X70" i="4"/>
  <c r="W70" i="4"/>
  <c r="S70" i="4"/>
  <c r="R70" i="4"/>
  <c r="P70" i="4"/>
  <c r="N70" i="4"/>
  <c r="M70" i="4"/>
  <c r="L70" i="4"/>
  <c r="K70" i="4"/>
  <c r="I70" i="4"/>
  <c r="G70" i="4"/>
  <c r="H70" i="4"/>
  <c r="F70" i="4"/>
  <c r="AE70" i="4" s="1"/>
  <c r="J59" i="4"/>
  <c r="E59" i="4"/>
  <c r="D298" i="1" l="1"/>
  <c r="AG70" i="4"/>
  <c r="AH70" i="4"/>
  <c r="E107" i="4"/>
  <c r="J107" i="4"/>
  <c r="D74" i="1"/>
  <c r="E70" i="4"/>
  <c r="J70" i="4"/>
  <c r="V97" i="1" l="1"/>
  <c r="C237" i="1" l="1"/>
  <c r="F237" i="1"/>
  <c r="K237" i="1"/>
  <c r="P237" i="1"/>
  <c r="U237" i="1"/>
  <c r="Z237" i="1"/>
  <c r="C238" i="1"/>
  <c r="F238" i="1"/>
  <c r="K238" i="1"/>
  <c r="P238" i="1"/>
  <c r="U238" i="1"/>
  <c r="Z238" i="1"/>
  <c r="C239" i="1"/>
  <c r="F239" i="1"/>
  <c r="K239" i="1"/>
  <c r="P239" i="1"/>
  <c r="U239" i="1"/>
  <c r="Z239" i="1"/>
  <c r="C241" i="1"/>
  <c r="F241" i="1"/>
  <c r="K241" i="1"/>
  <c r="P241" i="1"/>
  <c r="U241" i="1"/>
  <c r="Z241" i="1"/>
  <c r="AD237" i="1" l="1"/>
  <c r="D238" i="1"/>
  <c r="D241" i="1"/>
  <c r="D239" i="1"/>
  <c r="D237" i="1"/>
  <c r="K64" i="4" l="1"/>
  <c r="C284" i="1"/>
  <c r="C274" i="1"/>
  <c r="C275" i="1"/>
  <c r="C276" i="1"/>
  <c r="C277" i="1"/>
  <c r="C278" i="1"/>
  <c r="C273" i="1"/>
  <c r="Y262" i="1"/>
  <c r="C99" i="1"/>
  <c r="U102" i="1"/>
  <c r="U101" i="1"/>
  <c r="U100" i="1"/>
  <c r="U99" i="1"/>
  <c r="U78" i="1"/>
  <c r="U79" i="1"/>
  <c r="U80" i="1"/>
  <c r="D80" i="1" s="1"/>
  <c r="U81" i="1"/>
  <c r="U83" i="1"/>
  <c r="U85" i="1"/>
  <c r="U86" i="1"/>
  <c r="U87" i="1"/>
  <c r="C78" i="1"/>
  <c r="C79" i="1"/>
  <c r="C77" i="1"/>
  <c r="U77" i="1"/>
  <c r="P77" i="1"/>
  <c r="K77" i="1"/>
  <c r="Z51" i="1"/>
  <c r="X285" i="1"/>
  <c r="W285" i="1"/>
  <c r="V285" i="1"/>
  <c r="S285" i="1"/>
  <c r="Z52" i="1"/>
  <c r="X11" i="1"/>
  <c r="F66" i="1"/>
  <c r="P66" i="1"/>
  <c r="U66" i="1"/>
  <c r="Z66" i="1"/>
  <c r="F67" i="1"/>
  <c r="P67" i="1"/>
  <c r="U67" i="1"/>
  <c r="Z67" i="1"/>
  <c r="C177" i="1"/>
  <c r="F177" i="1"/>
  <c r="P177" i="1"/>
  <c r="C102" i="1"/>
  <c r="F102" i="1"/>
  <c r="K102" i="1"/>
  <c r="P102" i="1"/>
  <c r="Z102" i="1"/>
  <c r="F65" i="1"/>
  <c r="P65" i="1"/>
  <c r="U65" i="1"/>
  <c r="Z65" i="1"/>
  <c r="J30" i="4"/>
  <c r="C565" i="5"/>
  <c r="M565" i="5"/>
  <c r="W565" i="5"/>
  <c r="E33" i="4"/>
  <c r="J33" i="4"/>
  <c r="E20" i="4"/>
  <c r="J20" i="4"/>
  <c r="W222" i="5"/>
  <c r="R222" i="5"/>
  <c r="M222" i="5"/>
  <c r="H222" i="5"/>
  <c r="C222" i="5"/>
  <c r="M562" i="5"/>
  <c r="H562" i="5"/>
  <c r="R554" i="5"/>
  <c r="H551" i="5"/>
  <c r="R540" i="5"/>
  <c r="R523" i="5"/>
  <c r="R154" i="5"/>
  <c r="R47" i="5"/>
  <c r="R10" i="5"/>
  <c r="J79" i="4"/>
  <c r="Q66" i="4"/>
  <c r="L66" i="4"/>
  <c r="J29" i="4"/>
  <c r="J28" i="4"/>
  <c r="J27" i="4"/>
  <c r="J26" i="4"/>
  <c r="J19" i="4"/>
  <c r="J17" i="4"/>
  <c r="J16" i="4"/>
  <c r="O15" i="4"/>
  <c r="J15" i="4"/>
  <c r="J13" i="4"/>
  <c r="U266" i="1"/>
  <c r="P264" i="1"/>
  <c r="U174" i="1"/>
  <c r="P174" i="1"/>
  <c r="K174" i="1"/>
  <c r="U173" i="1"/>
  <c r="P173" i="1"/>
  <c r="U105" i="1"/>
  <c r="P105" i="1"/>
  <c r="P103" i="1"/>
  <c r="K103" i="1"/>
  <c r="P50" i="1"/>
  <c r="K50" i="1"/>
  <c r="K46" i="1"/>
  <c r="U25" i="1"/>
  <c r="K25" i="1"/>
  <c r="U12" i="1"/>
  <c r="K12" i="1"/>
  <c r="D177" i="1" l="1"/>
  <c r="D102" i="1"/>
  <c r="P266" i="1"/>
  <c r="X288" i="1"/>
  <c r="U288" i="1" s="1"/>
  <c r="U285" i="1"/>
  <c r="AD33" i="4"/>
  <c r="AB565" i="5"/>
  <c r="W44" i="1"/>
  <c r="X44" i="1"/>
  <c r="AB222" i="5"/>
  <c r="D66" i="1"/>
  <c r="D67" i="1"/>
  <c r="D65" i="1"/>
  <c r="AD20" i="4"/>
  <c r="H262" i="1"/>
  <c r="G97" i="4"/>
  <c r="G105" i="4" s="1"/>
  <c r="H264" i="1"/>
  <c r="I64" i="1"/>
  <c r="H39" i="1"/>
  <c r="F76" i="4"/>
  <c r="E76" i="4" l="1"/>
  <c r="G64" i="4"/>
  <c r="E97" i="4" l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61" i="1"/>
  <c r="K209" i="1"/>
  <c r="W64" i="4" l="1"/>
  <c r="V64" i="4"/>
  <c r="U64" i="4"/>
  <c r="T64" i="4" l="1"/>
  <c r="C221" i="1"/>
  <c r="U221" i="1"/>
  <c r="C42" i="1" l="1"/>
  <c r="F42" i="1"/>
  <c r="D42" i="1" s="1"/>
  <c r="C230" i="1" l="1"/>
  <c r="F230" i="1"/>
  <c r="P230" i="1"/>
  <c r="U230" i="1"/>
  <c r="Z230" i="1"/>
  <c r="K62" i="4" l="1"/>
  <c r="N97" i="1"/>
  <c r="D230" i="1"/>
  <c r="J82" i="4" l="1"/>
  <c r="J93" i="4"/>
  <c r="F13" i="4"/>
  <c r="J14" i="4"/>
  <c r="E14" i="4"/>
  <c r="AA647" i="5"/>
  <c r="Z647" i="5"/>
  <c r="Y647" i="5"/>
  <c r="L647" i="5"/>
  <c r="K647" i="5"/>
  <c r="J647" i="5"/>
  <c r="G647" i="5"/>
  <c r="F647" i="5"/>
  <c r="E647" i="5"/>
  <c r="W33" i="5"/>
  <c r="R33" i="5"/>
  <c r="M33" i="5"/>
  <c r="H33" i="5"/>
  <c r="C33" i="5"/>
  <c r="AD14" i="4" l="1"/>
  <c r="AB33" i="5"/>
  <c r="Q59" i="4"/>
  <c r="O59" i="4" s="1"/>
  <c r="V59" i="4"/>
  <c r="T59" i="4" s="1"/>
  <c r="AA59" i="4"/>
  <c r="Y59" i="4" s="1"/>
  <c r="Z64" i="1"/>
  <c r="U64" i="1"/>
  <c r="P64" i="1"/>
  <c r="F64" i="1"/>
  <c r="Z63" i="1"/>
  <c r="U63" i="1"/>
  <c r="P63" i="1"/>
  <c r="F63" i="1"/>
  <c r="Z101" i="1"/>
  <c r="P101" i="1"/>
  <c r="K101" i="1"/>
  <c r="F101" i="1"/>
  <c r="C101" i="1"/>
  <c r="Z100" i="1"/>
  <c r="P100" i="1"/>
  <c r="K100" i="1"/>
  <c r="F100" i="1"/>
  <c r="C100" i="1"/>
  <c r="D100" i="1" l="1"/>
  <c r="D101" i="1"/>
  <c r="V107" i="4"/>
  <c r="T107" i="4" s="1"/>
  <c r="V70" i="4"/>
  <c r="T70" i="4" s="1"/>
  <c r="Q107" i="4"/>
  <c r="O107" i="4" s="1"/>
  <c r="Q70" i="4"/>
  <c r="AA107" i="4"/>
  <c r="Y107" i="4" s="1"/>
  <c r="AA70" i="4"/>
  <c r="Y70" i="4" s="1"/>
  <c r="D64" i="1"/>
  <c r="D63" i="1"/>
  <c r="P176" i="1"/>
  <c r="F176" i="1"/>
  <c r="C176" i="1"/>
  <c r="D176" i="1" l="1"/>
  <c r="AD107" i="4"/>
  <c r="O70" i="4"/>
  <c r="AD70" i="4" s="1"/>
  <c r="AF70" i="4"/>
  <c r="AD59" i="4"/>
  <c r="AA97" i="1"/>
  <c r="Y97" i="1"/>
  <c r="T97" i="1"/>
  <c r="Q97" i="1"/>
  <c r="R97" i="1"/>
  <c r="O97" i="1"/>
  <c r="J97" i="1"/>
  <c r="G97" i="1"/>
  <c r="E97" i="1"/>
  <c r="Z96" i="1"/>
  <c r="K96" i="1"/>
  <c r="C96" i="1"/>
  <c r="Z60" i="4" l="1"/>
  <c r="D96" i="1"/>
  <c r="AE118" i="4"/>
  <c r="AF118" i="4"/>
  <c r="AG118" i="4"/>
  <c r="AH118" i="4"/>
  <c r="AH116" i="4"/>
  <c r="AG116" i="4"/>
  <c r="AF116" i="4"/>
  <c r="AE116" i="4"/>
  <c r="AH114" i="4"/>
  <c r="AG114" i="4"/>
  <c r="AF114" i="4"/>
  <c r="AE114" i="4"/>
  <c r="AH112" i="4"/>
  <c r="AG112" i="4"/>
  <c r="AF112" i="4"/>
  <c r="AE112" i="4"/>
  <c r="AH110" i="4"/>
  <c r="AG110" i="4"/>
  <c r="AF110" i="4"/>
  <c r="AE110" i="4"/>
  <c r="P175" i="1"/>
  <c r="F175" i="1"/>
  <c r="C175" i="1"/>
  <c r="P115" i="4"/>
  <c r="K115" i="4"/>
  <c r="G115" i="4"/>
  <c r="H115" i="4"/>
  <c r="I115" i="4"/>
  <c r="L115" i="4"/>
  <c r="M115" i="4"/>
  <c r="N115" i="4"/>
  <c r="Q115" i="4"/>
  <c r="R115" i="4"/>
  <c r="S115" i="4"/>
  <c r="V115" i="4"/>
  <c r="W115" i="4"/>
  <c r="X115" i="4"/>
  <c r="AA115" i="4"/>
  <c r="AB115" i="4"/>
  <c r="AC115" i="4"/>
  <c r="E82" i="4"/>
  <c r="AD82" i="4" s="1"/>
  <c r="F79" i="4"/>
  <c r="D175" i="1" l="1"/>
  <c r="AH115" i="4"/>
  <c r="AG115" i="4"/>
  <c r="AF115" i="4"/>
  <c r="K86" i="1"/>
  <c r="F86" i="1"/>
  <c r="C86" i="1"/>
  <c r="D86" i="1" l="1"/>
  <c r="E272" i="1"/>
  <c r="G272" i="1"/>
  <c r="H272" i="1"/>
  <c r="I272" i="1"/>
  <c r="L272" i="1"/>
  <c r="M272" i="1"/>
  <c r="T272" i="1"/>
  <c r="V272" i="1"/>
  <c r="W272" i="1"/>
  <c r="X272" i="1"/>
  <c r="AA272" i="1"/>
  <c r="AB272" i="1"/>
  <c r="AC272" i="1"/>
  <c r="H136" i="5" l="1"/>
  <c r="F165" i="1"/>
  <c r="F166" i="1"/>
  <c r="Z278" i="1"/>
  <c r="P278" i="1"/>
  <c r="D278" i="1" l="1"/>
  <c r="C195" i="5"/>
  <c r="P91" i="1"/>
  <c r="C91" i="1"/>
  <c r="D91" i="1" l="1"/>
  <c r="E93" i="4"/>
  <c r="AD93" i="4" s="1"/>
  <c r="J92" i="4"/>
  <c r="E92" i="4"/>
  <c r="AD92" i="4" l="1"/>
  <c r="F95" i="4"/>
  <c r="F105" i="4" s="1"/>
  <c r="H38" i="1"/>
  <c r="I38" i="1"/>
  <c r="G38" i="1"/>
  <c r="C40" i="1"/>
  <c r="F40" i="1"/>
  <c r="D40" i="1" s="1"/>
  <c r="U39" i="1"/>
  <c r="F39" i="1"/>
  <c r="C39" i="1"/>
  <c r="I46" i="1"/>
  <c r="I75" i="1" s="1"/>
  <c r="F47" i="1"/>
  <c r="C562" i="5"/>
  <c r="C564" i="5"/>
  <c r="E30" i="4"/>
  <c r="F81" i="4"/>
  <c r="F174" i="1"/>
  <c r="D174" i="1" s="1"/>
  <c r="C174" i="1"/>
  <c r="F84" i="4" l="1"/>
  <c r="F115" i="4" s="1"/>
  <c r="F58" i="4"/>
  <c r="D39" i="1"/>
  <c r="F38" i="1"/>
  <c r="F164" i="1"/>
  <c r="AB262" i="1"/>
  <c r="F161" i="1" l="1"/>
  <c r="F160" i="1"/>
  <c r="F157" i="1"/>
  <c r="F133" i="1"/>
  <c r="P64" i="4"/>
  <c r="F56" i="1"/>
  <c r="K85" i="1"/>
  <c r="F85" i="1"/>
  <c r="C38" i="1"/>
  <c r="U38" i="1"/>
  <c r="D38" i="1" s="1"/>
  <c r="P28" i="1"/>
  <c r="Q28" i="1"/>
  <c r="R28" i="1"/>
  <c r="S28" i="1"/>
  <c r="U28" i="1"/>
  <c r="V28" i="1"/>
  <c r="W28" i="1"/>
  <c r="X28" i="1"/>
  <c r="AA28" i="1"/>
  <c r="AB28" i="1"/>
  <c r="AC28" i="1"/>
  <c r="C30" i="1"/>
  <c r="C29" i="1"/>
  <c r="F30" i="1"/>
  <c r="D30" i="1" s="1"/>
  <c r="F29" i="1"/>
  <c r="J11" i="1"/>
  <c r="F173" i="1"/>
  <c r="D173" i="1" s="1"/>
  <c r="C173" i="1"/>
  <c r="Q64" i="4"/>
  <c r="L64" i="4"/>
  <c r="I262" i="1"/>
  <c r="F63" i="4" s="1"/>
  <c r="F28" i="1" l="1"/>
  <c r="D28" i="1" s="1"/>
  <c r="D85" i="1"/>
  <c r="P232" i="1"/>
  <c r="D29" i="1"/>
  <c r="Z236" i="1" l="1"/>
  <c r="U236" i="1"/>
  <c r="P236" i="1"/>
  <c r="F236" i="1"/>
  <c r="C236" i="1"/>
  <c r="Z235" i="1"/>
  <c r="U235" i="1"/>
  <c r="P235" i="1"/>
  <c r="F235" i="1"/>
  <c r="C235" i="1"/>
  <c r="Z234" i="1"/>
  <c r="U234" i="1"/>
  <c r="P234" i="1"/>
  <c r="F234" i="1"/>
  <c r="C234" i="1"/>
  <c r="Z233" i="1"/>
  <c r="U233" i="1"/>
  <c r="P233" i="1"/>
  <c r="F233" i="1"/>
  <c r="C233" i="1"/>
  <c r="Z232" i="1"/>
  <c r="U232" i="1"/>
  <c r="F232" i="1"/>
  <c r="C232" i="1"/>
  <c r="Z231" i="1"/>
  <c r="U231" i="1"/>
  <c r="P231" i="1"/>
  <c r="F231" i="1"/>
  <c r="C231" i="1"/>
  <c r="Z229" i="1"/>
  <c r="U229" i="1"/>
  <c r="P229" i="1"/>
  <c r="F229" i="1"/>
  <c r="C229" i="1"/>
  <c r="Z228" i="1"/>
  <c r="U228" i="1"/>
  <c r="P228" i="1"/>
  <c r="F228" i="1"/>
  <c r="C228" i="1"/>
  <c r="Z227" i="1"/>
  <c r="U227" i="1"/>
  <c r="P227" i="1"/>
  <c r="F227" i="1"/>
  <c r="C227" i="1"/>
  <c r="Z226" i="1"/>
  <c r="U226" i="1"/>
  <c r="P226" i="1"/>
  <c r="F226" i="1"/>
  <c r="C226" i="1"/>
  <c r="Z225" i="1"/>
  <c r="U225" i="1"/>
  <c r="P225" i="1"/>
  <c r="F225" i="1"/>
  <c r="C225" i="1"/>
  <c r="Z224" i="1"/>
  <c r="U224" i="1"/>
  <c r="F224" i="1"/>
  <c r="C224" i="1"/>
  <c r="Z223" i="1"/>
  <c r="U223" i="1"/>
  <c r="F223" i="1"/>
  <c r="C223" i="1"/>
  <c r="F221" i="1"/>
  <c r="X71" i="4"/>
  <c r="X69" i="4" s="1"/>
  <c r="AC71" i="4"/>
  <c r="AC69" i="4" s="1"/>
  <c r="I71" i="4"/>
  <c r="I69" i="4" s="1"/>
  <c r="N71" i="4"/>
  <c r="N69" i="4" s="1"/>
  <c r="S71" i="4"/>
  <c r="S69" i="4" s="1"/>
  <c r="AB64" i="4"/>
  <c r="R64" i="4"/>
  <c r="O64" i="4" s="1"/>
  <c r="M64" i="4"/>
  <c r="J64" i="4" s="1"/>
  <c r="H64" i="4"/>
  <c r="AB62" i="4"/>
  <c r="Y62" i="4" s="1"/>
  <c r="W62" i="4"/>
  <c r="T62" i="4" s="1"/>
  <c r="R62" i="4"/>
  <c r="O62" i="4" s="1"/>
  <c r="Y64" i="4" l="1"/>
  <c r="X113" i="4"/>
  <c r="N113" i="4"/>
  <c r="AC113" i="4"/>
  <c r="S113" i="4"/>
  <c r="I113" i="4"/>
  <c r="AH69" i="4"/>
  <c r="D221" i="1"/>
  <c r="D233" i="1"/>
  <c r="D235" i="1"/>
  <c r="D236" i="1"/>
  <c r="D232" i="1"/>
  <c r="D229" i="1"/>
  <c r="D234" i="1"/>
  <c r="D231" i="1"/>
  <c r="D225" i="1"/>
  <c r="D224" i="1"/>
  <c r="D226" i="1"/>
  <c r="D228" i="1"/>
  <c r="D223" i="1"/>
  <c r="D227" i="1"/>
  <c r="AH113" i="4" l="1"/>
  <c r="AA63" i="4" l="1"/>
  <c r="E137" i="8" l="1"/>
  <c r="W551" i="5" l="1"/>
  <c r="R551" i="5"/>
  <c r="AB551" i="5" l="1"/>
  <c r="C289" i="1" l="1"/>
  <c r="F289" i="1"/>
  <c r="K289" i="1"/>
  <c r="P289" i="1"/>
  <c r="U289" i="1"/>
  <c r="Z289" i="1"/>
  <c r="I293" i="1"/>
  <c r="D289" i="1" l="1"/>
  <c r="F64" i="4" l="1"/>
  <c r="E64" i="4" s="1"/>
  <c r="AD64" i="4" s="1"/>
  <c r="Z277" i="1"/>
  <c r="P277" i="1"/>
  <c r="D277" i="1" l="1"/>
  <c r="F15" i="8"/>
  <c r="AB67" i="4" l="1"/>
  <c r="AB71" i="4" s="1"/>
  <c r="AB69" i="4" s="1"/>
  <c r="AA67" i="4"/>
  <c r="Z67" i="4"/>
  <c r="W67" i="4"/>
  <c r="W71" i="4" s="1"/>
  <c r="W69" i="4" s="1"/>
  <c r="V67" i="4"/>
  <c r="U67" i="4"/>
  <c r="Q67" i="4"/>
  <c r="R71" i="4"/>
  <c r="R69" i="4" s="1"/>
  <c r="P67" i="4"/>
  <c r="M67" i="4"/>
  <c r="H67" i="4"/>
  <c r="G67" i="4"/>
  <c r="Z292" i="1"/>
  <c r="Z293" i="1" s="1"/>
  <c r="U292" i="1"/>
  <c r="U293" i="1" s="1"/>
  <c r="P292" i="1"/>
  <c r="P293" i="1" s="1"/>
  <c r="K292" i="1"/>
  <c r="K293" i="1" s="1"/>
  <c r="E262" i="1"/>
  <c r="G262" i="1"/>
  <c r="G63" i="4"/>
  <c r="E63" i="4" s="1"/>
  <c r="L262" i="1"/>
  <c r="Q262" i="1"/>
  <c r="V262" i="1"/>
  <c r="AA262" i="1"/>
  <c r="Y67" i="4" l="1"/>
  <c r="T67" i="4"/>
  <c r="O67" i="4"/>
  <c r="R113" i="4"/>
  <c r="W113" i="4"/>
  <c r="AB113" i="4"/>
  <c r="E67" i="4"/>
  <c r="J67" i="4"/>
  <c r="D292" i="1"/>
  <c r="D293" i="1" s="1"/>
  <c r="Z62" i="1"/>
  <c r="U62" i="1"/>
  <c r="P62" i="1"/>
  <c r="F62" i="1"/>
  <c r="Z61" i="1"/>
  <c r="U61" i="1"/>
  <c r="P61" i="1"/>
  <c r="F61" i="1"/>
  <c r="Z60" i="1"/>
  <c r="U60" i="1"/>
  <c r="P60" i="1"/>
  <c r="K60" i="1"/>
  <c r="F60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8" i="1"/>
  <c r="C166" i="1"/>
  <c r="C169" i="1"/>
  <c r="C170" i="1"/>
  <c r="C171" i="1"/>
  <c r="C167" i="1"/>
  <c r="C172" i="1"/>
  <c r="C90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8" i="1"/>
  <c r="F159" i="1"/>
  <c r="F162" i="1"/>
  <c r="F163" i="1"/>
  <c r="F168" i="1"/>
  <c r="F169" i="1"/>
  <c r="F170" i="1"/>
  <c r="F171" i="1"/>
  <c r="F167" i="1"/>
  <c r="F172" i="1"/>
  <c r="P90" i="1"/>
  <c r="P172" i="1"/>
  <c r="P167" i="1"/>
  <c r="P171" i="1"/>
  <c r="P170" i="1"/>
  <c r="P169" i="1"/>
  <c r="P166" i="1"/>
  <c r="D166" i="1" s="1"/>
  <c r="P168" i="1"/>
  <c r="P165" i="1"/>
  <c r="D165" i="1" s="1"/>
  <c r="P164" i="1"/>
  <c r="D164" i="1" s="1"/>
  <c r="P163" i="1"/>
  <c r="P162" i="1"/>
  <c r="P161" i="1"/>
  <c r="D161" i="1" s="1"/>
  <c r="P160" i="1"/>
  <c r="D160" i="1" s="1"/>
  <c r="P159" i="1"/>
  <c r="P158" i="1"/>
  <c r="P157" i="1"/>
  <c r="D157" i="1" s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D133" i="1" s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K59" i="1"/>
  <c r="K58" i="1"/>
  <c r="K55" i="1"/>
  <c r="K56" i="1"/>
  <c r="K57" i="1"/>
  <c r="K52" i="1"/>
  <c r="K53" i="1"/>
  <c r="K51" i="1"/>
  <c r="K47" i="1"/>
  <c r="D172" i="1" l="1"/>
  <c r="D163" i="1"/>
  <c r="D159" i="1"/>
  <c r="D170" i="1"/>
  <c r="D162" i="1"/>
  <c r="D155" i="1"/>
  <c r="D151" i="1"/>
  <c r="D147" i="1"/>
  <c r="D143" i="1"/>
  <c r="D139" i="1"/>
  <c r="D135" i="1"/>
  <c r="D130" i="1"/>
  <c r="D126" i="1"/>
  <c r="D122" i="1"/>
  <c r="D118" i="1"/>
  <c r="D114" i="1"/>
  <c r="D110" i="1"/>
  <c r="D106" i="1"/>
  <c r="D169" i="1"/>
  <c r="D154" i="1"/>
  <c r="D150" i="1"/>
  <c r="D146" i="1"/>
  <c r="D142" i="1"/>
  <c r="D138" i="1"/>
  <c r="D134" i="1"/>
  <c r="D129" i="1"/>
  <c r="D125" i="1"/>
  <c r="D121" i="1"/>
  <c r="D117" i="1"/>
  <c r="D113" i="1"/>
  <c r="D109" i="1"/>
  <c r="D167" i="1"/>
  <c r="D168" i="1"/>
  <c r="D158" i="1"/>
  <c r="D153" i="1"/>
  <c r="D149" i="1"/>
  <c r="D145" i="1"/>
  <c r="D141" i="1"/>
  <c r="D137" i="1"/>
  <c r="D132" i="1"/>
  <c r="D128" i="1"/>
  <c r="D124" i="1"/>
  <c r="D120" i="1"/>
  <c r="D116" i="1"/>
  <c r="D112" i="1"/>
  <c r="D108" i="1"/>
  <c r="D171" i="1"/>
  <c r="D156" i="1"/>
  <c r="D152" i="1"/>
  <c r="D148" i="1"/>
  <c r="D144" i="1"/>
  <c r="D140" i="1"/>
  <c r="D136" i="1"/>
  <c r="D131" i="1"/>
  <c r="D127" i="1"/>
  <c r="D123" i="1"/>
  <c r="D119" i="1"/>
  <c r="D115" i="1"/>
  <c r="D111" i="1"/>
  <c r="D107" i="1"/>
  <c r="K75" i="1"/>
  <c r="AD67" i="4"/>
  <c r="D61" i="1"/>
  <c r="D62" i="1"/>
  <c r="D90" i="1"/>
  <c r="D60" i="1"/>
  <c r="Z59" i="1"/>
  <c r="U59" i="1"/>
  <c r="P59" i="1"/>
  <c r="F59" i="1"/>
  <c r="Z58" i="1"/>
  <c r="U58" i="1"/>
  <c r="P58" i="1"/>
  <c r="F58" i="1"/>
  <c r="D59" i="1" l="1"/>
  <c r="D58" i="1"/>
  <c r="C27" i="1" l="1"/>
  <c r="P27" i="1"/>
  <c r="K27" i="1"/>
  <c r="F27" i="1"/>
  <c r="F26" i="1"/>
  <c r="K26" i="1"/>
  <c r="P26" i="1"/>
  <c r="H62" i="4"/>
  <c r="M62" i="4"/>
  <c r="D27" i="1" l="1"/>
  <c r="D26" i="1"/>
  <c r="C26" i="1"/>
  <c r="C209" i="1"/>
  <c r="F209" i="1"/>
  <c r="P209" i="1"/>
  <c r="U209" i="1"/>
  <c r="Z209" i="1"/>
  <c r="AD28" i="4"/>
  <c r="D209" i="1" l="1"/>
  <c r="R562" i="5"/>
  <c r="W562" i="5"/>
  <c r="M237" i="5"/>
  <c r="H237" i="5"/>
  <c r="C237" i="5"/>
  <c r="P50" i="4"/>
  <c r="P48" i="4" s="1"/>
  <c r="F25" i="4"/>
  <c r="F50" i="4" l="1"/>
  <c r="F48" i="4"/>
  <c r="AD30" i="4"/>
  <c r="AB562" i="5"/>
  <c r="R237" i="5"/>
  <c r="W237" i="5"/>
  <c r="F25" i="1"/>
  <c r="C25" i="1"/>
  <c r="F24" i="1"/>
  <c r="AE48" i="4" l="1"/>
  <c r="E48" i="4"/>
  <c r="AB237" i="5"/>
  <c r="D25" i="1"/>
  <c r="Y95" i="4"/>
  <c r="P95" i="1" l="1"/>
  <c r="D95" i="1" s="1"/>
  <c r="C95" i="1"/>
  <c r="O283" i="1" l="1"/>
  <c r="F261" i="1" l="1"/>
  <c r="C210" i="1"/>
  <c r="Z261" i="1" l="1"/>
  <c r="AD255" i="1" s="1"/>
  <c r="P261" i="1"/>
  <c r="C261" i="1"/>
  <c r="D261" i="1" l="1"/>
  <c r="C24" i="1"/>
  <c r="C21" i="1"/>
  <c r="E21" i="1"/>
  <c r="Z105" i="1" l="1"/>
  <c r="F105" i="1"/>
  <c r="C105" i="1"/>
  <c r="Z104" i="1"/>
  <c r="U104" i="1"/>
  <c r="P104" i="1"/>
  <c r="F104" i="1"/>
  <c r="C104" i="1"/>
  <c r="Z57" i="1"/>
  <c r="U57" i="1"/>
  <c r="P57" i="1"/>
  <c r="F57" i="1"/>
  <c r="Z56" i="1"/>
  <c r="U56" i="1"/>
  <c r="P56" i="1"/>
  <c r="Z55" i="1"/>
  <c r="U55" i="1"/>
  <c r="P55" i="1"/>
  <c r="F55" i="1"/>
  <c r="Z54" i="1"/>
  <c r="U54" i="1"/>
  <c r="P54" i="1"/>
  <c r="F54" i="1"/>
  <c r="D104" i="1" l="1"/>
  <c r="D105" i="1"/>
  <c r="U75" i="1"/>
  <c r="D56" i="1"/>
  <c r="D55" i="1"/>
  <c r="D57" i="1"/>
  <c r="D54" i="1"/>
  <c r="F52" i="1"/>
  <c r="AC117" i="4" l="1"/>
  <c r="AB117" i="4"/>
  <c r="AA117" i="4"/>
  <c r="Z117" i="4"/>
  <c r="X117" i="4"/>
  <c r="W117" i="4"/>
  <c r="V117" i="4"/>
  <c r="U117" i="4"/>
  <c r="S117" i="4"/>
  <c r="R117" i="4"/>
  <c r="Q117" i="4"/>
  <c r="N105" i="4"/>
  <c r="N117" i="4" s="1"/>
  <c r="M105" i="4"/>
  <c r="L117" i="4"/>
  <c r="I117" i="4"/>
  <c r="H105" i="4"/>
  <c r="G117" i="4"/>
  <c r="J97" i="4"/>
  <c r="P117" i="4"/>
  <c r="K117" i="4"/>
  <c r="J89" i="4"/>
  <c r="E89" i="4"/>
  <c r="J81" i="4"/>
  <c r="E81" i="4"/>
  <c r="E79" i="4"/>
  <c r="J77" i="4"/>
  <c r="J76" i="4"/>
  <c r="H56" i="4"/>
  <c r="AC50" i="4"/>
  <c r="AC111" i="4" s="1"/>
  <c r="AB50" i="4"/>
  <c r="AB111" i="4" s="1"/>
  <c r="AA50" i="4"/>
  <c r="AA111" i="4" s="1"/>
  <c r="X50" i="4"/>
  <c r="X111" i="4" s="1"/>
  <c r="W50" i="4"/>
  <c r="W111" i="4" s="1"/>
  <c r="V50" i="4"/>
  <c r="V111" i="4" s="1"/>
  <c r="S50" i="4"/>
  <c r="R50" i="4"/>
  <c r="Q50" i="4"/>
  <c r="P111" i="4"/>
  <c r="N50" i="4"/>
  <c r="N111" i="4" s="1"/>
  <c r="M50" i="4"/>
  <c r="M111" i="4" s="1"/>
  <c r="L50" i="4"/>
  <c r="L111" i="4" s="1"/>
  <c r="K111" i="4"/>
  <c r="I50" i="4"/>
  <c r="I111" i="4" s="1"/>
  <c r="H50" i="4"/>
  <c r="H111" i="4" s="1"/>
  <c r="G50" i="4"/>
  <c r="G111" i="4" s="1"/>
  <c r="Z111" i="4"/>
  <c r="U111" i="4"/>
  <c r="J38" i="4"/>
  <c r="E38" i="4"/>
  <c r="J32" i="4"/>
  <c r="E32" i="4"/>
  <c r="J31" i="4"/>
  <c r="J50" i="4" s="1"/>
  <c r="E31" i="4"/>
  <c r="E29" i="4"/>
  <c r="AD29" i="4" s="1"/>
  <c r="E27" i="4"/>
  <c r="AD27" i="4" s="1"/>
  <c r="E26" i="4"/>
  <c r="AD26" i="4" s="1"/>
  <c r="E25" i="4"/>
  <c r="AD19" i="4"/>
  <c r="F111" i="4"/>
  <c r="E16" i="4"/>
  <c r="AD16" i="4" s="1"/>
  <c r="E15" i="4"/>
  <c r="AD15" i="4" s="1"/>
  <c r="E13" i="4"/>
  <c r="AD13" i="4" s="1"/>
  <c r="Z286" i="1"/>
  <c r="P286" i="1"/>
  <c r="C286" i="1"/>
  <c r="AB285" i="1"/>
  <c r="AA285" i="1"/>
  <c r="R285" i="1"/>
  <c r="Q285" i="1"/>
  <c r="M285" i="1"/>
  <c r="L285" i="1"/>
  <c r="J285" i="1"/>
  <c r="I285" i="1"/>
  <c r="H285" i="1"/>
  <c r="G285" i="1"/>
  <c r="E285" i="1"/>
  <c r="Z284" i="1"/>
  <c r="P284" i="1"/>
  <c r="AB283" i="1"/>
  <c r="AA283" i="1"/>
  <c r="Y283" i="1"/>
  <c r="S283" i="1"/>
  <c r="R283" i="1"/>
  <c r="Q283" i="1"/>
  <c r="N283" i="1"/>
  <c r="M283" i="1"/>
  <c r="L283" i="1"/>
  <c r="J283" i="1"/>
  <c r="I283" i="1"/>
  <c r="H283" i="1"/>
  <c r="G283" i="1"/>
  <c r="E283" i="1"/>
  <c r="Z276" i="1"/>
  <c r="P276" i="1"/>
  <c r="Z275" i="1"/>
  <c r="P275" i="1"/>
  <c r="Z274" i="1"/>
  <c r="P274" i="1"/>
  <c r="K272" i="1"/>
  <c r="I280" i="1"/>
  <c r="AA266" i="1"/>
  <c r="Y266" i="1"/>
  <c r="V266" i="1"/>
  <c r="T266" i="1"/>
  <c r="S266" i="1"/>
  <c r="P65" i="4" s="1"/>
  <c r="R266" i="1"/>
  <c r="Q65" i="4" s="1"/>
  <c r="Q266" i="1"/>
  <c r="O266" i="1"/>
  <c r="N266" i="1"/>
  <c r="K65" i="4" s="1"/>
  <c r="M266" i="1"/>
  <c r="L65" i="4" s="1"/>
  <c r="L266" i="1"/>
  <c r="J266" i="1"/>
  <c r="I266" i="1"/>
  <c r="F65" i="4" s="1"/>
  <c r="H266" i="1"/>
  <c r="G65" i="4" s="1"/>
  <c r="G266" i="1"/>
  <c r="E266" i="1"/>
  <c r="Z265" i="1"/>
  <c r="D265" i="1" s="1"/>
  <c r="AC266" i="1"/>
  <c r="Z65" i="4" s="1"/>
  <c r="X266" i="1"/>
  <c r="F264" i="1"/>
  <c r="C266" i="1"/>
  <c r="Z103" i="1"/>
  <c r="F103" i="1"/>
  <c r="C103" i="1"/>
  <c r="Z213" i="1"/>
  <c r="U213" i="1"/>
  <c r="P213" i="1"/>
  <c r="F213" i="1"/>
  <c r="C213" i="1"/>
  <c r="Z219" i="1"/>
  <c r="U219" i="1"/>
  <c r="P219" i="1"/>
  <c r="F219" i="1"/>
  <c r="C219" i="1"/>
  <c r="Z218" i="1"/>
  <c r="U218" i="1"/>
  <c r="P218" i="1"/>
  <c r="F218" i="1"/>
  <c r="C218" i="1"/>
  <c r="Z220" i="1"/>
  <c r="U220" i="1"/>
  <c r="P220" i="1"/>
  <c r="F220" i="1"/>
  <c r="C220" i="1"/>
  <c r="Z210" i="1"/>
  <c r="U210" i="1"/>
  <c r="P210" i="1"/>
  <c r="F210" i="1"/>
  <c r="S262" i="1"/>
  <c r="P99" i="1"/>
  <c r="F99" i="1"/>
  <c r="Z217" i="1"/>
  <c r="U217" i="1"/>
  <c r="P217" i="1"/>
  <c r="F217" i="1"/>
  <c r="C217" i="1"/>
  <c r="Z214" i="1"/>
  <c r="U214" i="1"/>
  <c r="P214" i="1"/>
  <c r="F214" i="1"/>
  <c r="C214" i="1"/>
  <c r="Z211" i="1"/>
  <c r="U211" i="1"/>
  <c r="P211" i="1"/>
  <c r="F211" i="1"/>
  <c r="C211" i="1"/>
  <c r="Z212" i="1"/>
  <c r="U212" i="1"/>
  <c r="P212" i="1"/>
  <c r="F212" i="1"/>
  <c r="C212" i="1"/>
  <c r="Z215" i="1"/>
  <c r="U215" i="1"/>
  <c r="P215" i="1"/>
  <c r="F215" i="1"/>
  <c r="C215" i="1"/>
  <c r="Z216" i="1"/>
  <c r="U216" i="1"/>
  <c r="P216" i="1"/>
  <c r="F216" i="1"/>
  <c r="C216" i="1"/>
  <c r="K83" i="1"/>
  <c r="D83" i="1" s="1"/>
  <c r="C83" i="1"/>
  <c r="K82" i="1"/>
  <c r="C82" i="1"/>
  <c r="K81" i="1"/>
  <c r="C81" i="1"/>
  <c r="C80" i="1"/>
  <c r="D79" i="1"/>
  <c r="K78" i="1"/>
  <c r="Z77" i="1"/>
  <c r="P97" i="1"/>
  <c r="K87" i="1"/>
  <c r="C87" i="1"/>
  <c r="Q60" i="4"/>
  <c r="D92" i="1"/>
  <c r="Z58" i="4"/>
  <c r="AA58" i="4"/>
  <c r="U58" i="4"/>
  <c r="V58" i="4"/>
  <c r="Q58" i="4"/>
  <c r="L58" i="4"/>
  <c r="Z53" i="1"/>
  <c r="P53" i="1"/>
  <c r="P52" i="1"/>
  <c r="Z50" i="1"/>
  <c r="P47" i="1"/>
  <c r="F46" i="1"/>
  <c r="F75" i="1" s="1"/>
  <c r="AC44" i="1"/>
  <c r="AB44" i="1"/>
  <c r="H65" i="4"/>
  <c r="S44" i="1"/>
  <c r="F23" i="1"/>
  <c r="AC23" i="1"/>
  <c r="AB23" i="1"/>
  <c r="Z23" i="1"/>
  <c r="Y23" i="1"/>
  <c r="X23" i="1"/>
  <c r="W23" i="1"/>
  <c r="U23" i="1"/>
  <c r="T23" i="1"/>
  <c r="S23" i="1"/>
  <c r="R23" i="1"/>
  <c r="O23" i="1"/>
  <c r="N23" i="1"/>
  <c r="M23" i="1"/>
  <c r="J23" i="1"/>
  <c r="I23" i="1"/>
  <c r="H23" i="1"/>
  <c r="G23" i="1"/>
  <c r="C23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L21" i="1"/>
  <c r="J21" i="1"/>
  <c r="I21" i="1"/>
  <c r="H21" i="1"/>
  <c r="G21" i="1"/>
  <c r="Z14" i="1"/>
  <c r="U14" i="1"/>
  <c r="K14" i="1"/>
  <c r="C14" i="1"/>
  <c r="Z13" i="1"/>
  <c r="U13" i="1"/>
  <c r="P13" i="1"/>
  <c r="K13" i="1"/>
  <c r="F13" i="1"/>
  <c r="C13" i="1"/>
  <c r="Z12" i="1"/>
  <c r="S11" i="1"/>
  <c r="R11" i="1"/>
  <c r="C12" i="1"/>
  <c r="AC11" i="1"/>
  <c r="AB11" i="1"/>
  <c r="AA11" i="1"/>
  <c r="Y11" i="1"/>
  <c r="W11" i="1"/>
  <c r="V11" i="1"/>
  <c r="T11" i="1"/>
  <c r="Q11" i="1"/>
  <c r="O11" i="1"/>
  <c r="M11" i="1"/>
  <c r="L11" i="1"/>
  <c r="I11" i="1"/>
  <c r="H11" i="1"/>
  <c r="G11" i="1"/>
  <c r="E11" i="1"/>
  <c r="C635" i="5"/>
  <c r="W564" i="5"/>
  <c r="R564" i="5"/>
  <c r="M564" i="5"/>
  <c r="W563" i="5"/>
  <c r="R563" i="5"/>
  <c r="M563" i="5"/>
  <c r="H563" i="5"/>
  <c r="C563" i="5"/>
  <c r="M554" i="5"/>
  <c r="H554" i="5"/>
  <c r="C554" i="5"/>
  <c r="M540" i="5"/>
  <c r="H540" i="5"/>
  <c r="C540" i="5"/>
  <c r="M523" i="5"/>
  <c r="H523" i="5"/>
  <c r="C523" i="5"/>
  <c r="W195" i="5"/>
  <c r="R195" i="5"/>
  <c r="M195" i="5"/>
  <c r="H195" i="5"/>
  <c r="M154" i="5"/>
  <c r="H154" i="5"/>
  <c r="C136" i="5"/>
  <c r="AB136" i="5" s="1"/>
  <c r="M47" i="5"/>
  <c r="H47" i="5"/>
  <c r="C47" i="5"/>
  <c r="M10" i="5"/>
  <c r="H10" i="5"/>
  <c r="C10" i="5"/>
  <c r="E84" i="4" l="1"/>
  <c r="D77" i="1"/>
  <c r="D103" i="1"/>
  <c r="U65" i="4"/>
  <c r="U262" i="1"/>
  <c r="O280" i="1"/>
  <c r="J33" i="1"/>
  <c r="P23" i="1"/>
  <c r="D14" i="1"/>
  <c r="H288" i="1"/>
  <c r="U11" i="1"/>
  <c r="N44" i="1"/>
  <c r="K56" i="4" s="1"/>
  <c r="H33" i="1"/>
  <c r="T33" i="1"/>
  <c r="W33" i="1"/>
  <c r="R33" i="1"/>
  <c r="E44" i="1"/>
  <c r="Z75" i="1"/>
  <c r="P75" i="1"/>
  <c r="S33" i="1"/>
  <c r="X33" i="1"/>
  <c r="C97" i="1"/>
  <c r="C262" i="1"/>
  <c r="F266" i="1"/>
  <c r="P272" i="1"/>
  <c r="G33" i="1"/>
  <c r="I33" i="1"/>
  <c r="N33" i="1"/>
  <c r="R645" i="5"/>
  <c r="Q111" i="4"/>
  <c r="AF111" i="4" s="1"/>
  <c r="Q48" i="4"/>
  <c r="AF48" i="4" s="1"/>
  <c r="S111" i="4"/>
  <c r="AH111" i="4" s="1"/>
  <c r="S48" i="4"/>
  <c r="AH48" i="4" s="1"/>
  <c r="R111" i="4"/>
  <c r="R48" i="4"/>
  <c r="AG48" i="4" s="1"/>
  <c r="J84" i="4"/>
  <c r="J115" i="4" s="1"/>
  <c r="C647" i="5"/>
  <c r="C645" i="5" s="1"/>
  <c r="M647" i="5"/>
  <c r="M645" i="5" s="1"/>
  <c r="W647" i="5"/>
  <c r="W645" i="5"/>
  <c r="R647" i="5"/>
  <c r="H117" i="4"/>
  <c r="E105" i="4"/>
  <c r="M117" i="4"/>
  <c r="J105" i="4"/>
  <c r="S280" i="1"/>
  <c r="J280" i="1"/>
  <c r="P270" i="1"/>
  <c r="J288" i="1"/>
  <c r="O58" i="4"/>
  <c r="Y58" i="4"/>
  <c r="O65" i="4"/>
  <c r="P11" i="1"/>
  <c r="T58" i="4"/>
  <c r="O60" i="4"/>
  <c r="AD97" i="4"/>
  <c r="Y117" i="4"/>
  <c r="T117" i="4"/>
  <c r="D274" i="1"/>
  <c r="D276" i="1"/>
  <c r="Z287" i="1"/>
  <c r="D275" i="1"/>
  <c r="K283" i="1"/>
  <c r="D286" i="1"/>
  <c r="D284" i="1"/>
  <c r="AD31" i="4"/>
  <c r="N280" i="1"/>
  <c r="K262" i="1"/>
  <c r="K58" i="4"/>
  <c r="J58" i="4" s="1"/>
  <c r="C37" i="1"/>
  <c r="H647" i="5"/>
  <c r="H645" i="5" s="1"/>
  <c r="AD32" i="4"/>
  <c r="AD25" i="4"/>
  <c r="K97" i="1"/>
  <c r="J111" i="4"/>
  <c r="J62" i="4"/>
  <c r="K60" i="4"/>
  <c r="K285" i="1"/>
  <c r="F272" i="1"/>
  <c r="F280" i="1" s="1"/>
  <c r="AA44" i="1"/>
  <c r="D81" i="1"/>
  <c r="R288" i="1"/>
  <c r="AC33" i="1"/>
  <c r="Y44" i="1"/>
  <c r="D87" i="1"/>
  <c r="D99" i="1"/>
  <c r="F44" i="1"/>
  <c r="J44" i="1"/>
  <c r="I44" i="1"/>
  <c r="F56" i="4" s="1"/>
  <c r="O44" i="1"/>
  <c r="G44" i="1"/>
  <c r="H44" i="1"/>
  <c r="G56" i="4" s="1"/>
  <c r="D220" i="1"/>
  <c r="Z56" i="4"/>
  <c r="P56" i="4"/>
  <c r="T44" i="1"/>
  <c r="AB195" i="5"/>
  <c r="AE111" i="4"/>
  <c r="F262" i="1"/>
  <c r="L44" i="1"/>
  <c r="Q44" i="1"/>
  <c r="V44" i="1"/>
  <c r="AA56" i="4"/>
  <c r="R44" i="1"/>
  <c r="Q56" i="4" s="1"/>
  <c r="V56" i="4"/>
  <c r="O115" i="4"/>
  <c r="AH117" i="4"/>
  <c r="F97" i="1"/>
  <c r="AF117" i="4"/>
  <c r="AG111" i="4"/>
  <c r="AE105" i="4"/>
  <c r="F117" i="4"/>
  <c r="AE117" i="4" s="1"/>
  <c r="H97" i="1"/>
  <c r="G60" i="4" s="1"/>
  <c r="I97" i="1"/>
  <c r="F60" i="4" s="1"/>
  <c r="E115" i="4"/>
  <c r="U115" i="4"/>
  <c r="C272" i="1"/>
  <c r="Z272" i="1"/>
  <c r="Z280" i="1" s="1"/>
  <c r="H58" i="4"/>
  <c r="E58" i="4" s="1"/>
  <c r="Q33" i="1"/>
  <c r="E23" i="1"/>
  <c r="E33" i="1" s="1"/>
  <c r="C15" i="1"/>
  <c r="U44" i="1"/>
  <c r="I288" i="1"/>
  <c r="I290" i="1" s="1"/>
  <c r="N288" i="1"/>
  <c r="AA288" i="1"/>
  <c r="E288" i="1"/>
  <c r="Q288" i="1"/>
  <c r="AB288" i="1"/>
  <c r="M288" i="1"/>
  <c r="G288" i="1"/>
  <c r="L288" i="1"/>
  <c r="K63" i="4"/>
  <c r="P63" i="4"/>
  <c r="V63" i="4"/>
  <c r="U63" i="4"/>
  <c r="L63" i="4"/>
  <c r="R262" i="1"/>
  <c r="Z63" i="4"/>
  <c r="Y63" i="4" s="1"/>
  <c r="F21" i="1"/>
  <c r="AA60" i="4"/>
  <c r="H280" i="1"/>
  <c r="M280" i="1"/>
  <c r="AB280" i="1"/>
  <c r="E280" i="1"/>
  <c r="AA280" i="1"/>
  <c r="AG105" i="4"/>
  <c r="AD81" i="4"/>
  <c r="AH84" i="4"/>
  <c r="AH105" i="4"/>
  <c r="X280" i="1"/>
  <c r="X290" i="1" s="1"/>
  <c r="AB540" i="5"/>
  <c r="Z283" i="1"/>
  <c r="AF84" i="4"/>
  <c r="AB47" i="5"/>
  <c r="AB523" i="5"/>
  <c r="AF50" i="4"/>
  <c r="AD89" i="4"/>
  <c r="G280" i="1"/>
  <c r="Q280" i="1"/>
  <c r="Z11" i="1"/>
  <c r="P283" i="1"/>
  <c r="AB563" i="5"/>
  <c r="AB154" i="5"/>
  <c r="AB564" i="5"/>
  <c r="AB554" i="5"/>
  <c r="AD94" i="4"/>
  <c r="E95" i="4"/>
  <c r="AF105" i="4"/>
  <c r="E17" i="4"/>
  <c r="AD17" i="4" s="1"/>
  <c r="Y111" i="4"/>
  <c r="AG50" i="4"/>
  <c r="I108" i="4"/>
  <c r="S108" i="4"/>
  <c r="AC108" i="4"/>
  <c r="T115" i="4"/>
  <c r="O50" i="4"/>
  <c r="AH50" i="4"/>
  <c r="J95" i="4"/>
  <c r="AD80" i="4"/>
  <c r="AG84" i="4"/>
  <c r="AE50" i="4"/>
  <c r="D12" i="1"/>
  <c r="Y33" i="1"/>
  <c r="D47" i="1"/>
  <c r="W108" i="4"/>
  <c r="AB33" i="1"/>
  <c r="D51" i="1"/>
  <c r="K270" i="1"/>
  <c r="T50" i="4"/>
  <c r="T111" i="4" s="1"/>
  <c r="N108" i="4"/>
  <c r="X108" i="4"/>
  <c r="AD77" i="4"/>
  <c r="AD79" i="4"/>
  <c r="AB10" i="5"/>
  <c r="P269" i="1"/>
  <c r="R108" i="4"/>
  <c r="AB108" i="4"/>
  <c r="D52" i="1"/>
  <c r="C19" i="1"/>
  <c r="D215" i="1"/>
  <c r="D214" i="1"/>
  <c r="D217" i="1"/>
  <c r="D46" i="1"/>
  <c r="K11" i="1"/>
  <c r="V33" i="1"/>
  <c r="D210" i="1"/>
  <c r="D219" i="1"/>
  <c r="D213" i="1"/>
  <c r="Y280" i="1"/>
  <c r="P282" i="1"/>
  <c r="P285" i="1"/>
  <c r="Z285" i="1"/>
  <c r="S288" i="1"/>
  <c r="D211" i="1"/>
  <c r="C11" i="1"/>
  <c r="D13" i="1"/>
  <c r="F11" i="1"/>
  <c r="AA33" i="1"/>
  <c r="D216" i="1"/>
  <c r="W266" i="1"/>
  <c r="D50" i="1"/>
  <c r="D53" i="1"/>
  <c r="Z78" i="1"/>
  <c r="D78" i="1" s="1"/>
  <c r="D212" i="1"/>
  <c r="D218" i="1"/>
  <c r="W280" i="1"/>
  <c r="C283" i="1"/>
  <c r="U270" i="1"/>
  <c r="D37" i="1"/>
  <c r="V280" i="1"/>
  <c r="K287" i="1"/>
  <c r="M33" i="1"/>
  <c r="C20" i="1"/>
  <c r="AB266" i="1"/>
  <c r="Z264" i="1"/>
  <c r="D264" i="1" s="1"/>
  <c r="D266" i="1" s="1"/>
  <c r="E65" i="4"/>
  <c r="L280" i="1"/>
  <c r="R280" i="1"/>
  <c r="T280" i="1"/>
  <c r="T290" i="1" s="1"/>
  <c r="AC280" i="1"/>
  <c r="Z282" i="1"/>
  <c r="F285" i="1"/>
  <c r="O285" i="1"/>
  <c r="O288" i="1" s="1"/>
  <c r="C285" i="1"/>
  <c r="J65" i="4"/>
  <c r="Y288" i="1"/>
  <c r="AH71" i="4"/>
  <c r="Z97" i="1" l="1"/>
  <c r="X299" i="1"/>
  <c r="X297" i="1" s="1"/>
  <c r="Q63" i="4"/>
  <c r="D75" i="1"/>
  <c r="D270" i="1"/>
  <c r="T299" i="1"/>
  <c r="F33" i="1"/>
  <c r="D282" i="1"/>
  <c r="D283" i="1"/>
  <c r="D272" i="1"/>
  <c r="O290" i="1"/>
  <c r="E60" i="4"/>
  <c r="D262" i="1"/>
  <c r="Z262" i="1"/>
  <c r="AG117" i="4"/>
  <c r="U55" i="4"/>
  <c r="U33" i="1"/>
  <c r="P33" i="1"/>
  <c r="P44" i="1"/>
  <c r="J290" i="1"/>
  <c r="J299" i="1" s="1"/>
  <c r="J297" i="1" s="1"/>
  <c r="O111" i="4"/>
  <c r="O48" i="4"/>
  <c r="AD48" i="4" s="1"/>
  <c r="P262" i="1"/>
  <c r="P280" i="1"/>
  <c r="Y56" i="4"/>
  <c r="O63" i="4"/>
  <c r="O56" i="4"/>
  <c r="T63" i="4"/>
  <c r="Y60" i="4"/>
  <c r="K44" i="1"/>
  <c r="O117" i="4"/>
  <c r="T297" i="1"/>
  <c r="D285" i="1"/>
  <c r="G55" i="4"/>
  <c r="V55" i="4"/>
  <c r="H55" i="4"/>
  <c r="I299" i="1"/>
  <c r="I297" i="1" s="1"/>
  <c r="U66" i="4"/>
  <c r="AA290" i="1"/>
  <c r="AA299" i="1" s="1"/>
  <c r="AA297" i="1" s="1"/>
  <c r="Y290" i="1"/>
  <c r="AD38" i="4"/>
  <c r="AD50" i="4" s="1"/>
  <c r="AB635" i="5"/>
  <c r="AB647" i="5" s="1"/>
  <c r="AB645" i="5" s="1"/>
  <c r="AD58" i="4"/>
  <c r="L33" i="1"/>
  <c r="K24" i="1"/>
  <c r="D24" i="1" s="1"/>
  <c r="J117" i="4"/>
  <c r="I119" i="4"/>
  <c r="I106" i="4"/>
  <c r="AC119" i="4"/>
  <c r="AC106" i="4"/>
  <c r="N119" i="4"/>
  <c r="N106" i="4"/>
  <c r="X119" i="4"/>
  <c r="X106" i="4"/>
  <c r="S119" i="4"/>
  <c r="S106" i="4"/>
  <c r="C280" i="1"/>
  <c r="R119" i="4"/>
  <c r="R106" i="4"/>
  <c r="W119" i="4"/>
  <c r="W106" i="4"/>
  <c r="AB119" i="4"/>
  <c r="AB106" i="4"/>
  <c r="E117" i="4"/>
  <c r="AB290" i="1"/>
  <c r="AA66" i="4" s="1"/>
  <c r="S290" i="1"/>
  <c r="P66" i="4" s="1"/>
  <c r="O66" i="4" s="1"/>
  <c r="M44" i="1"/>
  <c r="L56" i="4" s="1"/>
  <c r="J56" i="4" s="1"/>
  <c r="E50" i="4"/>
  <c r="E111" i="4" s="1"/>
  <c r="C44" i="1"/>
  <c r="Z115" i="4"/>
  <c r="AE115" i="4" s="1"/>
  <c r="Y115" i="4"/>
  <c r="J63" i="4"/>
  <c r="E62" i="4"/>
  <c r="AD62" i="4" s="1"/>
  <c r="N290" i="1"/>
  <c r="K66" i="4" s="1"/>
  <c r="J66" i="4" s="1"/>
  <c r="L290" i="1"/>
  <c r="G290" i="1"/>
  <c r="G299" i="1" s="1"/>
  <c r="R290" i="1"/>
  <c r="R299" i="1" s="1"/>
  <c r="V290" i="1"/>
  <c r="V299" i="1" s="1"/>
  <c r="Q290" i="1"/>
  <c r="Q299" i="1" s="1"/>
  <c r="H290" i="1"/>
  <c r="H299" i="1" s="1"/>
  <c r="W290" i="1"/>
  <c r="V66" i="4" s="1"/>
  <c r="M290" i="1"/>
  <c r="E290" i="1"/>
  <c r="E299" i="1" s="1"/>
  <c r="E297" i="1" s="1"/>
  <c r="K288" i="1"/>
  <c r="F288" i="1"/>
  <c r="P288" i="1"/>
  <c r="AC288" i="1"/>
  <c r="Z288" i="1" s="1"/>
  <c r="P287" i="1"/>
  <c r="D287" i="1" s="1"/>
  <c r="Q55" i="4"/>
  <c r="P55" i="4"/>
  <c r="F55" i="4"/>
  <c r="F71" i="4" s="1"/>
  <c r="F69" i="4" s="1"/>
  <c r="AD76" i="4"/>
  <c r="U269" i="1"/>
  <c r="D269" i="1" s="1"/>
  <c r="C288" i="1"/>
  <c r="AH108" i="4"/>
  <c r="D11" i="1"/>
  <c r="Z55" i="4"/>
  <c r="AA65" i="4"/>
  <c r="Y65" i="4" s="1"/>
  <c r="V65" i="4"/>
  <c r="T65" i="4" s="1"/>
  <c r="AD95" i="4"/>
  <c r="AD105" i="4" s="1"/>
  <c r="U56" i="4"/>
  <c r="T56" i="4" s="1"/>
  <c r="D44" i="1"/>
  <c r="E56" i="4"/>
  <c r="L55" i="4"/>
  <c r="K55" i="4"/>
  <c r="K280" i="1"/>
  <c r="Z266" i="1"/>
  <c r="U280" i="1"/>
  <c r="U290" i="1" s="1"/>
  <c r="Z33" i="1" l="1"/>
  <c r="AH119" i="4"/>
  <c r="AH106" i="4"/>
  <c r="T55" i="4"/>
  <c r="C290" i="1"/>
  <c r="O55" i="4"/>
  <c r="AD84" i="4"/>
  <c r="AD115" i="4" s="1"/>
  <c r="S299" i="1"/>
  <c r="S297" i="1" s="1"/>
  <c r="D280" i="1"/>
  <c r="T66" i="4"/>
  <c r="AD117" i="4"/>
  <c r="AB299" i="1"/>
  <c r="AB297" i="1" s="1"/>
  <c r="Q297" i="1"/>
  <c r="M299" i="1"/>
  <c r="M297" i="1" s="1"/>
  <c r="V297" i="1"/>
  <c r="N299" i="1"/>
  <c r="N297" i="1" s="1"/>
  <c r="D288" i="1"/>
  <c r="K23" i="1"/>
  <c r="AC290" i="1"/>
  <c r="AC299" i="1" s="1"/>
  <c r="AD63" i="4"/>
  <c r="AD111" i="4"/>
  <c r="AE84" i="4"/>
  <c r="AD56" i="4"/>
  <c r="AD65" i="4"/>
  <c r="K71" i="4"/>
  <c r="F290" i="1"/>
  <c r="F299" i="1" s="1"/>
  <c r="F297" i="1" s="1"/>
  <c r="Q71" i="4"/>
  <c r="Q69" i="4" s="1"/>
  <c r="L71" i="4"/>
  <c r="L69" i="4" s="1"/>
  <c r="K290" i="1"/>
  <c r="P290" i="1"/>
  <c r="E55" i="4"/>
  <c r="P71" i="4"/>
  <c r="R297" i="1"/>
  <c r="H66" i="4"/>
  <c r="H71" i="4" s="1"/>
  <c r="H69" i="4" s="1"/>
  <c r="G297" i="1"/>
  <c r="G66" i="4"/>
  <c r="G71" i="4" s="1"/>
  <c r="G69" i="4" s="1"/>
  <c r="H297" i="1"/>
  <c r="AA55" i="4"/>
  <c r="AA71" i="4" s="1"/>
  <c r="AA69" i="4" s="1"/>
  <c r="Z290" i="1"/>
  <c r="J60" i="4"/>
  <c r="Z299" i="1" l="1"/>
  <c r="Z297" i="1" s="1"/>
  <c r="K33" i="1"/>
  <c r="D23" i="1"/>
  <c r="D33" i="1" s="1"/>
  <c r="D290" i="1"/>
  <c r="P299" i="1"/>
  <c r="P297" i="1" s="1"/>
  <c r="Y55" i="4"/>
  <c r="P69" i="4"/>
  <c r="O69" i="4" s="1"/>
  <c r="O71" i="4"/>
  <c r="E69" i="4"/>
  <c r="M55" i="4"/>
  <c r="M71" i="4" s="1"/>
  <c r="M69" i="4" s="1"/>
  <c r="AG69" i="4" s="1"/>
  <c r="L299" i="1"/>
  <c r="L297" i="1" s="1"/>
  <c r="K108" i="4"/>
  <c r="K106" i="4" s="1"/>
  <c r="K69" i="4"/>
  <c r="AC297" i="1"/>
  <c r="Z66" i="4"/>
  <c r="Z71" i="4" s="1"/>
  <c r="P113" i="4"/>
  <c r="K113" i="4"/>
  <c r="AA113" i="4"/>
  <c r="H113" i="4"/>
  <c r="L108" i="4"/>
  <c r="L113" i="4"/>
  <c r="Q108" i="4"/>
  <c r="Q113" i="4"/>
  <c r="P108" i="4"/>
  <c r="E66" i="4"/>
  <c r="AA108" i="4"/>
  <c r="AA106" i="4" s="1"/>
  <c r="H108" i="4"/>
  <c r="Z69" i="4" l="1"/>
  <c r="Y69" i="4" s="1"/>
  <c r="Z108" i="4"/>
  <c r="Y66" i="4"/>
  <c r="Y71" i="4" s="1"/>
  <c r="O108" i="4"/>
  <c r="J55" i="4"/>
  <c r="M108" i="4"/>
  <c r="M119" i="4" s="1"/>
  <c r="AG71" i="4"/>
  <c r="AG108" i="4" s="1"/>
  <c r="M113" i="4"/>
  <c r="AG113" i="4" s="1"/>
  <c r="J69" i="4"/>
  <c r="E71" i="4"/>
  <c r="E108" i="4" s="1"/>
  <c r="E106" i="4" s="1"/>
  <c r="AA119" i="4"/>
  <c r="P119" i="4"/>
  <c r="P106" i="4"/>
  <c r="Q119" i="4"/>
  <c r="Q106" i="4"/>
  <c r="K119" i="4"/>
  <c r="L119" i="4"/>
  <c r="L106" i="4"/>
  <c r="H119" i="4"/>
  <c r="H106" i="4"/>
  <c r="F113" i="4"/>
  <c r="G113" i="4"/>
  <c r="F108" i="4"/>
  <c r="G108" i="4"/>
  <c r="AD66" i="4" l="1"/>
  <c r="J71" i="4"/>
  <c r="J108" i="4" s="1"/>
  <c r="J106" i="4" s="1"/>
  <c r="AD55" i="4"/>
  <c r="AG119" i="4"/>
  <c r="AG106" i="4"/>
  <c r="O106" i="4"/>
  <c r="M106" i="4"/>
  <c r="Z113" i="4"/>
  <c r="G119" i="4"/>
  <c r="G106" i="4"/>
  <c r="F119" i="4"/>
  <c r="F106" i="4"/>
  <c r="E113" i="4"/>
  <c r="E119" i="4"/>
  <c r="O113" i="4"/>
  <c r="Y113" i="4"/>
  <c r="W97" i="1"/>
  <c r="J119" i="4" l="1"/>
  <c r="J113" i="4"/>
  <c r="Z119" i="4"/>
  <c r="Y108" i="4"/>
  <c r="Y119" i="4" s="1"/>
  <c r="V60" i="4"/>
  <c r="V71" i="4" s="1"/>
  <c r="V69" i="4" s="1"/>
  <c r="W299" i="1"/>
  <c r="W297" i="1" s="1"/>
  <c r="Z106" i="4"/>
  <c r="Y106" i="4" s="1"/>
  <c r="O119" i="4"/>
  <c r="U82" i="1"/>
  <c r="U60" i="4"/>
  <c r="U71" i="4" s="1"/>
  <c r="U97" i="1" l="1"/>
  <c r="U299" i="1" s="1"/>
  <c r="U297" i="1" s="1"/>
  <c r="D82" i="1"/>
  <c r="T60" i="4"/>
  <c r="AD60" i="4" s="1"/>
  <c r="U69" i="4"/>
  <c r="T69" i="4" s="1"/>
  <c r="AD69" i="4" s="1"/>
  <c r="AF69" i="4"/>
  <c r="AF71" i="4"/>
  <c r="AF108" i="4" s="1"/>
  <c r="V108" i="4"/>
  <c r="V119" i="4" s="1"/>
  <c r="V113" i="4"/>
  <c r="AF113" i="4" s="1"/>
  <c r="D97" i="1" l="1"/>
  <c r="D299" i="1" s="1"/>
  <c r="D297" i="1" s="1"/>
  <c r="AD71" i="4"/>
  <c r="AD108" i="4" s="1"/>
  <c r="AF119" i="4"/>
  <c r="AF106" i="4"/>
  <c r="V106" i="4"/>
  <c r="AE69" i="4" l="1"/>
  <c r="T71" i="4"/>
  <c r="T113" i="4" s="1"/>
  <c r="AE71" i="4"/>
  <c r="U108" i="4"/>
  <c r="U113" i="4"/>
  <c r="AE113" i="4" s="1"/>
  <c r="AD119" i="4"/>
  <c r="AD113" i="4"/>
  <c r="AE108" i="4" l="1"/>
  <c r="AE106" i="4" s="1"/>
  <c r="U119" i="4"/>
  <c r="T108" i="4"/>
  <c r="T119" i="4" s="1"/>
  <c r="U106" i="4"/>
  <c r="T106" i="4" s="1"/>
  <c r="AD106" i="4" s="1"/>
  <c r="C17" i="1"/>
  <c r="AE119" i="4" l="1"/>
  <c r="O33" i="1"/>
  <c r="O299" i="1" s="1"/>
  <c r="O297" i="1" s="1"/>
  <c r="C16" i="1"/>
  <c r="C33" i="1" s="1"/>
  <c r="K299" i="1"/>
  <c r="K297" i="1" s="1"/>
  <c r="Y299" i="1"/>
  <c r="Y297" i="1" s="1"/>
</calcChain>
</file>

<file path=xl/comments1.xml><?xml version="1.0" encoding="utf-8"?>
<comments xmlns="http://schemas.openxmlformats.org/spreadsheetml/2006/main">
  <authors>
    <author>Щербакова Екатерина Александровна</author>
    <author>krasnova.ai</author>
  </authors>
  <commentList>
    <comment ref="A32" authorId="0">
      <text>
        <r>
          <rPr>
            <b/>
            <sz val="9"/>
            <color indexed="81"/>
            <rFont val="Tahoma"/>
            <family val="2"/>
            <charset val="204"/>
          </rPr>
          <t>Щербакова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Добавили новое мероприятие</t>
        </r>
      </text>
    </comment>
    <comment ref="B65" authorId="1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наименование!</t>
        </r>
      </text>
    </comment>
    <comment ref="B66" authorId="1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2 проекта (когда добавят областное финансирование добавить 1 индикатор)</t>
        </r>
      </text>
    </comment>
  </commentList>
</comments>
</file>

<file path=xl/comments2.xml><?xml version="1.0" encoding="utf-8"?>
<comments xmlns="http://schemas.openxmlformats.org/spreadsheetml/2006/main">
  <authors>
    <author>krasnova.ai</author>
  </authors>
  <commentList>
    <comment ref="G101" author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ремонт и дворы</t>
        </r>
      </text>
    </comment>
  </commentList>
</comments>
</file>

<file path=xl/sharedStrings.xml><?xml version="1.0" encoding="utf-8"?>
<sst xmlns="http://schemas.openxmlformats.org/spreadsheetml/2006/main" count="2633" uniqueCount="1534">
  <si>
    <t>Наименование мероприятий по объектам</t>
  </si>
  <si>
    <t>1.1.</t>
  </si>
  <si>
    <t>2.1.</t>
  </si>
  <si>
    <t>4.2.</t>
  </si>
  <si>
    <t>всего, тыс.руб.</t>
  </si>
  <si>
    <t>областной бюджет, тыс.руб.</t>
  </si>
  <si>
    <t>Осуществление строительного контроля на объекте: Капитальный ремонт автодороги по ул. Радищева (от ул. Октябрьская до ул. Новозаводская)</t>
  </si>
  <si>
    <t>1.1.1.</t>
  </si>
  <si>
    <t>2.1.1.</t>
  </si>
  <si>
    <t>1.2.</t>
  </si>
  <si>
    <t>1.2.1.</t>
  </si>
  <si>
    <t>1.2.2.</t>
  </si>
  <si>
    <t>местный бюджет, тыс.руб.</t>
  </si>
  <si>
    <t>Стоимость работ по годам, тыс.руб.</t>
  </si>
  <si>
    <t>1.1.2.</t>
  </si>
  <si>
    <t>1.3.</t>
  </si>
  <si>
    <t>1.2.3.</t>
  </si>
  <si>
    <t>Ремонт дворовых территорий многоквартирных домов и проездов к дворовым территориям многоквартирных домов городского округа Тольятти</t>
  </si>
  <si>
    <t>Оказание услуг по диагностике и оценке транспортно-эксплуатационного состояния автомобильных дорог общего пользования местного значения городского округа Тольятти</t>
  </si>
  <si>
    <t>Оказание услуг по техническому учету и паспортизации автомобильных дорог общего пользования местного значения городского округа Тольятти</t>
  </si>
  <si>
    <t>2021 год</t>
  </si>
  <si>
    <t>2022 год</t>
  </si>
  <si>
    <t>2023 год</t>
  </si>
  <si>
    <t>2024 год</t>
  </si>
  <si>
    <t>2025 год</t>
  </si>
  <si>
    <t>1.1.3.</t>
  </si>
  <si>
    <t xml:space="preserve">Строительство магистральной улицы общегородского значения регулируемого движения в продолжение ул. Фермерской до Южного шоссе 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</si>
  <si>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№8 "Союз"</t>
  </si>
  <si>
    <t>Строительство улицы Казачья в жилой застройке  микрорайона Жигулевское море от ул. Ивана Красюка  до ул. Бориса Коваленко</t>
  </si>
  <si>
    <t>Осуществление строительного контроля на объекте: 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</si>
  <si>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улице Базовая от ул. Комсомольская до улицы Ларина</t>
  </si>
  <si>
    <t>местный бюджет, тыс. руб.</t>
  </si>
  <si>
    <t>4.1.</t>
  </si>
  <si>
    <t>4.3.</t>
  </si>
  <si>
    <t>Капитальный ремонт автодороги по ул. Северная от дома №39 по улице Северная до улицы Цеховая</t>
  </si>
  <si>
    <t>Осуществление строительного контроля на объекте: Капитальный ремонт автодороги по ул. Северная от дома №39 по улице Северная до улицы Цеховая</t>
  </si>
  <si>
    <t>2.1.2.</t>
  </si>
  <si>
    <t>Строительство улично-дорожной сети западнее Московского проспекта - первая очередь</t>
  </si>
  <si>
    <t>3.1.</t>
  </si>
  <si>
    <t>3.2.</t>
  </si>
  <si>
    <t>Строительство улицы Ивана Красюка в жилой застройке  микрорайона Жигулевское море от ул. Казачьей до пересечения ул. Молодецкая и проезда Оренбургский</t>
  </si>
  <si>
    <t>Реконструкция кольцевой транспортной развязки на пересечении Южного шоссе и ул. Борковская. Устройство дополнительных правоповоротных полос движения (Юго-восточная полоса движения. Северо-западная полоса движения)</t>
  </si>
  <si>
    <t>ИТОГО ПО ПОДПРОГРАММЕ "РГПТ"</t>
  </si>
  <si>
    <t>2021-2025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</si>
  <si>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</si>
  <si>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</si>
  <si>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</si>
  <si>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Содержание МКУ "ЦОДД  ГОТ"</t>
  </si>
  <si>
    <t>Департамент дорожного хозяйства и транспорта            администрации городского округа Тольятти</t>
  </si>
  <si>
    <t xml:space="preserve">Приобретение материалов для содержания ТСОДД, ремонта остановочных павильонов   </t>
  </si>
  <si>
    <t>Департамент дорожного хозяйства и транспорта администрации городского округа Тольятти</t>
  </si>
  <si>
    <t xml:space="preserve">Проектирование устройства и переноса остановок общественного транспорта, в т.ч. экспертиза выполненных работ   </t>
  </si>
  <si>
    <t>Устройство пешеходных дорожек</t>
  </si>
  <si>
    <t xml:space="preserve">Департамент дорожного хозяйства и транспорта  администрации городского округа Тольятти                           </t>
  </si>
  <si>
    <t>Устройство  искусственных дорожных неровностей, в т.ч. экспертиза выполненных работ</t>
  </si>
  <si>
    <t>Внебюджетные средства</t>
  </si>
  <si>
    <t>федеральный   бюджет</t>
  </si>
  <si>
    <t>областной  бюджет</t>
  </si>
  <si>
    <t>Всего</t>
  </si>
  <si>
    <t xml:space="preserve"> План на 2025 год</t>
  </si>
  <si>
    <t xml:space="preserve"> План на 2024 год</t>
  </si>
  <si>
    <t xml:space="preserve"> План на 2023 год</t>
  </si>
  <si>
    <t xml:space="preserve"> План на 2022 год</t>
  </si>
  <si>
    <t xml:space="preserve"> План на 2021 год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</si>
  <si>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</si>
  <si>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</si>
  <si>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</si>
  <si>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</si>
  <si>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</si>
  <si>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</si>
  <si>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</si>
  <si>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 xml:space="preserve">Подпрограмма "Повышение безопасности дорожного движения на период 2021-2025 гг."                       </t>
  </si>
  <si>
    <t>Нанесение горизонтальной дорожной разметки</t>
  </si>
  <si>
    <t>ИТОГО ПО ПОДПРОГРАММЕ "СУДС"</t>
  </si>
  <si>
    <t>Сроки реали-зации</t>
  </si>
  <si>
    <t>Центральный район:</t>
  </si>
  <si>
    <t>Комсомольский район:</t>
  </si>
  <si>
    <t>Оказание услуг по подготовке экспертных заключений о соответствии результатов выполненных работ по отсыпке автомобильных дорог городского округа Тольятти, расположенных в зоне застройки индивидуальными жилыми домами асфальтогранулятом</t>
  </si>
  <si>
    <t>Итого по Комсомольскому району:</t>
  </si>
  <si>
    <t xml:space="preserve">Автодороги Центральной части Центрального района </t>
  </si>
  <si>
    <t>Автодороги микрорайона Тимофеевка-2</t>
  </si>
  <si>
    <t>Автодороги микрорайона Федоровка</t>
  </si>
  <si>
    <t>Автодороги микрорайона Новоматюшкино</t>
  </si>
  <si>
    <t>Автодороги микрорайона Поволжский</t>
  </si>
  <si>
    <t xml:space="preserve">Автодороги мкр. Жигулевское море </t>
  </si>
  <si>
    <t>Итого Центральный район:</t>
  </si>
  <si>
    <t>Автодороги микрорайона Загородный</t>
  </si>
  <si>
    <t>местный бюджет</t>
  </si>
  <si>
    <t>областной бюджет</t>
  </si>
  <si>
    <t>Финансовые ресурсы, тыс. руб.</t>
  </si>
  <si>
    <t>Наименование мероприятий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</si>
  <si>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</si>
  <si>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</si>
  <si>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</si>
  <si>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</si>
  <si>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</si>
  <si>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</si>
  <si>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</si>
  <si>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Устройство  искусственных дорожных  неровностей, в т.ч. экспертиза выполненных работ</t>
  </si>
  <si>
    <t>Количество устроенных искусственных дорожных неровностей</t>
  </si>
  <si>
    <t>Количество построенных пешеходных дорожек</t>
  </si>
  <si>
    <t>тыс.м.п.</t>
  </si>
  <si>
    <t>Количество обустроенных светофорных объектов</t>
  </si>
  <si>
    <t xml:space="preserve">Проектирование устройства и переноса остановок общественного транспорта, в т.ч. экспертиза выполненных работ </t>
  </si>
  <si>
    <t>Количество приобретенных единиц спецтехники</t>
  </si>
  <si>
    <t>ед.</t>
  </si>
  <si>
    <t>Приобретение материалов для содержания ТСОДД, ремонта остановочных павильонов</t>
  </si>
  <si>
    <t>Количество приобретенных видов материалов для содержания ТСОДД, ремонта остановочных павильонов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</si>
  <si>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</si>
  <si>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</si>
  <si>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</si>
  <si>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Количество автомобильных дорог общего пользования местного значения городского округа Тольятти, на которых проведён технический учёт и паспортизация</t>
  </si>
  <si>
    <t>км</t>
  </si>
  <si>
    <t>тыс. м2</t>
  </si>
  <si>
    <t>тыс.м2</t>
  </si>
  <si>
    <t>2 988,20</t>
  </si>
  <si>
    <t>1 222,64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</si>
  <si>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</si>
  <si>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</si>
  <si>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</si>
  <si>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 xml:space="preserve">Устройство линий наружного электроосвещения мест концентрации ДТП     </t>
  </si>
  <si>
    <t xml:space="preserve">Количество устроенных линий наружного электроосвещения мест концентрации ДТП    </t>
  </si>
  <si>
    <t>Проектно-изыскательские работы по объекту: Реконструкция магистральной улицы городского значения регулируемого движения по ул.Спортивной на участке от ул.Степана Разина до ул. Юбилейная (строительство бокового проезда) в 8 квартале Автозаводского района г.Тольятти</t>
  </si>
  <si>
    <t>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</si>
  <si>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Проектно-изыскательские работы по объекту: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</si>
  <si>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2.1.3.</t>
  </si>
  <si>
    <t>1.3.1.</t>
  </si>
  <si>
    <t>общего пользования?</t>
  </si>
  <si>
    <t>Подпрограмма "Развитие  городского пассажирского транспорта в городском округе Тольятти на период 2021-2025 гг."</t>
  </si>
  <si>
    <t xml:space="preserve"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</si>
  <si>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</si>
  <si>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 -</t>
  </si>
  <si>
    <t>Регулярность выполнения перевозок по заключенным муниципальным контрактам</t>
  </si>
  <si>
    <t>Количество перевезенных пассажиров льготной категории граждан</t>
  </si>
  <si>
    <t>тыс.пас.</t>
  </si>
  <si>
    <t>2022-2025</t>
  </si>
  <si>
    <t>разные площади</t>
  </si>
  <si>
    <t>Устройство  искусственных дорожных неровностей, экспертиза выполненных работ, в т.ч.:</t>
  </si>
  <si>
    <t xml:space="preserve">план на 2021: </t>
  </si>
  <si>
    <t>план на 2022:</t>
  </si>
  <si>
    <t xml:space="preserve">ул. Офицерская (на участке от ул. Полякова до ул. Ботаническая); </t>
  </si>
  <si>
    <t>ул. Радищева (на участке от ул. Победы до ул. Новозаводская);</t>
  </si>
  <si>
    <t>ул. Северная (на участке от ул. Борковская до дома № 105 по ул. Северная);</t>
  </si>
  <si>
    <t>ул. Диагональная (на участке от ул. Баныкина до ул. Кунеевская);</t>
  </si>
  <si>
    <t>Устройство пешеходных дорожек, в т.ч.:</t>
  </si>
  <si>
    <t>в районе ООТ "70 лет Октября" по ул.70 лет Октября;</t>
  </si>
  <si>
    <t>Проектирование устройства и переноса остановок общественного транспорта, в т.ч. экспертиза выполненных работ, в т.ч.:</t>
  </si>
  <si>
    <t>план на 2021:</t>
  </si>
  <si>
    <t>Устройство и перенос остановок общественного транспорта  на территории городского округа Тольятти, в т.ч.:</t>
  </si>
  <si>
    <t>ООТ "Молокозавод" на ул. Коммунальная;</t>
  </si>
  <si>
    <t>Устройство парковочных площадок, карманов  и стоянок, в т.ч.:</t>
  </si>
  <si>
    <t xml:space="preserve">в районе ООТ "Приморский бульвар" по ул.Революционная; </t>
  </si>
  <si>
    <t>в районе ООТ "Озерки" по Поволжскому шоссе;</t>
  </si>
  <si>
    <t xml:space="preserve">в районе ООТ "Сосновый бор" по Поволжскому шоссе; </t>
  </si>
  <si>
    <t>в районе пересечения бульвара 50 лет Октября - ул.Герцена - ул.Украинская;</t>
  </si>
  <si>
    <t xml:space="preserve"> Ремонт дворовых территорий многоквартирных домов, проездов к дворовым территориям многоквартирных домов  городского округа Тольятти</t>
  </si>
  <si>
    <t>Количество разработанной проектно-сметной документации по капитальному ремонту автомобильных дорог общего пользования местного значения городского округа Тольятти</t>
  </si>
  <si>
    <t>Отсыпка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</si>
  <si>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Площадь отремонтированных путем ремонта дворовых территорий многоквартирных домов, проездов к дворовым территориям многоквартирных домов городского округа Тольятти</t>
  </si>
  <si>
    <t>Общая стоимость работ (ориентировочная), тыс.руб.</t>
  </si>
  <si>
    <t>федеральный бюджет, тыс. руб.</t>
  </si>
  <si>
    <t>областной бюджет, тыс. руб.</t>
  </si>
  <si>
    <t xml:space="preserve">Строительство магистральной улицы  районного значения транспортно-пешеходной  ул. Механизаторов от ул. Громовой до ул. Лизы Чайкиной в Комсомольском районе города Тольятти </t>
  </si>
  <si>
    <t>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 города Тольятти</t>
  </si>
  <si>
    <t>Осуществление строительного контроля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</si>
  <si>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Осуществление авторского надзора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</si>
  <si>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Капитальный ремонт ул.Калмыцкая на участке от ж/д. переезда до ул.Васильевская</t>
  </si>
  <si>
    <t>Осуществление строительного контроля на объекте: Капитальный ремонт автодороги по улице  ул.Калмыцкая на участке от ж/д. переезда до ул.Васильевская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</si>
  <si>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</si>
  <si>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</si>
  <si>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</si>
  <si>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</si>
  <si>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</si>
  <si>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</si>
  <si>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</si>
  <si>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</si>
  <si>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</si>
  <si>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</si>
  <si>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>базовое значение за 2018 год</t>
  </si>
  <si>
    <t>базовое значение 2018г.</t>
  </si>
  <si>
    <t xml:space="preserve">Доля протяженности дорожной сети городского округа Тольятти, находящейся в нормативном состоянии </t>
  </si>
  <si>
    <t>Протяженность автомобильных дорог общего пользования местного значения городского округа Тольятти, на которых проведена диагностика и оценка транспортно-эксплуатационного состояния</t>
  </si>
  <si>
    <t>Протяженность построенных автомобильных дорог общего пользования местного значения городского округа Тольятти</t>
  </si>
  <si>
    <t>Протяжённость реконструированных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</si>
  <si>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реконструкции автомобильных дорог общего пользования местного значения городского округа Тольятти</t>
  </si>
  <si>
    <t>Количество заключенных контрактов на выполнение регулярных перевозок пассажиров и багажа по регулируемым тарифам</t>
  </si>
  <si>
    <t>Количество действующих маршрутов на выполнение регулярных перевозок пассажиров и багажа по регулируемым тарифам</t>
  </si>
  <si>
    <t>L(S) объекта, км (т.м2)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</si>
  <si>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</si>
  <si>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</si>
  <si>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Подпрограмма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</t>
  </si>
  <si>
    <t>пр-д Фабричный</t>
  </si>
  <si>
    <t>ул. Дзержинского между ул. Революционная и световой опорой № 84 (89) по ул. Дзержинского</t>
  </si>
  <si>
    <t>ул. Тюленина от улицы Коммунистической до улицы Мурысева</t>
  </si>
  <si>
    <t>ул. Северная от улицы Цеховая до границы г.о. Тольятти (ул. Степная)</t>
  </si>
  <si>
    <t>Кольцевая транспортная развязка по Южному шоссе - ул.Полякова</t>
  </si>
  <si>
    <t>Устройство линий наружного электроосвещения мест концентрации ДТП</t>
  </si>
  <si>
    <t xml:space="preserve">Устройство и перенос остановок общественного транспорта  на территории городского округа Тольятти                                                                                                                                                        </t>
  </si>
  <si>
    <t>Строительство дороги по улице Владимира Высоцкого</t>
  </si>
  <si>
    <t>Строительство дороги местного значения и проездов в микрорайоне "Калина", Автозаводский район, г. Тольятти, Самарская область</t>
  </si>
  <si>
    <t>Протяженность установленных пешеходных ограждений</t>
  </si>
  <si>
    <t xml:space="preserve">Устройство парковочных площадок, карманов и стоянок                                   </t>
  </si>
  <si>
    <t>Строительство парковочных автостоянок вдоль Южных проходных ПАО "АВТОВАЗ" по Южному шоссе</t>
  </si>
  <si>
    <t xml:space="preserve">Проектно-изыскательские работы по корректировке проектно-сметной документации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 </t>
  </si>
  <si>
    <t>Проектно-изыскательские работы по устройству подъездной дороги к поликлинике на 1000 посещений в смену</t>
  </si>
  <si>
    <t>Ремонт автопарковки в районе поликлиники на 500 посещений в смену</t>
  </si>
  <si>
    <t xml:space="preserve">Устройство съездов для инвалидов и других маломобильных групп населения на территории городского округа Тольятти </t>
  </si>
  <si>
    <t>нераспределенный остаток</t>
  </si>
  <si>
    <t>Приложение № 2                                                                                              к  постановлению администрации городского округа Тольятти "_____" _______________2021г. № _______________</t>
  </si>
  <si>
    <t>Устройство и перенос остановок общественного транспорта на территории городского округа Тольятти</t>
  </si>
  <si>
    <t>Устройство парковочных площадок, карманов и стоянок</t>
  </si>
  <si>
    <t>Количество  вновь введенных в эксплуатацию (реконструируемых) парковочных площадок, карманов и стоянок</t>
  </si>
  <si>
    <t>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</t>
  </si>
  <si>
    <t>Устройство технических средств организации дорожного движения</t>
  </si>
  <si>
    <t>Устройство технических средств организации дорожного движения, в т.ч:</t>
  </si>
  <si>
    <t>Приобретение дорожных знаков (заготовок дорожных знаков)</t>
  </si>
  <si>
    <t>Количество установленных  дорожных знаков</t>
  </si>
  <si>
    <t>Количество приобретенных дорожных знаков (заготовок дорожных знаков)</t>
  </si>
  <si>
    <t>Проектирование устройства парковочных площадок (карманов и стоянок)</t>
  </si>
  <si>
    <t>2021 - 2025</t>
  </si>
  <si>
    <t>ул. Дзержинского между ул. Ворошилова и ул. 40 лет Победы</t>
  </si>
  <si>
    <t>Борковский проезд от  ул. Вокзальная,54 до границы городского округа, южнее здания по адресу: ул. Вокзальная, 44Б</t>
  </si>
  <si>
    <t>ул.Офицерская от ул. Ботаническая до объекта недвижимости, имеющего адрес: ул. Офицерская, д.8, включая пересечение автодорог по ул.Полякова и ул.Офицерская</t>
  </si>
  <si>
    <t>улица Полякова от ул.Коммунальная до ул.Офицерская</t>
  </si>
  <si>
    <t>ул. Мира между ул. Родины и ул. Победы</t>
  </si>
  <si>
    <t>ул. Крупской от бульвара 50 лет Октября до ул. Шлютова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</si>
  <si>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Западная часть квартала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</si>
  <si>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Восточная часть квартала</t>
  </si>
  <si>
    <t>Выполнение проектно-изыскательских работ по объекту: «Строительство магистральной улицы общегородского значения регулируемого движения в продолжение ул. Фермерской до Южного шоссе»</t>
  </si>
  <si>
    <t>Проектно- изыскательские работы на строительство подъездной автомобильной дороги (проезда) от внутриквартального проезда к земельному участку с кадастровым номером 63:09:0101159:10329 (Физкультурно-оздоровительный комплекс с универсальным игровым залом (36х18 м) по адресу: Самарская область, г. Тольятти, Автозаводский район, южнее здания №15 по бульвару Кулибина, для МБУДСДЮШОР № 8 «Союз»)</t>
  </si>
  <si>
    <t>Устройство  искусственных дорожных неровностей на ул.Матросова, д.37, д.60</t>
  </si>
  <si>
    <t>Установка дорожных знаков, ликвидация подхода к пешеходному переходу на ул. Матросова, в районе домов № 53, 134</t>
  </si>
  <si>
    <t>Устройство островка безопасности и дорожных знаков на ул. Карла Маркса - пересечение с ул. Максима Горького</t>
  </si>
  <si>
    <t>Устройство пешеходного перехода, установка дорожных знаков, сокращение заездного кармана на ул. Новозаводская, в районе домов № 2, 2А, 2Е, 2Д.</t>
  </si>
  <si>
    <t xml:space="preserve">Установка дорожных знаков при выезде с Цветного бульвара  и от дома №5 на
ул. Дзержинского
</t>
  </si>
  <si>
    <t>Установка дорожных знаков  в начале кривой сопряжения и дорожных знаков на разделительной полосе 4 проезда, ул. Транспортная  - пересечение с  4 проездом, ул. Транспортная, д.№  21Б</t>
  </si>
  <si>
    <t>Установка дорожных знаков   в районе д. № 52 по ул. Революционная</t>
  </si>
  <si>
    <t xml:space="preserve">Устройство  искусственных дорожных неровностей, установка дорожных знаков на б-ре Здоровья от ул. Свердлова до Ленинского пр-та </t>
  </si>
  <si>
    <t>Устройство  искусственных дорожных неровностей на ул. Фрунзе, д.2Г</t>
  </si>
  <si>
    <t>Устройство  искусственных дорожных неровностей на ул. Ленина, д.108, МБУ "№ 13", ООТ "Гагарина"</t>
  </si>
  <si>
    <t>Устройство  искусственных дорожных неровностей, установка дорожных знаков, устройство тротуара на ул. Льва Толстого, д.10</t>
  </si>
  <si>
    <t>Устройство искусственных дорожных неровностей, установка дорожных знаков на ул. Саратовская от ул. Самарской до ул. Украинской, д. 5</t>
  </si>
  <si>
    <t>Устройство  искусственных дорожных неровностей, установка дорожных знаков на дублере вдоль ул. Тополиная от ул. Дзержинского до Южного шоссе</t>
  </si>
  <si>
    <t>Устройство  искусственных дорожных неровностей, установка дорожных знаков на дублере вдоль ул. Ворошилова от ул. 40 лет Победы до ул.Дзержинского</t>
  </si>
  <si>
    <t>Устройство  искусственных дорожных неровностей, установка дорожных знаков на дублере вдоль ул.70 лет Октября от ул. Льва Яшина до ул. Офицерской</t>
  </si>
  <si>
    <t>Установка дорожных знаков, сокращение заездного кармана, установка пешеходных ограждений на ул. Матросова, в районе домов № 134</t>
  </si>
  <si>
    <t xml:space="preserve">Устройство  искусственных дорожных неровностей, установка дорожных знаков, нанесение дорожной разметки на ул.Ленина д.73 на пересечении с ул.Чапаева </t>
  </si>
  <si>
    <t xml:space="preserve">Ликвидация места разворота, сокращение заездного кармана, устройство тротуара, установка пешеходных ограждений на Московском пр-те, д.7                                                </t>
  </si>
  <si>
    <t>Устройство островков безопасности и установка дорожных знаков по пр-ту Степана Разина на пересечении с Ленинским проспектом</t>
  </si>
  <si>
    <t>Установка дорожных знаков и заездного кармана на ул.Новозаводская в районе д.6</t>
  </si>
  <si>
    <t>Установка П-образных опор и дорожных знаков на Южном шоссе, в районе д.№5</t>
  </si>
  <si>
    <t>Устройство световозвращателей дорожных на проезжей части Поволжского шоссе</t>
  </si>
  <si>
    <t>Устройство световозвращателей дорожных на проезжей части дороги от Московского пр-та до ул. Фермерской с. Подстепки</t>
  </si>
  <si>
    <t>Установка ограничивающих пешеходных ограждений на бульваре Ленина от ул. Ленинградская до ул.Баныкина (со стороны Краеведческого музея)</t>
  </si>
  <si>
    <t>Установка ограничивающих пешеходных ограждений на Молодежном б-ре от ул.Победы до ул.Ленина</t>
  </si>
  <si>
    <t>Установка ограничивающих пешеходных ограждений на ул.Жилина от пл.Свободы до ул.Ленинградская</t>
  </si>
  <si>
    <t>Устройство искусственных дорожных неровностей,  установка дорожных знаков  на внутриквартальном проезде вдоль ул. Железнодорожная от пр. Дорофеева до ул. Шлюзовая</t>
  </si>
  <si>
    <t>Устройство искусственных дорожных неровностей,  установка дорожных знаков на внутриквартальном проезде вдоль ул. 40 лет Победы (от Южное шоссе до ул. Тополиная)</t>
  </si>
  <si>
    <t>Установка дорожных знаков и перенос светофорного объекта на ул.Жилина в районе дома №24 (пересечение с ул.Мира)</t>
  </si>
  <si>
    <t>Ликвидация въезда (выезда), устройство дорожных знаков на бульваре Ленина в районе д.27 ул.Баныкина, д.16 "Г"</t>
  </si>
  <si>
    <t>Устройство островка безопасности, устройство искусственных дорожных неровностей, установка дорожных знаков на  перекрестке ул.М.Горького-ул.Октябрьская с/ш № 4</t>
  </si>
  <si>
    <t>Устройство искусственных дорожных неровностей на б-ре Космонавтов, д.17, с/ш № 79</t>
  </si>
  <si>
    <t>Устройство искусственных дорожных неровностей, установка дорожных знаков на ул. Шлютова, д.130 д/с "Соловушка"</t>
  </si>
  <si>
    <t>Устройство пешеходной дорожки на пересечении ул. Баныкина и ул. Жилина</t>
  </si>
  <si>
    <t>Перенос и устройство ООТ "улица Фрунзе" по Московскому проспекту</t>
  </si>
  <si>
    <t>Модернизация светофорного объекта и установка дорожных знаков  на  ул. Юбилейная - пересечение с ул. Фрунзе, ул.Фрунзе в районе домов 31а, 14 в</t>
  </si>
  <si>
    <t xml:space="preserve">Устройство светофорного объекта, установка дорожных знаков, устройство тротуара, установка пешеходных ограждений на ул. Матросова, д. 70                                                                                                                                            </t>
  </si>
  <si>
    <t>Установка дополнительных секций светофорного объекта с дорожными знаками по  ул. Ленинградской, перед пересечением с ул.Жилина</t>
  </si>
  <si>
    <t>Модернизация светофорного объекта, установка дорожных знаков на ул. Заставная, д.№1, ООТ "Учебный центр"</t>
  </si>
  <si>
    <t xml:space="preserve">Устройство светофорных объектов, установка П-образных опор и дорожных знаков , устройство тротуара, установка пешеходных ограждений на пересечении ул. Спортивная д.3, д.5 и автодороги - продолжения пр-та Ст.Разина со стороны Лесопаркового шоссе </t>
  </si>
  <si>
    <t>Выполнение проектно-изыскательских работ по устройству линии наружного электроосвещения, в т.ч.инженерные изыскания по б-ру Буденного (от ул. Фрунзе до с/о №1) в Автозаводском районе городского округа Тольятти</t>
  </si>
  <si>
    <t>Проектирование линий наружного освещения ООТ "Парк-хаус"</t>
  </si>
  <si>
    <t>Проектирование устройства пешеходной дорожки вдоль ул. Шлютова от ул. Родины до ул. Победы</t>
  </si>
  <si>
    <t>Проектирование устройства пешеходной дорожки вдоль ул. Украинской</t>
  </si>
  <si>
    <t>Устройство наружного освещения на  Южном шоссе (на участке от опоры №501 до ул. Цеховая и от ул. Цеховая до опоры № 490)</t>
  </si>
  <si>
    <t>Выполнение работ по капитальному ремонту объекта: «Подземный пешеходный переход: подземный переход через автомобильную дорогу по адресу: Самарская область, г. Тольятти,
ул. Свердлова, в районе дома №80 (капитальный ремонт)»</t>
  </si>
  <si>
    <t>Установка дорожных знаков на  ул.Жилина, д. № 1</t>
  </si>
  <si>
    <t>Проектно-изыскательские работы на капитальный ремонт магистральной улицы общегородского значения регулируемого движения ул. Калмыцкая от ж/д переезда до ул. Васильевская</t>
  </si>
  <si>
    <t>Проектно-изыскательские работы на капитальный ремонт магистральной улицы общегородского значения регулируемого движения ул. Васильевская от ул. Калмыцкая до Обводного шоссе</t>
  </si>
  <si>
    <t>Проектно-изыскательские работы на устройство линии наружного освещения вдоль магистральной улицы общегородского значения регулируемого движения ул. Калмыцкая</t>
  </si>
  <si>
    <t>Ремонт дворовых территорий многоквартирных домов, проездов к дворовым территориям многоквартирных домов  городского округа Тольятти</t>
  </si>
  <si>
    <t xml:space="preserve">Количество устроенных линий наружного электроосвещения  </t>
  </si>
  <si>
    <t>Строительство магистральной улицы общегородского значения регулируемого движения ул. Офицерской</t>
  </si>
  <si>
    <t>Автодорога по улице Бузыцкова от Хрящевского шоссе до дома № 47 по ул.Бузыцкова</t>
  </si>
  <si>
    <t>ул. Грачева от Хрящевского шоссе до пересечения с ул. Бузыцкова</t>
  </si>
  <si>
    <t>Количество установленных дорожных знаков</t>
  </si>
  <si>
    <t>Количество вновь введенных (перенесенных) в эксплуатацию остановок общественного транспорта</t>
  </si>
  <si>
    <t>тыс. м.п.</t>
  </si>
  <si>
    <t xml:space="preserve">Подпрограмма "Повышение безопасности дорожного движения на период 2021-2025 гг."                      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</si>
  <si>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</si>
  <si>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</si>
  <si>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ул. Родины от ул. Баныкина до ул. Комзина</t>
  </si>
  <si>
    <t>ул. Коммунальная от ул. Борковская до Обводного шоссе</t>
  </si>
  <si>
    <t>ул. Мичурина от ул. Ленина д. №48 до Енисейского пр-да д. № 54А</t>
  </si>
  <si>
    <t>ул. Офицерская от ул. Борковская до ул. Ботаническая</t>
  </si>
  <si>
    <t>ул. Ушакова от ул. Мира до ул. Баныкина</t>
  </si>
  <si>
    <t>ул. Дорофеева от ул. Железнодорожная до ул. Гидротехническая</t>
  </si>
  <si>
    <t>ул. Тополиная от ул. 70 лет Октября до ул. Дзержинского</t>
  </si>
  <si>
    <t>ул. Макарова от ул. Никонова до ул. Гидротехническая</t>
  </si>
  <si>
    <t>ул. Ботаническая от Южного шоссе до ул.Дзержинского</t>
  </si>
  <si>
    <t>ул. Жилина от ул. Мира до площади Свободы</t>
  </si>
  <si>
    <t>Проектирование устройства пешеходных дорожек, в т.ч. экспертиза проектов</t>
  </si>
  <si>
    <t>Предоставление транспортных услуг населению</t>
  </si>
  <si>
    <t>Проектно-изыскательские работы по устройству линий наружного электроосвещения</t>
  </si>
  <si>
    <t>Площадь содержания автомобильных дорог местного значения и внутриквартальных проездов</t>
  </si>
  <si>
    <t>Содержание автомобильных дорог местного значения и внутриквартальных проездов</t>
  </si>
  <si>
    <t>Строительный контроль и авторский надзор на объекте: "Строительство магистральной улицы общегородского значения регулируемого движения ул. Офицерской"</t>
  </si>
  <si>
    <t>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</si>
  <si>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</si>
  <si>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Строительный контроль на объектах капитального строительства</t>
  </si>
  <si>
    <t>г.о. Тольятти, ул.Автостроителей, д. №17, 38 ООТ "Школа №82"</t>
  </si>
  <si>
    <t>план на 2023:</t>
  </si>
  <si>
    <t>Проектно-изыскательские работы по объекту "Реконструкция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Приморский" (1 этап)</t>
  </si>
  <si>
    <t>Количество отремонтированных путем капитального ремонта и ремонта надземных и подземных пешеходных переходов</t>
  </si>
  <si>
    <t>Количество разработанной документации по строительному контролю при капитальном ремонте</t>
  </si>
  <si>
    <t>Осуществление строительного контроля на объекте: 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</si>
  <si>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Подземный пешеходный переход: подземный переход через автомобильную дорогу по адресу: Самарская область, г. Тольятти, ул. Свердлова, в районе дома № 80 (капитальный ремонт)</t>
  </si>
  <si>
    <t>Устройство разворотной площадки из асфальтогранулята в мкр.Северный</t>
  </si>
  <si>
    <t>Осуществление технологического присоединения к электрическим сетям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</si>
  <si>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ПБДД</t>
  </si>
  <si>
    <t>МРАД</t>
  </si>
  <si>
    <t>СУДС</t>
  </si>
  <si>
    <t>РГПТ</t>
  </si>
  <si>
    <t>Количество разработанной документации по технологическому присоединению к электрическим сетям объектов капитального ремонта автомобильных дорог общего пользования местного значения городского округа Тольятти</t>
  </si>
  <si>
    <t>Предоставление субсидии на возмещение недополученных доходов и  финансовое обеспечение (возмещение) затрат в связи с выполнением работ по перевозке отдельных категорий граждан по социальной карте жителя Самарской области в связи с сокращением пассажиропотока в условиях угрозы распространения новой коронавирусной инфекции (COVID-19)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</si>
  <si>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</si>
  <si>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Экспертиза работ, выполняемых по объекту: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</si>
  <si>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Количество разработанной документации по строительному контролю и авторскому надзору по реконструкции объектов дорожного хозяйства</t>
  </si>
  <si>
    <t>Оказание услуг по проведению проверки сметной стоимости</t>
  </si>
  <si>
    <t>Количество заключений о достоверности определения сметной стоимости</t>
  </si>
  <si>
    <t>Количество разработанной документации по строительному контролю и авторскому надзору по строительству объектов дорожного хозяйства</t>
  </si>
  <si>
    <t>Доля отечественного оборудования (товаров, работ, услуг) в общем объеме закупок</t>
  </si>
  <si>
    <t>Ремонт автомобильной дороги по боковому проезду ул. Маршала Жукова от дома №1 до дома №35 по ул.Маршала Жукова</t>
  </si>
  <si>
    <t>Ремонт автомобильной дороги по ул. Тополиная (от  ул. 70 лет Октября до ул.40 лет Победы)</t>
  </si>
  <si>
    <t>Проектно-изыскательские работы на 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</si>
  <si>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Проектно-изыскательские работы на строительство улицы Казачья в жилой застройке микрорайона Жигулевское море от ул. Ивана Красюка до ул. Бориса Коваленко</t>
  </si>
  <si>
    <t xml:space="preserve">Замена опор и установка подсветки, дублирующей сигналы светофоров на ул. 40 лет Победы, д.80 </t>
  </si>
  <si>
    <t>Установка светофоров Т7, сокращение заездного кармана, устройство тротуара на ул. Мира, д.170</t>
  </si>
  <si>
    <t>Устройство светофорного объекта с применением подсветки, дублирующий сигнал светофоров на ул. Голосова, д. 30А</t>
  </si>
  <si>
    <t>Устройство светофорного объекта, установка дорожных знаков, установка пешеходных ограждений на Южном шоссе в районе ООТ "Машиностроительный колледж"</t>
  </si>
  <si>
    <t>Установка светофора Т7,  установка пешеходных ограждений на ул. Мира в районе домов № 96, 96 А,100 Б, ООТ "Дом природы"</t>
  </si>
  <si>
    <t>Устройство светофоров Т7, устройство пешеходного перехода, устройство ИДН, устройство пешеходной дорожки, установка дорожных знаков, установка пешеходных ограждений на б-ре Королева, д. № 12</t>
  </si>
  <si>
    <t xml:space="preserve">Установка секций транспортных светофоров,  установка дорожных знаков перед
пересечением проезжих частей, по ул. Ларина и по ул. Новозаводской </t>
  </si>
  <si>
    <t>Осуществление технологического присоединения энергопринимающих устройств к электрическим сетям, в т.ч.:</t>
  </si>
  <si>
    <t>Осуществление технологического присоединения энергопринимающих устройств к электрическим сетям</t>
  </si>
  <si>
    <t>Устройство линий наружного электроосвещения мест концентрации ДТП, в т.ч.:</t>
  </si>
  <si>
    <t>ул. Октябрьская от ул. Комсомольская до здания 55 по ул. Октябрьская</t>
  </si>
  <si>
    <t>ул. Громовой, от ул. Матросова до ул.Куйбышева, северо-западнее объекта недвижимости, имеющего адрес: ул. Громовой, 92</t>
  </si>
  <si>
    <t>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 (I этап)</t>
  </si>
  <si>
    <t>Департамент дорожного хозяйства и транспорта администрации городского округа Тольятти, департамент градостроительной деятельности администрации городского округа Тольятти</t>
  </si>
  <si>
    <t>Уровень исполнения обязательств по лизингу (с нарастающим итогом)</t>
  </si>
  <si>
    <t>5,54 / -</t>
  </si>
  <si>
    <t>в том числе в рамках реализации национального проекта "Безопасные качественные дороги"</t>
  </si>
  <si>
    <t>Приобретение диагностической дорожной лаборатории</t>
  </si>
  <si>
    <t>2021-2022</t>
  </si>
  <si>
    <t>Проектно-изыскательские работы по капитальному ремонту автомобильной дороги к ОАО "Жито" от ул. Коммунистической</t>
  </si>
  <si>
    <t>Ремонт проезда Тупиковый, 2, строение, 3 до ул. Новозаводская</t>
  </si>
  <si>
    <t>Проектно-изыскательские работы по строительству улично-дорожной сети в мкр. "Тимофеевка-2" (1 этап)</t>
  </si>
  <si>
    <t>б-р Буденного;</t>
  </si>
  <si>
    <t>Хрящёвское шоссе на участке от Южного шоссе до Обводного шоссе;</t>
  </si>
  <si>
    <t>план на 2024:</t>
  </si>
  <si>
    <t>Проектирование устройства парковочных площадок (карманов и стоянок), в т.ч.:</t>
  </si>
  <si>
    <t>Количество разработанной проектно-сметной документации по капитальному ремонту путепроводов</t>
  </si>
  <si>
    <t>Количество разработанной проектно-сметной документации по капитальному ремонту подземных пешеходных переходов</t>
  </si>
  <si>
    <t>Тупиковый проезд от объекта, имеющего адрес: проезд Тупиковый, 2 строение 3, до улицы Новозаводской, юго-восточнее объекта, имеющего адрес: проезд Тупиковый, 2, строение 3</t>
  </si>
  <si>
    <t xml:space="preserve">Количество разработанной проектно-сметной документации по устройству линии наружного освещения </t>
  </si>
  <si>
    <t>Протяженность автомобильных дорог, на которых выполнена диагностика и оценка транспортно-эксплуатационного состояния дорог</t>
  </si>
  <si>
    <t>переход в районе ООТ «Парк Хаус»;</t>
  </si>
  <si>
    <t>ИТОГО ПО ПОДПРОГРАММЕ "МРАД"                                                   с учетом оплаты ранее принятых обязательств</t>
  </si>
  <si>
    <t>ИТОГО ПО ПОДПРОГРАММЕ "МРАД"                                                   без учета оплаты ранее принятых обязательств</t>
  </si>
  <si>
    <t>оплата ранее принятых обязательств</t>
  </si>
  <si>
    <t>ИТОГО ПО МУНИЦИПАЛЬНОЙ ПРОГРАММЕ                                                   без учета оплаты ранее принятых обязательств</t>
  </si>
  <si>
    <t>ИТОГО ПО МУНИЦИПАЛЬНОЙ ПРОГРАММЕ                                                   с учетом оплаты ранее принятых обязательств</t>
  </si>
  <si>
    <t>Оплата ранее принятых обязательств</t>
  </si>
  <si>
    <t>ул. Цеховая от ул.Вокзальной до ул.Северной</t>
  </si>
  <si>
    <t>ул.Цеховая от Южного шоссе до ул.Вокзальной</t>
  </si>
  <si>
    <t>Количество приобретенных передвижных специализированных дорожных лабораторий</t>
  </si>
  <si>
    <t>Количество устроенных островков безопасности, пандусов и замененных остановок общественного транспорта</t>
  </si>
  <si>
    <t>Количество перевезенных пассажиров льготной категории граждан за которых выплачена субсидия перевозчикам  в условиях угрозы распространения новой коронавирусной инфекции</t>
  </si>
  <si>
    <t>Количество разработанной проектной документации по устройству пункта автоматического весогабаритного контроля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</si>
  <si>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</si>
  <si>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</si>
  <si>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</si>
  <si>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</si>
  <si>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</t>
  </si>
  <si>
    <t>ул. Революционная от Ленинского пр-та до Приморского бульвара</t>
  </si>
  <si>
    <t xml:space="preserve">Техническое присоединение к централизованной системе водоотведения объекта: "Строительство магистральной улицы общегородского значения регулируемого движения ул. Офицерской" </t>
  </si>
  <si>
    <t xml:space="preserve">план на 2021-2022: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</si>
  <si>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</si>
  <si>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2021 - 2025 гг."
</t>
  </si>
  <si>
    <t>Выполнение работ по ремонту съездов с Поволжского шоссе на Обводное шоссе</t>
  </si>
  <si>
    <t>Проектно-изыскательские работы по устройству линий наружного электроосвещения, в т.ч:</t>
  </si>
  <si>
    <t xml:space="preserve">Проектирование устройства пешеходных дорожек, в т.ч. экспертиза проектов, в т.ч: </t>
  </si>
  <si>
    <t>Количество разработанной документации по строительному контролю при капитальном ремонте надземных и подземных пешеходных переходов</t>
  </si>
  <si>
    <t>Осуществление технологического присоединения к электрическим сетям на объекте: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</si>
  <si>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Выполнение работ по обеспечению безопасности участников дорожного движения</t>
  </si>
  <si>
    <t>Выполнение работ по обеспечению безопасности участников дорожного движения, в т.ч.:</t>
  </si>
  <si>
    <t>план на 2025:</t>
  </si>
  <si>
    <t>Количество объектов по обеспечению безопасности участников дорожного движения</t>
  </si>
  <si>
    <t>Выполнение работ по устройству технических средств организации дорожного движения</t>
  </si>
  <si>
    <t>Выполнение работ по устройству технических средств организации дорожного движения, в т.ч.:</t>
  </si>
  <si>
    <t>Количество отремонтированных путем капитального ремонта и ремонта путепроводов</t>
  </si>
  <si>
    <t>ул.Дзержинского от световой опоры №84(89) до пр-та Степана Разина</t>
  </si>
  <si>
    <t>ул.Ботаническая от Южного шоссе до ул.Дзержинского</t>
  </si>
  <si>
    <t>ул.Борковская от Южного шоссе до ул.Дзержинского</t>
  </si>
  <si>
    <t>Ремонт автодороги от ул. Спортивная до Набережной Автозаводского района</t>
  </si>
  <si>
    <t xml:space="preserve">Подпрограмма "Содержание улично-дорожной сети на 2021-2025 гг."                      </t>
  </si>
  <si>
    <t>Подпрограмма "Содержание улично-дорожной сети на 2021 - 2025 гг."</t>
  </si>
  <si>
    <t>Количество представленных актов об осуществлении технологического присоединения энергопринимающих устройств к электрическим сетям</t>
  </si>
  <si>
    <t>Количество представленных экспертных заключений на соответствие выполненных работ условиям муниципальных контрактов</t>
  </si>
  <si>
    <t>Количество разработанной проектно-сметной документации на устройство пешеходных дорожек</t>
  </si>
  <si>
    <t>Количество разработанной проектно-сметной документации на устройство и перенос остановок общественного транспорта</t>
  </si>
  <si>
    <t>Количество разработанной проектно-сметной документации на строительство и реконструкцию парковочных площадок (карманов и стоянок)</t>
  </si>
  <si>
    <t>Количество разработанной проектно-сметной документации на установку РМП</t>
  </si>
  <si>
    <t>Количество ликвидируемых мест разворота транспортных средств,  подходов к пешеходным переходам, разрывов в разделительной полосе, несанкционированных примыканий, заездных карманов, парковок, устроенных пешеходных дорожек, пешеходных переходов, островков безопасности, искусственных дорожных неровностей, шумовых полос , информационных щитов индивидуального проектирования, световозвращателей дорожных</t>
  </si>
  <si>
    <t>Количество разработанной проектно-сметной документации на устройство линий наружного электроосвещения, в том числе на осуществление технологического присоединения к электрическим сетям</t>
  </si>
  <si>
    <t>Количество установленных светофорных объектов</t>
  </si>
  <si>
    <t>Количество представленных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</si>
  <si>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</si>
  <si>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</si>
  <si>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Количество разработанной проектно-сметной документации по устройству линий наружного электроосвещения</t>
  </si>
  <si>
    <t>Устройство островков безопасности, пандусов, замена остановок общественного транспорта, в т.ч.:</t>
  </si>
  <si>
    <t>Устройство островков безопасности, пандусов, замена остановок общественного транспорта</t>
  </si>
  <si>
    <r>
      <t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</t>
    </r>
    <r>
      <rPr>
        <sz val="14"/>
        <rFont val="Arial"/>
        <family val="2"/>
        <charset val="204"/>
      </rPr>
      <t xml:space="preserve"> </t>
    </r>
  </si>
  <si>
    <t xml:space="preserve">Приложение № 3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</si>
  <si>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4
к муниципальной программе
"Развитие транспортной системы
и дорожного хозяйства
городского округа Тольятти
на 2021 - 2025 гг."
</t>
  </si>
  <si>
    <t>3.1.1.</t>
  </si>
  <si>
    <t>3.2.1.</t>
  </si>
  <si>
    <t>4.1.1.</t>
  </si>
  <si>
    <t>4.2.1.</t>
  </si>
  <si>
    <t>4.3.1.</t>
  </si>
  <si>
    <t>Задача 3 подпрограммы 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</si>
  <si>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1 подпрограммы: проведение организационных и инженерных мер, направленных на предупреждение причин возникновения дорожно-транспортных происшествий</t>
  </si>
  <si>
    <t>1.</t>
  </si>
  <si>
    <t>2.</t>
  </si>
  <si>
    <t>2.1.4.</t>
  </si>
  <si>
    <t>2.1.5.</t>
  </si>
  <si>
    <t>2.1.6.</t>
  </si>
  <si>
    <t>2.1.7.</t>
  </si>
  <si>
    <t>2.1.8.</t>
  </si>
  <si>
    <t>1.1.4.</t>
  </si>
  <si>
    <t>1.1.5.</t>
  </si>
  <si>
    <t>1.1.6.</t>
  </si>
  <si>
    <t>1.1.7.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</si>
  <si>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 и автоматизированных систем управления дорожным движением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</si>
  <si>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</si>
  <si>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</si>
  <si>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</si>
  <si>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</si>
  <si>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</si>
  <si>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</si>
  <si>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</si>
  <si>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</si>
  <si>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</si>
  <si>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3.</t>
  </si>
  <si>
    <t>Задача 1 подпрограммы: выполнение мероприятий по уходу за автомобильными дорогами общего пользования местного значения и объектами дорожного хозяйства городского округа Тольятти</t>
  </si>
  <si>
    <t>3.1.2.</t>
  </si>
  <si>
    <t>3.2.2.</t>
  </si>
  <si>
    <t>3.2.3.</t>
  </si>
  <si>
    <t>3.2.4.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</si>
  <si>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</si>
  <si>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</si>
  <si>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Задача 2 подпрограммы: обеспечение регулярных перевозок пассажиров по регулируемым тарифам</t>
  </si>
  <si>
    <t>4.2.2.</t>
  </si>
  <si>
    <t>4.2.3.</t>
  </si>
  <si>
    <t>4.2.4.</t>
  </si>
  <si>
    <t>Задача 3 подпрограммы: оптимизация структуры парков транспортных средств и ускорение обновления их состава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</si>
  <si>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и автоматизированных систем управления дорожным движением</t>
  </si>
  <si>
    <t>Задача 3 подпрограммы: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</si>
  <si>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2 подпрограммы: выполнение мероприятий по организации дорожного движения</t>
  </si>
  <si>
    <t>4.</t>
  </si>
  <si>
    <t xml:space="preserve">2.1.1. </t>
  </si>
  <si>
    <t>2.1.1.5.</t>
  </si>
  <si>
    <t>Итого по объектам строительства по разделу 2.1.1:</t>
  </si>
  <si>
    <t>2.1.2.1.</t>
  </si>
  <si>
    <t>2.1.2.2.</t>
  </si>
  <si>
    <t>2.1.2.3.</t>
  </si>
  <si>
    <t>2.1.2.4.</t>
  </si>
  <si>
    <t>2.1.2.4.1.</t>
  </si>
  <si>
    <t>2.1.2.4.2.</t>
  </si>
  <si>
    <t>2.1.2.5.</t>
  </si>
  <si>
    <t>Итого по объектам реконструкции по разделу 2.1.2: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</si>
  <si>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Тольятти:</t>
  </si>
  <si>
    <t>2.1.3.23.</t>
  </si>
  <si>
    <t>Итого по  объектам проектирования строительства, реконструкции, капитального ремонта и ремонта по разделу 2.1.3:</t>
  </si>
  <si>
    <t>Итого по объектам капитального ремонта по разделу 2.1.4:</t>
  </si>
  <si>
    <t>2.1.5.104</t>
  </si>
  <si>
    <t>Итого по объектам ремонта дорог по разделу 2.1.5:</t>
  </si>
  <si>
    <t>Итого по объектам ремонта дворовых территорий по разделу 2.1.6:</t>
  </si>
  <si>
    <t>Итого по объектам отсыпки автомобильных дорог асфальтогранулятом по разделу 2.1.7:</t>
  </si>
  <si>
    <t>2.1.8.1.</t>
  </si>
  <si>
    <t>на 2021 г.</t>
  </si>
  <si>
    <t>на 2022 г.</t>
  </si>
  <si>
    <t>на 2023 г.</t>
  </si>
  <si>
    <t>на 2024 г.</t>
  </si>
  <si>
    <t>на 2025 г.</t>
  </si>
  <si>
    <t>4.3.2.</t>
  </si>
  <si>
    <t>Приобретение автобусов путем заключения муниципального контракта на оказание услуг финансовой аренды (лизинга)</t>
  </si>
  <si>
    <t>46,48 / -</t>
  </si>
  <si>
    <t>2021-2023</t>
  </si>
  <si>
    <t>2022-2024</t>
  </si>
  <si>
    <t>2023</t>
  </si>
  <si>
    <t xml:space="preserve">Капитальный ремонт путепровода через автодорогу Восточная завода - часть улицы Борковской </t>
  </si>
  <si>
    <t>Площадь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</si>
  <si>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км.</t>
  </si>
  <si>
    <t>Пробег специализированных автомобилей, осуществляющих перевозку маломобильных граждан</t>
  </si>
  <si>
    <t>Количество разработанной проектно-сметной документации по ремонту путепроводов</t>
  </si>
  <si>
    <t>Устройство бортового камня и устройство мест разворотов</t>
  </si>
  <si>
    <t>ул.Карбышева от ул.Комсомольская до ул.Баныкина</t>
  </si>
  <si>
    <t>ул.Комсомольская от ул.Родины до д.№94 по ул.Ленина</t>
  </si>
  <si>
    <t>ул.Ворошилова от ул.Дзержинского до ул.Офицерская</t>
  </si>
  <si>
    <t>Пр-т Степана Разина от ул.Дзержинского до Ленинского пр-та</t>
  </si>
  <si>
    <t>Поволжское шоссе от ул.Громовой до Обводного шоссе</t>
  </si>
  <si>
    <t>площадки южнее дома №77 по ул. Юбилейная</t>
  </si>
  <si>
    <t>Проектно-изыскательские работы по капитальному ремонту и ремонту путепроводов, подземных пешеходных переходов и мостов</t>
  </si>
  <si>
    <t>Проектно-изыскательские работы по объекту: "Устройство дополнительной полосы движения на ул. Комсомольская на пересечении с ул. Карла Маркса"</t>
  </si>
  <si>
    <t>2018, 2020 (Оплата ранее принятых обязательств)</t>
  </si>
  <si>
    <t>пас.</t>
  </si>
  <si>
    <t>Количество перевезенных маломобильных граждан специализированными автомобилями</t>
  </si>
  <si>
    <t>ул. Маршала Жукова от ул. Спортивная до ул. Фрунзе</t>
  </si>
  <si>
    <t>ул. Новозаводская от ул. Шлютова до Обводного шоссе</t>
  </si>
  <si>
    <t>Большой проезд от д.15 по ул. Грачева до ул. Бузыцкова</t>
  </si>
  <si>
    <t>ул. Викторова</t>
  </si>
  <si>
    <t>проезд от Хрящевского шоссе до д.17 по ул. Грачева</t>
  </si>
  <si>
    <t>ул. Подгорная</t>
  </si>
  <si>
    <t>ул. Непорожнего</t>
  </si>
  <si>
    <t>ул. Автомобилистов</t>
  </si>
  <si>
    <t>Выполнение работ по ремонту автомобильных дорог общего пользования местного значения городского округа Тольятти</t>
  </si>
  <si>
    <t>Ремонт автомобильной дороги по Поволжскому шоссе от ул. Громовой до c/о 232 по Поволжскому шоссе</t>
  </si>
  <si>
    <t>Ремонт автомобильной дороги по ул.Вокзальная вдоль железнодорожного вокзала</t>
  </si>
  <si>
    <t xml:space="preserve">Ремонт Фабричного проезда от здания № 46 по ул. Коммунальной до ул. Вокзальная </t>
  </si>
  <si>
    <t>Выполнение работ по ремонту автомобильных дорог общего пользования местного значения городского округа Тольятти (ремонт «картами»)</t>
  </si>
  <si>
    <t>Корректировка проектно-сметной документации по объекту: "Капитальный ремонт автодороги по улице Базовая от ул. Комсомольская до улицы Ларина"</t>
  </si>
  <si>
    <t>1.1.8.</t>
  </si>
  <si>
    <t xml:space="preserve">Количество введенных в эксплуатацию камер видеонаблюдения </t>
  </si>
  <si>
    <t>Количество объектов, на которых установлено оборудование видеонаблюдения</t>
  </si>
  <si>
    <t>Количество отремонтированных надземных и подземных пешеходных переходов</t>
  </si>
  <si>
    <t>Количество отремонтированных путепроводов</t>
  </si>
  <si>
    <t>Монтаж и ввод в эксплуатацию оборудования видеонаблюдения</t>
  </si>
  <si>
    <t>Монтаж и ввод в эксплуатацию оборудования видеонаблюдения, в т.ч.:</t>
  </si>
  <si>
    <t>2023-2025</t>
  </si>
  <si>
    <t>4.4.</t>
  </si>
  <si>
    <t>4.4.1.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</si>
  <si>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 в городском округе Тольятти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</si>
  <si>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 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</si>
  <si>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</si>
  <si>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городского округа Тольятти</t>
  </si>
  <si>
    <t>Задача 4 подпрограммы: обеспечение социальных перевозок пассажиров в городском округе Тольятти</t>
  </si>
  <si>
    <t>3.2.5.</t>
  </si>
  <si>
    <t>2022-2023</t>
  </si>
  <si>
    <t>Оказание услуг по проведению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 городского округа Тольятти</t>
  </si>
  <si>
    <t>Количество диагностируемых подземных пешеходных переходов</t>
  </si>
  <si>
    <t>Строительство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</si>
  <si>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</t>
  </si>
  <si>
    <t>2024-2025</t>
  </si>
  <si>
    <t>устройство парковки по ул. Мира до ул. Голосова со стороны Прокуратуры</t>
  </si>
  <si>
    <t>Оплата ранее принятых обязательств (2020г.)</t>
  </si>
  <si>
    <t>4.3.3.</t>
  </si>
  <si>
    <t>2020 (Оплата ранее принятых обязательств)</t>
  </si>
  <si>
    <t>ИТОГО ПО ПОДПРОГРАММЕ "ПБДД"                                                                                                                         без учета оплаты ранее принятых обязательств</t>
  </si>
  <si>
    <t>ИТОГО ПО ПОДПРОГРАММЕ "ПБДД"                                                    с учетом оплаты ранее принятых обязательств</t>
  </si>
  <si>
    <t>ИТОГО ПО ПОДПРОГРАММЕ "ПБДД"  (без учета оплаты ранее принятых обязательств)</t>
  </si>
  <si>
    <t>ИТОГО ПО ПОДПРОГРАММЕ "ПБДД" (с учетом оплаты ранее принятых обязательств)</t>
  </si>
  <si>
    <t>Количество приобретенных автобусов</t>
  </si>
  <si>
    <t xml:space="preserve">Осуществление строительного контроля на объекте: Путепровод через автодорогу Восточная завода - часть улицы Борковской </t>
  </si>
  <si>
    <t>Количество объектов, оборудованных съездами для инвалидов и других маломобильных групп населения</t>
  </si>
  <si>
    <t>40,97 / -</t>
  </si>
  <si>
    <t>309,25/203,81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</si>
  <si>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</si>
  <si>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дорога вдоль Южного шоссе от ул.Тополиной до ул.Автостроителей</t>
  </si>
  <si>
    <t>1.1.9.</t>
  </si>
  <si>
    <t>Количество объектов, на которых установлены указатели</t>
  </si>
  <si>
    <t xml:space="preserve">план на 2022-2023: </t>
  </si>
  <si>
    <t xml:space="preserve">план на 2024: </t>
  </si>
  <si>
    <t xml:space="preserve">Проектно-изыскательские работы на устройство заезда на внутриквартальный проезд (дублер) по Московскому проспекту в районе жилых домов №57-49 </t>
  </si>
  <si>
    <t>ул. Новозаводская от ул. Шлютова до ул.Голосова</t>
  </si>
  <si>
    <t xml:space="preserve">ул. Революционная от ул. Дзержинского до Ленинского проспекта </t>
  </si>
  <si>
    <t>Лесопарковое шоссе, от пр-та Степана Разина до ул. Комзина</t>
  </si>
  <si>
    <t>ул.Комзина от Лесопаркового шоссе до ул.Родины</t>
  </si>
  <si>
    <t xml:space="preserve">ул. Мира от ул. Победы до ул. Комсомольская </t>
  </si>
  <si>
    <t>ул. 40 лет Победы от ул. Дзержинского до с/о №93-95 по ул. 40 лет Победы</t>
  </si>
  <si>
    <t>Проектно-изыскательские работы по строительству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</si>
  <si>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Проектно-изыскательские работы по проектированию и строительству дороги ул.Калмыцкая от железнодорожного переезда до ул.Васильевской</t>
  </si>
  <si>
    <t>Проектно-изыскательские работы по капитальному ремонту автодороги от ш. Хрящевское вдоль СИЗО-4</t>
  </si>
  <si>
    <t>план на 2025::</t>
  </si>
  <si>
    <t xml:space="preserve"> ООТ "ЦРБ" напротив здания по адресу: ш.Автозаводское, 5   </t>
  </si>
  <si>
    <t>2024 - 2025</t>
  </si>
  <si>
    <t>Приобретение подвижного состава пассажирского транспорта общего пользования для обеспечения организации регулярных перевозок по межмуниципальным маршрутам на садово-дачные массивы</t>
  </si>
  <si>
    <t>Количество объектов, подключенных к централизованной системе водоотведения</t>
  </si>
  <si>
    <t>не менее 90</t>
  </si>
  <si>
    <t>не менее 99,5</t>
  </si>
  <si>
    <t>Устройство тактильной плитки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</si>
  <si>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</si>
  <si>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</si>
  <si>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</t>
    </r>
    <r>
      <rPr>
        <i/>
        <sz val="10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</si>
  <si>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</si>
  <si>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</si>
  <si>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</si>
  <si>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</si>
  <si>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 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</si>
  <si>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</si>
  <si>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</si>
  <si>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</si>
  <si>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</t>
    </r>
    <r>
      <rPr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</si>
  <si>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 xml:space="preserve"> МКУ "ЦОДД ГОТ" (Департамент дорожного хозяйства и транспорта  администрации городского округа Тольятти)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</si>
  <si>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</si>
  <si>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</si>
  <si>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</si>
  <si>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</t>
    </r>
    <r>
      <rPr>
        <i/>
        <sz val="12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</si>
  <si>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t xml:space="preserve">Установка рамной П-образной опоры (РМП) </t>
  </si>
  <si>
    <t>Количество объектов на которых установлены РМП</t>
  </si>
  <si>
    <t>356,97/356,97</t>
  </si>
  <si>
    <t>270,51/247,61</t>
  </si>
  <si>
    <t>не менее 1 000</t>
  </si>
  <si>
    <t>Примечание:</t>
  </si>
  <si>
    <t>4.1.2.</t>
  </si>
  <si>
    <t>Замена опор освещения и контактной сети городского электротранспорта</t>
  </si>
  <si>
    <t>Количество разработанной проектно-сметной документации по замене опор</t>
  </si>
  <si>
    <t>Корректировка проектно-сметной документации по объекту «Капитальный ремонт автодороги по ул. Октябрьская от ул. Комсомольская до б-ра 50 лет Октября, г. Тольятти Самарской области»</t>
  </si>
  <si>
    <t>Устройство разделительной полосы в районе пересечения ул.Вокзальная – ул. Окраинная</t>
  </si>
  <si>
    <t>ул.Ларина;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</si>
  <si>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</si>
  <si>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</si>
  <si>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Департамент дорожного хозяйства и транспорта  администрации городского округа Тольятти,                                                             МКУ "ЦОДД ГОТ" (Департамент дорожного хозяйства и транспорта  администрации городского округа Тольятти)</t>
  </si>
  <si>
    <t>2021-2024</t>
  </si>
  <si>
    <t>2022, 2024</t>
  </si>
  <si>
    <t>2021- 2024</t>
  </si>
  <si>
    <t>№   п/п</t>
  </si>
  <si>
    <t xml:space="preserve">Реконструкция магистральной улицы общегородского значения регулируемого движения по ул.Спортивной на участке от пр-та Степана Разина до ул. Юбилейная (строительство бокового проезда) в 8 квартале Автозаводского района       </t>
  </si>
  <si>
    <t>Проектно-изыскательские работы по капитальному ремонту автодороги по ул. Тополиной с целью устройства дополнительной выделенной полосы на пересечении с Южным шоссе</t>
  </si>
  <si>
    <t>Осуществление строительного контроля на объекте: Капитальный ремонт  ул.Васильевская от ул.Калмыцкая до Обводного шоссе</t>
  </si>
  <si>
    <t>Капитальный ремонт ул.Васильевская от ул.Калмыцкая до Обводного шоссе</t>
  </si>
  <si>
    <t>Устройство шумовых полос и информационных щитов индивидуального проектирования на Автозаводском шоссе, в районе домов № 3, 5.</t>
  </si>
  <si>
    <t>Устройство  искусственных дорожных неровностей, установка дорожных знаков на б-ре Луначарского,2  (ул. Ворошилова, д.4)</t>
  </si>
  <si>
    <t>Устройство  искусственных дорожных неровностей, установка дорожных знаков на б-ре Кулибина, д.2</t>
  </si>
  <si>
    <t xml:space="preserve">Устройство светофорного объекта, установка дорожных знаков на ул. Громовой, д.1,  ООТ "ул. Механизаторов"                                                                                                               </t>
  </si>
  <si>
    <t>Устройство светофорного объекта, установка дорожных знаков на ул. Автостроителей, д.13 А, ООТ "Гостиница Лада"</t>
  </si>
  <si>
    <t>Устройство светофорного объекта, установка дорожных знаков на ул. Автостроителей, д. 11, ООТ "Солнечный б-р"</t>
  </si>
  <si>
    <t>Устройство светофорного объекта, установка дорожных знаков и устройство пешеходной дорожки на Южном шоссе в районе дома №36, ООТ "1-я вставка"</t>
  </si>
  <si>
    <t>Устройство светофорного объекта, установка дорожных знаков и устройство пешеходной дорожки на Южном шоссе в районе дома №36, ООТ "3-я вставка"</t>
  </si>
  <si>
    <t>Устройство светофорного объекта, установка дорожных знаков на Южном шоссе в районе дома №36, ООТ "Жигулевская долина"</t>
  </si>
  <si>
    <t>Выполнение проектно-изыскательских работ по устройству линий наружного электроосвещения, в т.ч. инженерные изыскания по Хрящевскому шоссе (на участке от Южного шоссе до Обводного шоссе)</t>
  </si>
  <si>
    <t>Проектирование устройства остановки общественного транспорта ООТ "Лыжная база" по ул.М. Жукова</t>
  </si>
  <si>
    <t>Проектирование переноса  ООТ "Лесопитомник" по ул. Дзержинского</t>
  </si>
  <si>
    <t>ул. Фрунзе между Московским проспектом  и ул. Юбилейной</t>
  </si>
  <si>
    <t>ул. Железнодорожная от ул. Никонова до М-5 "Урал"</t>
  </si>
  <si>
    <t xml:space="preserve">ПОКАЗАТЕЛИ (ИНДИКАТОРЫ)
МУНИЦИПАЛЬНОЙ ПРОГРАММЫ "РАЗВИТИЕ ТРАНСПОРТНОЙ СИСТЕМЫ И ДОРОЖНОГО ХОЗЯЙСТВА ГОРОДСКОГО ОКРУГА ТОЛЬЯТТИ НА 2021 - 2025 ГГ."
</t>
  </si>
  <si>
    <t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</si>
  <si>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ул. Ларина (на участке от ул. Васильевская до ул. Ломоносова);</t>
  </si>
  <si>
    <t>ул.Кудашева;</t>
  </si>
  <si>
    <t>ул.40 лет Победы 57-б (поликлиника на 500 посещений в смену);</t>
  </si>
  <si>
    <t>б-р Здоровья;</t>
  </si>
  <si>
    <t>Устройство искусственных дорожных неровностей на Яблоневом проезде (от ул. Кирова до ул. Добролюбова);</t>
  </si>
  <si>
    <t>Устройство искусственных дорожных неровностей в районе досугового центра "Русич" по ул. Никонова;</t>
  </si>
  <si>
    <t>Устройство искусственных дорожных неровностей на проезде вдоль территории СОШ №61 (ул.Свердлова,23), д/с №115 "Салют" (ул. Свердлова, 27);</t>
  </si>
  <si>
    <t>Устройство искусственных дорожных неровностей по б-ру Орджоникидзе до дома №20 по пр-ту Ст. Разина;</t>
  </si>
  <si>
    <t>Устройство искусственных дорожных неровностей по ул. Патрульная;</t>
  </si>
  <si>
    <t>Устройство искусственных дорожных неровностей на внутриквартальном проезде от ул. Баныкина до ул. Мира вдоль территории д/с №49 "Веселые нотки";</t>
  </si>
  <si>
    <t>Устройство искусственных дорожных неровностей по внутриквартальному проезду от пр. Ст. Разина до ул. Юбилейная в районе ОЦ "Школа", "Школа №73", "Школа №76";</t>
  </si>
  <si>
    <t>Устройство искусственных дорожных неровностей в районе дома №102 на ул. Ставропольская (д/с №100 "Островок");</t>
  </si>
  <si>
    <t>Устройство искусственных дорожных неровностей в районе МБУ "Школа № 89" (ул.Дзержинского д. №39);</t>
  </si>
  <si>
    <t>Устройство искусственных дорожных неровностей на ул. Советская, 53 д/с "Жар-Птица";</t>
  </si>
  <si>
    <t>Устройство искусственных дорожных неровностей по ул. Фрунзе в районе ООТ "Маршала Жукова";</t>
  </si>
  <si>
    <t>ул.Матросова в районе дома №26 (д/с №69 "Веточка");</t>
  </si>
  <si>
    <t>внутриквартальный проезд по ул.Комсомольская 165;</t>
  </si>
  <si>
    <t>ул.Голосова д.57, д.59, д.61;</t>
  </si>
  <si>
    <t>ул.Л.Чайкиной, д.69 и д.71;</t>
  </si>
  <si>
    <t>в районе дома №66 по ул.Ларина (Центр технического творчества);</t>
  </si>
  <si>
    <t>по проезду Почтовый, в районе дома №95 по ул.Ленина (Д/с №41 "Огонек");</t>
  </si>
  <si>
    <t>в районе дома №84 по ул.Мурысева (Педколледж);</t>
  </si>
  <si>
    <t>внутриквартальный проезд в районе дома №43 по ул.Фрунзе (Школа Королева).;</t>
  </si>
  <si>
    <t>в районе дома №6 по ул.Д.Ульянова (Д/с "Чайка");</t>
  </si>
  <si>
    <t>в районе дома №10 и №14 по бульвару Татищева;</t>
  </si>
  <si>
    <t>по ул.40 лет Победы №106, ул.Ворошилова №61;</t>
  </si>
  <si>
    <t>по бульвару Космонавтов, в районе дома №15 (2 шт.);</t>
  </si>
  <si>
    <t>ул.Железнодорожная (1 шт.);</t>
  </si>
  <si>
    <t>внутриквартальный проезд в районе дома №64 по ул.Баныкина (2 шт.);</t>
  </si>
  <si>
    <t>внутриквартальный проезд в районе дома №14 по ул.Баныкина перед пересечением с бульваром Ленина (четная сторона) (1 шт.);</t>
  </si>
  <si>
    <t>в районе пешеходного перехода у дома №16"А" по бульвару Ленина (2 шт.);</t>
  </si>
  <si>
    <t>внутриквартальный проезд от ул.Фрунзе (д.№16) до пр-та Ленинский (д.№27) (3 квартал, напротив "Фанни-парк") (3 шт.);</t>
  </si>
  <si>
    <t>в районе домов №65, 67, 69 по ул.Краснодонцев, Космодемьянской (5 шт.);</t>
  </si>
  <si>
    <t>внутриквартальный проезд ул. Победы в районе домов №№66,68,70 по ул.Мира (4 шт.);</t>
  </si>
  <si>
    <t>в районе дома №77 по ул. Мира (проезд гостиницы "Звезда Жигулей" и ДК "Тольятти") (1 шт.);</t>
  </si>
  <si>
    <t>внутриквартальный проезд вдоль домов №10, 14 по б-ру Татищева (19 квартал) (2 шт.);</t>
  </si>
  <si>
    <t>внутриквартальный проезд вдоль домов №69, 71 по ул. Лизы Чайкиной (2 шт.);</t>
  </si>
  <si>
    <t>Почтовый проезд вдоль д/с №41 "Огонек" (ул. Ленина, д. 95) (1 шт.);</t>
  </si>
  <si>
    <t>б-р Туполева (вдоль территории МДОУ "Школа №47" д. 12 (1 шт.);</t>
  </si>
  <si>
    <t>на проезде Федоровские луга (в районе пешеходного перехода и ООТ по требованию) (8 шт.);</t>
  </si>
  <si>
    <t>на внутриквартальном проезде в районе дома № 63 по ул. 70 лет Октября (2 шт.);</t>
  </si>
  <si>
    <t>по б-ру Гая в районе дома № 10 (2 шт.);</t>
  </si>
  <si>
    <t>на внутриквартальном проезде вдоль дома № 17,21 по ул. Дзержинского и дома № 2 по б-ру Гая (3 шт.);</t>
  </si>
  <si>
    <t>вдоль территории МБУ "Школа №88"(ул. Тополиная, 5) и д/с №210 "Ладушки" (Южное шоссе, 41) -20 квартал;</t>
  </si>
  <si>
    <t>вдоль домов №43 по ул. Фрунзе (школа Королева);</t>
  </si>
  <si>
    <t>вдоль территории д/с № 184 "Жигуленок" (ул.Ворошилова д.61) и МБУ "Школа № 81" (ул.40 лет Победы,106) - 13 квартал;</t>
  </si>
  <si>
    <t>вдоль территории МБУ "Лицей №51 (ул.Фрунзе,12) - 3А квартал;</t>
  </si>
  <si>
    <t>б-р Баумана в р-не домов №№ 1,2;</t>
  </si>
  <si>
    <t>в районе дома №9 по ул. Карбышева;</t>
  </si>
  <si>
    <t>в районе пересечения ул. Ленина - ул. Чапаева;</t>
  </si>
  <si>
    <t>в районе ООТ "17 квартал" по ул. Тополиная;</t>
  </si>
  <si>
    <t>в районе дома №5А по ул. Железнодорожная;</t>
  </si>
  <si>
    <t>по б-ру Орджоникидзе в районе дома №24 по Ленинскому проспекту;</t>
  </si>
  <si>
    <t>в районе дома №49 по ул. Радищева;</t>
  </si>
  <si>
    <t>в районе пересечения ул. Комсомольская-ул. Садовая;</t>
  </si>
  <si>
    <t>в районе дома №54 по ул. Мичурина;</t>
  </si>
  <si>
    <t>в районе дома №27А по ул. Мичурина;</t>
  </si>
  <si>
    <t>в районе пересечения ул. Шлютова-ул. Крупской;</t>
  </si>
  <si>
    <t>в районе дома №44 по ул. Лесная;</t>
  </si>
  <si>
    <t>в районе дома №77 по ул. Ленина;</t>
  </si>
  <si>
    <t>в районе дома №59 по ул. Октябрьская;</t>
  </si>
  <si>
    <t>в районе дома №93 по ул. Мурысева;</t>
  </si>
  <si>
    <t>в районе дома №91 по ул. Ленина;</t>
  </si>
  <si>
    <t>в районе дома №31 по Хрящевскому шоссе;</t>
  </si>
  <si>
    <t>в районе дома №12Б по ул. Офицерская;</t>
  </si>
  <si>
    <t>устройство тротуара к поликлинике на 500 посещений в смену;</t>
  </si>
  <si>
    <t>дорожка вдоль улицы Александра Кудашева на участке от ул. Льва Толстого до границы г.о.Тольятти;</t>
  </si>
  <si>
    <t>ул.Родины по лесной зоне до микрорайона Портовый;</t>
  </si>
  <si>
    <t>по Хрящевскому шоссе от Южного шоссе до Обводного шоссе;</t>
  </si>
  <si>
    <t>дорожка вдоль ул. Северная;</t>
  </si>
  <si>
    <t>ликвидация несанкционированного примыкания в районе ООТ "Автолюбитель" по б-ру 50 лет Октября;</t>
  </si>
  <si>
    <t>в районе ООТ "Аптека" по ул. Революционная;</t>
  </si>
  <si>
    <t>в районе ООТ "Универсам" по ул. Революционная;</t>
  </si>
  <si>
    <t>в районе ООТ "Гаражи" по ул.Ботаническая;</t>
  </si>
  <si>
    <t>по ул.Офицерской от ул.Полякова до ул.Ботанической;</t>
  </si>
  <si>
    <t>островок безопасности и пешеходная дорожка в районе пересечения ул.Мичурина и ул.Герцена;</t>
  </si>
  <si>
    <t>устройство пешеходной дорожки к пешеходному переходу на Приморском бульваре (на пересечении с ул. Революционной от сквера 50-летия АВТОВАЗа);</t>
  </si>
  <si>
    <t>устройство пешеходных дорожек на пересечении ул. Спортивная - пр- т Степана Разина;</t>
  </si>
  <si>
    <t>устройство пешеходной дорожки вдоль ул. Революционная в районе ул. Фрунзе;</t>
  </si>
  <si>
    <t>устройство тротуара на подходах к пешеходному переходу в районе дома №151 по ул. Комсомольской;</t>
  </si>
  <si>
    <t>устройство тротуаров на подходах к пешеходному переходу (перекресток ул. Победы – б-р 50 лет Октября);</t>
  </si>
  <si>
    <t>устройство тротуаров на подходах к пешеходному переходу – демонтаж существующего тротуара (перекресток ул. Ленина – ул. Кирова);</t>
  </si>
  <si>
    <t>устройство тротуара (на подходах к пешеходному переходу) на перекрестке ул. Коммунистическая и ул. Есенина;</t>
  </si>
  <si>
    <t>устройство тротуара по ул. Мира до ул. Голосова со стороны Прокуратуры;</t>
  </si>
  <si>
    <t>на подходах к пешеходному переходу в районе ООТ "ДС КВЦ ВАЗа";</t>
  </si>
  <si>
    <t>по ул.Борковской, до Фабричного проезда;</t>
  </si>
  <si>
    <t>на подходах к пешеходному переходу в районе ООТ "5 вставка ВАЗа";</t>
  </si>
  <si>
    <t>в районе дома №60 по Лесопарковому шоссе;</t>
  </si>
  <si>
    <t>на подходах к пешеходному переходу в районе ООТ "Магазин Восход" по ул. Свердлова;</t>
  </si>
  <si>
    <t xml:space="preserve">ул. Кудашева; </t>
  </si>
  <si>
    <t>ул. Фрунзе, в районе домов №№ 26,47 (перекресток улицы Фрунзе и Московского проспекта);</t>
  </si>
  <si>
    <t>ул. Ларина (на участке от Автозаводское шоссе до ул. Тимирязева);</t>
  </si>
  <si>
    <t xml:space="preserve">участок автодороги по ул. Кирова от Автозаводского шоссе до дома № 32 по ул. Кирова; </t>
  </si>
  <si>
    <t>участок переулка Островского от ул. Коммунистическая до ул. Мурысева;</t>
  </si>
  <si>
    <t>дорога вдоль ул. Спортивной (неч.сторона) от Физкультурного проезда до пр-та Степана Разина;</t>
  </si>
  <si>
    <t>дорога вдоль Московского проспекта от дома №57 до дома №45 (нечетная сторона);</t>
  </si>
  <si>
    <t>по Цветному бульвару от ул. Дзержинского до ул. 70 лет Октября 16 квартала Автозаводского района г.о. Тольятти;</t>
  </si>
  <si>
    <t xml:space="preserve">б-р Цветной в р-не дома № 20  (16 квартал);                </t>
  </si>
  <si>
    <t>в районе дома №33 по Московскому проспекту;</t>
  </si>
  <si>
    <t>в районе дома №35 по Московскому проспекту;</t>
  </si>
  <si>
    <t>ул. Ленинградская, 28;</t>
  </si>
  <si>
    <t>Рябиновый б-р, 1;</t>
  </si>
  <si>
    <t>Рябиновый б-р, 13;</t>
  </si>
  <si>
    <t>Московский пр-т - ул. Фрунзе;</t>
  </si>
  <si>
    <t>ул. Олимпийская в районе д. 20 по ул. Полевая;</t>
  </si>
  <si>
    <t>ул. Сиреневая, 24;</t>
  </si>
  <si>
    <t>внутриквартальный пр-д от пр-да Дорофеева до ул. Макарова;</t>
  </si>
  <si>
    <t>б-р Цветной, 24;</t>
  </si>
  <si>
    <t>б-р Цветной, 13;</t>
  </si>
  <si>
    <t>ул. Ленина, ООТ "Дворец молодежи";</t>
  </si>
  <si>
    <t>ул. Л. Яшина, ООТ "Северовосточная";</t>
  </si>
  <si>
    <t>Приморский б-р пересечение с б-ром Буденного;</t>
  </si>
  <si>
    <t>б-р Гая, 10;</t>
  </si>
  <si>
    <t>ул. Юбилейная, ООТ "Кафе Салют";</t>
  </si>
  <si>
    <t>ул. Юбилейная, ООТ "Парк Победы";</t>
  </si>
  <si>
    <t>Ленинский пр-т, ООТ "б-р Туполева";</t>
  </si>
  <si>
    <t>пр-т Ст. Разина, ООТ "Театральная";</t>
  </si>
  <si>
    <t>ул. Л. Толстого пересечение с ул. Ленина;</t>
  </si>
  <si>
    <t>ул. Победы пересечение с б-ром 50 лет Октября;</t>
  </si>
  <si>
    <t>ул. Борковская, 51 (ООТ "Спецавтоцентр);</t>
  </si>
  <si>
    <t xml:space="preserve">Московский пр-т, ООТ "ул. Дзержинского"; </t>
  </si>
  <si>
    <t>ул. Спортивная в районе д. 55 по Приморскому б-ру;</t>
  </si>
  <si>
    <t>Московский пр-т, ООТ "Дом связи";</t>
  </si>
  <si>
    <t>ул. Цеховая,  ООТ "GM-АвтоВАЗ";</t>
  </si>
  <si>
    <t>ул. Родина пересечение с ул. Мира;</t>
  </si>
  <si>
    <t>ул. Голосова пересечение с ул. Новозаводская;</t>
  </si>
  <si>
    <t>ул. Революционная, ООТ "Экзотика";</t>
  </si>
  <si>
    <t>Обводное шоссе пересечение с ул. Новозаводская;</t>
  </si>
  <si>
    <t>Физкультурный проезд;</t>
  </si>
  <si>
    <t>ул. Спортивная, ООТ "Вега";</t>
  </si>
  <si>
    <t>ул. Революционная, ООТ "1000 мелочей";</t>
  </si>
  <si>
    <t>ул. Свердлова, 8;</t>
  </si>
  <si>
    <t>ул. Автостроителей, ООТ "40 лет Победы";</t>
  </si>
  <si>
    <t>ул. Борковская, ООТ "Южная база";</t>
  </si>
  <si>
    <t>ул. Горького, 46"А";</t>
  </si>
  <si>
    <t>ул. Матросова, 26;</t>
  </si>
  <si>
    <t>ул. Революционная, 47;</t>
  </si>
  <si>
    <t>ул. Гидротехническая пересечение с ул. Дорофеева;</t>
  </si>
  <si>
    <t>ул. Ворошилова, ООТ "б-р Луначарского";</t>
  </si>
  <si>
    <t>ул. Л.Яшина, ООТ "Льва Яшина";</t>
  </si>
  <si>
    <t>Приморский б-р, ООТ "8 квартал";</t>
  </si>
  <si>
    <t>ул. Коммунистическая, ООТ "Тюленина";</t>
  </si>
  <si>
    <t>ул. Коммунистическая, ООТ "Космодемьянской";</t>
  </si>
  <si>
    <t>ул. Родина, ООТ"Автовокзал";</t>
  </si>
  <si>
    <t>ул. Юбилейная, 85 и ООТ "Вега";</t>
  </si>
  <si>
    <t>ул. Новозаводская, ООТ "Химико-технологический колледж";</t>
  </si>
  <si>
    <t>ул. Автостроителей, ООТ "Молодежная";</t>
  </si>
  <si>
    <t>ул. 70 лет Октября, 33Б, 38, ООТ "Магазин мир продуктов";</t>
  </si>
  <si>
    <t>ул. Вокзальная, 100а (ООТ "10 КПП");</t>
  </si>
  <si>
    <t>ул. Комсомольская пересечение с ул. Новопромышленной;</t>
  </si>
  <si>
    <t>ул. Гидротехническая пересечение с ул. Шлюзовая;</t>
  </si>
  <si>
    <t>ул. Автостроителей, ООТ "Гостиница Лада";</t>
  </si>
  <si>
    <t>ул. 40 лет Победы, ООТ "Школа №70";</t>
  </si>
  <si>
    <t>ул. Громовой, ООТ "УТЭП";</t>
  </si>
  <si>
    <t>ул. Фрунзе, ООТ "11 квартал";</t>
  </si>
  <si>
    <t>ул. Железнодорожная, ООТ "Поликлиника";</t>
  </si>
  <si>
    <t>г.о. Тольятти, ул. Революционная от Ленинского проспекта до ул. Дзержинского;</t>
  </si>
  <si>
    <t>г.о.Тольятти, ул. Революционная пересечение с Ленинским проспектом;</t>
  </si>
  <si>
    <t xml:space="preserve">г.о. Тольятти, Ленинский проспект, д. №54Б/3 по ул.Революционная; </t>
  </si>
  <si>
    <t>г.о.Тольятти ул. Кудашева, начало населенного пункта;</t>
  </si>
  <si>
    <t>г.о.Тольятти, ул.Васильевская в районе перекрестка с Обводным шоссе, начало населенного пункта;</t>
  </si>
  <si>
    <t>г.о. Тольятти, ж/д переезд ул. Вокзальная, д.№101;</t>
  </si>
  <si>
    <t>г.о. Тольятти, ж/д переезд ул. Железнодорожная,д.№ 34 и д.34 ст.1 (два переезда);</t>
  </si>
  <si>
    <t>г.о. Тольятти, ж/д переезд, ул. Железнодорожная, д.№ 42;</t>
  </si>
  <si>
    <t>г.о. Тольятти, ж/д переезд ул. Индустриальная, пикет 0-500 (2,5 переезда);</t>
  </si>
  <si>
    <t>г.о. Тольятти, ж/д переезд ул. Индустриальная, пикет 500- 1000 (1,5 переезда);</t>
  </si>
  <si>
    <t>г.о. Тольятти, ж/д переезд ул. Индустриальная, пикет 1000-1500;</t>
  </si>
  <si>
    <t>г.о. Тольятти, ж/д переезд проезд перед ул. Калмыцкой (два переезда);</t>
  </si>
  <si>
    <t>г.о. Тольятти, ж/д переезд ул. Калмыцкая между ул. Новозаводской и ул. Васильевской;</t>
  </si>
  <si>
    <t>г.о. Тольятти, ж/д переезд ул. Коммунистическая, д. № 102 "а" (два переезда);</t>
  </si>
  <si>
    <t>г.о. Тольятти, ж/д переезд ул. Ларина, д.№ 148;</t>
  </si>
  <si>
    <t>г.о. Тольятти, ж/д переезд ул. Ларина, д.№ 151;</t>
  </si>
  <si>
    <t>г.о. Тольятти, ж/д переезд ул. Ларина, д.№ 169;</t>
  </si>
  <si>
    <t>г.о. Тольятти, ж/д переезд ул. Коммунистическая, д.№ 115;</t>
  </si>
  <si>
    <t>г.о. Тольятти, ж/д переезд ул. Никонова, д. № 43;</t>
  </si>
  <si>
    <t>г.о. Тольятти, ж/д переезд ул. Окраинная, д.№ 85 по ул. Северной;</t>
  </si>
  <si>
    <t>г.о. Тольятти, ж/д переезд ул. Окраинная, д. № 100 по ул. Вокзальной;</t>
  </si>
  <si>
    <t>г.о. Тольятти, ж/д переезд Поволжское шоссе, д.№ 34;</t>
  </si>
  <si>
    <t>г.о. Тольятти, ж/д переезд ул. Подгорная, д.№ 25 (перегон канал-Пискалы);</t>
  </si>
  <si>
    <t>г.о. Тольятти, ж/д переезд Хрящевское шоссе, д. № 13;</t>
  </si>
  <si>
    <t>Приморский б-р, ООТ "Театр Дилижанс";</t>
  </si>
  <si>
    <t>г.о. Тольятти, ул.40 лет Победы, ООТ "14 "а" квартал";</t>
  </si>
  <si>
    <t>г.о. Тольятти, ул.Гидротехническая - ул.Макарова перекресток;</t>
  </si>
  <si>
    <t>г.о. Тольятти, ул.Матросова,  д. №134 ООТ "МТЦ";</t>
  </si>
  <si>
    <t>г.о. Тольятти, Обводная дорога пос.Приморский;</t>
  </si>
  <si>
    <t>г.о. Тольятти, ул. Украинская от бульвара 50 лет Октября до ул. Шлютова;</t>
  </si>
  <si>
    <t>г.о. Тольятти, ул.Фрунзе, д. №22, д.№47 перекресток с Московским проспектом;</t>
  </si>
  <si>
    <t>г.о. Тольятти, ул. Революционная, ООТ "Ателье мод";</t>
  </si>
  <si>
    <t>ул. Вокзальная, ООТ "Кузнечно-прессовый цех";</t>
  </si>
  <si>
    <t>г.о.Тольятти, ул. Революционная, ООТ"Сатурн" и ООТ "1000 мелочей";</t>
  </si>
  <si>
    <t>г.о. Тольятти, ул. Революционная, ООТ "Универсам";</t>
  </si>
  <si>
    <t>г.о. Тольятти, Поволжское шоссе, ул.Раздольная ( подземный газопровод);</t>
  </si>
  <si>
    <t>г.о. Тольятти, ул. Комзина-Комсомольское шоссе перекресток;</t>
  </si>
  <si>
    <t>г.о. Тольятти, ул. Ингельберга,  д.№ 52, Школа №15;</t>
  </si>
  <si>
    <t>г.о. Тольятти, ул.Дзержинского, ООТ "Бульвар Кулибина";</t>
  </si>
  <si>
    <t>г.о. Тольятти, ул.40 лет Победы, ООТ "Школа №86";</t>
  </si>
  <si>
    <t>г.о. Тольятти, ул.40 лет Победы,  ООТ "Медучилище";</t>
  </si>
  <si>
    <t>г.о. Тольятти, ул.40 лет Победы,  д. №15 по Южному шоссе;</t>
  </si>
  <si>
    <t>г.о. Тольятти, ул.40 лет Победы, ООТ "ЖК "Лесной";</t>
  </si>
  <si>
    <t>г.о. Тольятти, ул. Победы-ул. Шлютова перекресток;</t>
  </si>
  <si>
    <t>г.о.Тольятти ул. Кудашева;</t>
  </si>
  <si>
    <t>г.о. Тольятти, ул.40 лет Победы, д. № 26;</t>
  </si>
  <si>
    <t>г.о. Тольятти, ул.Автостроителей, д.№ 9;</t>
  </si>
  <si>
    <t>г.о. Тольятти, ул.Баныкина, ООТ "72-й квартал";</t>
  </si>
  <si>
    <t>г.о. Тольятти, ул.Баныкина, ООТ "Магазин "Юность";</t>
  </si>
  <si>
    <t>г.о. Тольятти, ул.Баныкина, ООТ  "Спецавтохозяйство";</t>
  </si>
  <si>
    <t>г.о. Тольятти, ул.Баныкина, ООТ "Школа №1";</t>
  </si>
  <si>
    <t>г.о. Тольятти, ул.Голосова,д.№ 105 "а",  ООТ "АТС-26";</t>
  </si>
  <si>
    <t>г.о. Тольятти, ул.Коммунальная, д. №23, ООТ "Военный госпиталь";</t>
  </si>
  <si>
    <t>г.о. Тольятти, ул.Коммунальная, д. №33, ООТ "Пивзавод";</t>
  </si>
  <si>
    <t>г.о. Тольятти, ул.Комсомольская, ООТ "Информцентр";</t>
  </si>
  <si>
    <t>г.о. Тольятти, Ленинский проспект перед примыканием к Московскому  проспекту, д. 33 по Московскому проспекту;</t>
  </si>
  <si>
    <t>г.о. Тольятти, ул.Базовая, д. №7;</t>
  </si>
  <si>
    <t>г.о. Тольятти, Ленинский проспект, д. №40, д.№31;</t>
  </si>
  <si>
    <t>г.о. Тольятти, бульвар Луначарского, д. №1, №3;</t>
  </si>
  <si>
    <t>г.о. Тольятти, бульвар Луначарского,  д. №21;</t>
  </si>
  <si>
    <t>г.о. Тольятти, бульвар Луначарского,  д. №15, д.№17;</t>
  </si>
  <si>
    <t>г.о. Тольятти, ул. Маршала Жукова, д. № 56,  ООТ "Прилесье";</t>
  </si>
  <si>
    <t>г.о. Тольятти, Приморский бульвар, д.5;</t>
  </si>
  <si>
    <t>г.о. Тольятти, проспект Ст. Разина, д.№ 80;</t>
  </si>
  <si>
    <t>г.о. Тольятти, ул. Транспортная - Аптечный проезд (перекресток);</t>
  </si>
  <si>
    <t>г.о. Тольятти, ул.Шлюзовая, д. №14, д.№35;</t>
  </si>
  <si>
    <t xml:space="preserve">г.о. Тольятти, Южное шоссе, ООТ "АвтоВАЗ-ТО"; </t>
  </si>
  <si>
    <t>г.о. Тольятти,  ул. Автостроителей, в районе  ООТ "Ул. 40 лет Победы";</t>
  </si>
  <si>
    <t>г.о. Тольятти,  на перекрестке ул. Дзержинского - ул. Революционной - ул. Воскресенской;</t>
  </si>
  <si>
    <t>г.о. Тольятти, на  перекрестке ул. Карбышева - ул. Комсомольской;</t>
  </si>
  <si>
    <t>г.о. Тольятти, Обводное шоссе в районе пересечения с Хрящевским шоссе;</t>
  </si>
  <si>
    <t>г.о. Тольятти, пересечение ул. Ленинградская - ул. Гидростроевская ;</t>
  </si>
  <si>
    <t>г.о. Тольятти,   ул. Заставная и Московский проспект перед примыканием к ул. Дзержинского;</t>
  </si>
  <si>
    <t>г.о. Тольятти,  ул. Дзержинского в районе примыкания бульвара Курчатова;</t>
  </si>
  <si>
    <t>г.о. Тольятти, перекресток ул.К.Маркса и М.Горького;</t>
  </si>
  <si>
    <t>г.о. Тольятти,  ул. Комсомольская в районе пересечения с ул. Новопромышленной;</t>
  </si>
  <si>
    <t>г.о. Тольятти,  перекресток  ул.Мира - ул. Жилина;</t>
  </si>
  <si>
    <t>г.о. Тольятти, перекресток  ул. Гидротехническая - ул. В.Поплавского и перекресток  ул.Транспортная - 4-й проезд;</t>
  </si>
  <si>
    <t>г.о. Тольятти,  на перекрестке ул. Кирова - ул. Герцена;</t>
  </si>
  <si>
    <t>г.о. Тольятти,  перекресток ул. Юбилейной  - ул. Фрунзе;</t>
  </si>
  <si>
    <t>г.о. Тольятти,  ул. Маршала Жукова в районе ООТ "Лесной голосок";</t>
  </si>
  <si>
    <t>г.о. Тольятти,   ул. Маршала Жукова в районе ООТ "Весёлая семейка";</t>
  </si>
  <si>
    <t>г.о. Тольятти,   ул. Полякова, в районе  д.№24;</t>
  </si>
  <si>
    <t>г.о. Тольятти,  ул. Полякова в районе  ООТ "Ул.Полякова";</t>
  </si>
  <si>
    <t>г.о. Тольятти, ул. Ст. Разина в районе  ООТ "Театральная";</t>
  </si>
  <si>
    <t>г.о. Тольятти,  Южное шоссе в районе ООТ "Обводное шоссе";</t>
  </si>
  <si>
    <t>г.о. Тольяти, ул. 40 лет Победы, ООТ "Школа № 93";</t>
  </si>
  <si>
    <t>г.о. Тольятти, бульвар 50 лет Октября, ООТ "Ул. Октябрьская" в районе дома №38;</t>
  </si>
  <si>
    <t>г.о. Тольятти, ул. 70 лет Октября - ул.Тополиная в границах перекрестка;</t>
  </si>
  <si>
    <t>г.о. Тольятти, ул. Баныкина, ООТ "Белорусская";</t>
  </si>
  <si>
    <t>г.о. Тольятти, ул. Ворошилова, ООТ "Дом офицеров";</t>
  </si>
  <si>
    <t>г.о. Тольятти, ул. Коммунистическая  - ул. Механизаторов в границах перекрестка;</t>
  </si>
  <si>
    <t>г.о. Тольятти, ул. Комсомольская - ул .К.Маркса в границах перекрестка;</t>
  </si>
  <si>
    <t>г.о. Тольятти, ул. Ларина - ул. Герцена в границах перекрестка;</t>
  </si>
  <si>
    <t>г.о. Тольятти, ул. Маршала Жукова в районе дома №21, ООТ "Д/с "Елочка";</t>
  </si>
  <si>
    <t>г.о. Тольятти, ул. Мира - ул.К. Маркса в границах перекрестка;</t>
  </si>
  <si>
    <t>г.о. Тольятти, ул. Родины - ул.Республиканская в границах перекрестка;</t>
  </si>
  <si>
    <t>г.о. Тольятти, ул.Свердлова в районе дома №8;</t>
  </si>
  <si>
    <t>г.о. Тольятти, ул.Свердлова ООТ "бульвар Гая";</t>
  </si>
  <si>
    <t>г.о. Тольятти, ул.Свердлова ООТ "Магазин "Мебель" в районе дома №16;</t>
  </si>
  <si>
    <t>г.о. Тольятти, ул.Свердлова ООТ "Стоматологическая поликлиника" в районе дома №24 ;</t>
  </si>
  <si>
    <t>г.о. Тольятти, ул.Свердлова ООТ "Гостиница"в районе дома №32;</t>
  </si>
  <si>
    <t>г.о. Тольятти, ул.Свердлова в районе дома №38 перед пересечением с проспектом Ст.Разина;</t>
  </si>
  <si>
    <t>г.о. Тольятти, ул. Толстого в районе домов №28, 21;</t>
  </si>
  <si>
    <t>г.о. Тольятти, ул. Толстого ООТ "Толстого" в районе дома №22;</t>
  </si>
  <si>
    <t>г.о. Тольятти, ул. Юбилейная - ул. Свердлова в границах перекрестка;</t>
  </si>
  <si>
    <t>г.о. Тольятти, ул. Юбилейная - Ленинский проспект в границах перекрестка;</t>
  </si>
  <si>
    <t>г.о. Тольятти, ул. Юбилейная - ул.Дзержинского -ул.Борковская в границах перекрестка;</t>
  </si>
  <si>
    <t>г.о. Тольятти, ул. Громовой ООТ "Ул. У. Громовой" в районе дома №10 "А";</t>
  </si>
  <si>
    <t xml:space="preserve">г.о. Тольятти, ул. Толстого в районе дома №28; </t>
  </si>
  <si>
    <t>г.о. Тольятти, Южное шоссе, ООТ "19 квартал";</t>
  </si>
  <si>
    <t>г.о. Тольятти, Южное шоссе, ООТ "18 "А" квартал";</t>
  </si>
  <si>
    <t>г.о. Тольятти, Южное шоссе, ООТ "Автопарковая";</t>
  </si>
  <si>
    <t>г.о. Тольятти, ул. Ярославская, ООТ "Мясокомбинат" д. №49;</t>
  </si>
  <si>
    <t>г.о. Тольятти, ул. Чапаева, 124 напротив д/с "Соловушка";</t>
  </si>
  <si>
    <t>г.о. Тольятти, ул. Баумана в районе домов 1,2;</t>
  </si>
  <si>
    <t>г.о. Тольятти, ул. Кудашева, в районе ООТ "ул. Кудашева";</t>
  </si>
  <si>
    <t>г.о. Тольятти, перекресток ул. Ларина - ул. Ленина;</t>
  </si>
  <si>
    <t>г.о. Тольятти, на перекрестке проспекта Ст. Разина - ул. Дзержинского - ул. Ботанической;</t>
  </si>
  <si>
    <t>г.о. Тольятти, ул. Юбилейная перед пересечением с ул. Свердлова;</t>
  </si>
  <si>
    <t>г.о. Тольятти, на перекрестке ул. Новозаводской - ул. Комсомольской;</t>
  </si>
  <si>
    <t>г.о. Тольятти,   ул. 70 лет Октября, ООТ "19 квартал";</t>
  </si>
  <si>
    <t xml:space="preserve">г.о.Тольятти, ул.Революционная, ООТ "Приморский бульвар"; </t>
  </si>
  <si>
    <t>г.о.Тольятти, ул.Автостроителей, д.№ 41, д.№ 70, ООТ "12 квартал";</t>
  </si>
  <si>
    <t>г.о.Тольятти, перекресток ул. 70 лет Октября - ул. Тополиная;</t>
  </si>
  <si>
    <t>г.о.Тольятти, перекресток ул.Советская – ул.Комсомольская;</t>
  </si>
  <si>
    <t>г.о.Тольятти, перекресток ул.Революционная – ул.Фрунзе;</t>
  </si>
  <si>
    <t>г.о.Тольятти, ул.Коммунальная, д. №32 (ТЦ «Арбуз»), ООТ "Хладокомбинат";</t>
  </si>
  <si>
    <t>г.о.Тольятти, ул.М.Горького школа №5;</t>
  </si>
  <si>
    <t>г.о.Тольятти, ул.Спортивная, ООТ «Набережная";</t>
  </si>
  <si>
    <t>г.о. Тольятти, проезд от ул.Дорофеева до ул.Макарова;</t>
  </si>
  <si>
    <t>г.о. Тольятти, ул.Мурысева;</t>
  </si>
  <si>
    <t>г.о. Тольятти, проезд вдоль Школы №91, Льва Толстого,26А;</t>
  </si>
  <si>
    <t>г.о. Тольятти, ул.40 лет Победы ООТ "Лесная слобода";</t>
  </si>
  <si>
    <t>г.о. Тольятти, ул.40 лет Победы, ООТ "Школа № 86";</t>
  </si>
  <si>
    <t>г.о. Тольятти, ул.70 лет Октября, ООТ "Студенческая";</t>
  </si>
  <si>
    <t>г.о. Тольятти, ул. 70 лет Октября, ООТ "Рябиновый бульвар;</t>
  </si>
  <si>
    <t>г.о.Тольятти, ул. 70 лет Октября, ТЦ "Лада-Восход";</t>
  </si>
  <si>
    <t>г.о. Тольятти, ул. 70 лет Октября, ТЦ "Аврора";</t>
  </si>
  <si>
    <t>г.о. Тольятти, ул.Воскресенская,  ООТ "Проектное управление ВАЗа";</t>
  </si>
  <si>
    <t>г.о. Тольятти, перекресток ул.Гидротехническая - ул.Дорофеева;</t>
  </si>
  <si>
    <t>г.о. Тольятти, ул.Гидротехническая, д. №21  ООТ "Вокзальная";</t>
  </si>
  <si>
    <t>г.о. Тольятти, перекресток ул.Дзержинского - ул.Революционная - ул. Воскресенская;</t>
  </si>
  <si>
    <t>г.о. Тольятти, перекресток ул.Карла Маркса - ул.Чапаева;</t>
  </si>
  <si>
    <t>г.о. Тольятти, ул.Коммунистическая, д. № 96 "В", ООТ "Речной вокзал";</t>
  </si>
  <si>
    <t>г.о. Тольятти, ул.Коммунистическая, д.12, ДК "ТоАЗа";</t>
  </si>
  <si>
    <t>г.о. Тольятти,  ул. А. Кудашева, ООТ "Ул. А. Кудашева";</t>
  </si>
  <si>
    <t>г.о. Тольятти, Лесопарковое шоссе, д.60;</t>
  </si>
  <si>
    <t>г.о. Тольятти, ул. Никонова, д.18;</t>
  </si>
  <si>
    <t>г.о. Тольятти, перекресток ул. М. Горького - ул.Новопромышленная;</t>
  </si>
  <si>
    <t>г.о. Тольятти, Поволжское шоссе от с/о 210 до с/о 286;</t>
  </si>
  <si>
    <t>г.о. Тольятти, ул. Революционная ООТ "Кинотеатр "Сатурн";</t>
  </si>
  <si>
    <t>г.о. Тольятти, Поволжское шоссе с/о 252, ООТ "Кладбище";</t>
  </si>
  <si>
    <t>г.о. Тольятти, ул. Революционная, д. №25, МАУ "Автоград", д. №52 "А" ТЦ "Русь на Волге";</t>
  </si>
  <si>
    <t>г.о. Тольятти, ул. Спортивная, д.№ 16,  ООТ "Ул. Спортивная";</t>
  </si>
  <si>
    <t>г.о. Тольятти, ул. Спортивная, в районе д.№ 82  ул. Революционная;</t>
  </si>
  <si>
    <t>г.о. Тольятти, перекресток ул.Толстого - ул.Ленина;</t>
  </si>
  <si>
    <t>г.о. Тольятти, перекресток ул.Чайкиной - ул.Матросова;</t>
  </si>
  <si>
    <t>г.о. Тольятти, перекресток ул.Чайкиной - ул.Механизаторов;</t>
  </si>
  <si>
    <t>г.о.Тольятти, перекресток  ул. Дзержинского - ул. Ботаническая- проспект Ст.Разина;</t>
  </si>
  <si>
    <t>г.о.Тольятти, перекресток ул. 40 лет Победы и Южного шоссе;</t>
  </si>
  <si>
    <t>г.о. Тольятти, перекресток ул.Свердлова -  ул. Революционной;</t>
  </si>
  <si>
    <t>г.о. Тольятти, ул.Фрунзе, д. №23"Б",  ООТ "Административный центр";</t>
  </si>
  <si>
    <t>г.о. Тольятти,   Автозаводское шоосе, д.3, ООТ "Автозаводское шоссе" ;</t>
  </si>
  <si>
    <t>г.о.Тольятти, ул. Громовой д.54 "а", ООТ «Колхозный рынок";</t>
  </si>
  <si>
    <t>г.о. Тольятти, Южное ш.,  ООТ "7-я вставка";</t>
  </si>
  <si>
    <t>г.о. Тольятти, Южное ш., ООТ "Медсанчасть ВАЗа";</t>
  </si>
  <si>
    <t>г.о. Тольятти, Южное ш., ООТ "18-й А квартал";</t>
  </si>
  <si>
    <t>г.о. Тольятти, ул. Революционная, д. №52 "А", ТЦ "Русь на Волге";</t>
  </si>
  <si>
    <t>г.о. Тольятти, ул. Революционная, д. №47;</t>
  </si>
  <si>
    <t>г.о. Тольятти, ул. Революционная в районе перекрестка с Приморским бульваром;</t>
  </si>
  <si>
    <t>г.о. Тольятти, ул. Революционная, ООТ "Школа им. Академика Королева";</t>
  </si>
  <si>
    <t>г.о. Тольятти, ул. Революционная, ООТ "Приморский бульвар"</t>
  </si>
  <si>
    <t>г.о. Тольятти, перекресток  ул. Революционной и Ленинского проспекта;</t>
  </si>
  <si>
    <t>г.о. Тольятти, ул. Революционная, ООТ "Магазин "1000 мелочей"";</t>
  </si>
  <si>
    <t>г.о. Тольятти, ул. Революционная, ООТ "Аптека";</t>
  </si>
  <si>
    <t>г.о. Тольятти, Южное ш., ООТ "Жигулевская долина";</t>
  </si>
  <si>
    <t>г.о. Тольятти, Южное ш., ООТ "1 вставка ВАЗа";</t>
  </si>
  <si>
    <t>г.о. Тольятти, Южное ш., ООТ "3 вставка ВАЗа";</t>
  </si>
  <si>
    <t>г.о. Тольятти, Южное ш., ООТ "Машиностроительный колледж";</t>
  </si>
  <si>
    <t>г.о. Тольятти, Южное ш., ООТ "АвтоВАЗ ТО";</t>
  </si>
  <si>
    <t>г.о. Тольятти, Южное ш., ООТ "Восточное кольцо";</t>
  </si>
  <si>
    <t>г.о. Тольятти, Южное ш., ООТ "УВД";</t>
  </si>
  <si>
    <t>г.о. Тольятти, ул. 40 лет Победы в районе ООТ "Дендропарк";</t>
  </si>
  <si>
    <t>г.о. Тольятти,  ул. Механизаторов в районе примыкания к  ул. Мурысева;</t>
  </si>
  <si>
    <t xml:space="preserve">г.о. Тольятти,  Автозаводское шоссе, д.3;  </t>
  </si>
  <si>
    <t>г.о.Тольятти,  Автозаводское шоссе, д. 6;</t>
  </si>
  <si>
    <t>г.о.Тольятти, Автозаводское шоссе, д. 10Б;</t>
  </si>
  <si>
    <t>г.о. Тольятти,  Автозаводское шоссе, д.14;</t>
  </si>
  <si>
    <t xml:space="preserve">г.о. Тольятти,  Южное шоссе, д.19;  </t>
  </si>
  <si>
    <t>г.о. Тольятти,  Южное шоссе,  д.35;</t>
  </si>
  <si>
    <t>г.о. Тольятти,  ул. У.Громовой,  д.54А;</t>
  </si>
  <si>
    <t>г.о. Тольятти, дублер ул.Тополиная от Южного шоссе до ул.70 лет Октября, 19,20 квартал;</t>
  </si>
  <si>
    <t>г.о. Тольятти, дублер ул.Тополиная от ул.70 лет Октября до ул.Дзержинского, 16,17 квартал;</t>
  </si>
  <si>
    <t>г.о. Тольятти, ул.Дзержинского от ул.40 лет Победы до Московского пр-та;</t>
  </si>
  <si>
    <t>г.о. Тольятти, ул.Жилина от ул.Баныкина до площади Свободы;</t>
  </si>
  <si>
    <t>г.о. Тольятти, ул.Ушакова от ул.Баныкина до ул.Ленинградская;</t>
  </si>
  <si>
    <t xml:space="preserve">г.о. Тольятти, 12 квартал внутриквартальный проезд  от ул.Автостроителей до ул.Ворошилова; </t>
  </si>
  <si>
    <t>г.о. Тольятти, 12 квартал внутриквартальный проезд - дублер  ул.Свердлова;</t>
  </si>
  <si>
    <t>г.о. Тольятти, 13 квартал внутриквартальный проезд от ул.40 лет Победы до ул.Ворошилова;</t>
  </si>
  <si>
    <t>г.о. Тольятти, 13 квартал внутриквартальный проезд - дублер ул.40 лет Победы;</t>
  </si>
  <si>
    <t>г.о. Тольятти, 14 квартал внутриквартальный проезд от ул.Автостроителей до ул.40 лет Победы;</t>
  </si>
  <si>
    <t>г.о. Тольятти, 14 квартал внутриквартальный проезд - дублер ул.40 лет Победы;</t>
  </si>
  <si>
    <t>г.о. Тольятти, внутриквартальный проезд - дублер ул.Ярославская от ул.Громовой  до ул.Чайкиной;</t>
  </si>
  <si>
    <t>г.о. Тольятти, внутриквартальный проезд - дублер ул.Ярославская от ул.Чайкиной до ул.Мурысева;</t>
  </si>
  <si>
    <t>г.о. Тольятти, дублер ул.Мира от ул.Карбышева до ул.Комсомольской 73 квартал;</t>
  </si>
  <si>
    <t>г.о. Тольятти, дублер ул.Мира от ул.Голосова до ул.Карбышева, 72 квартал;</t>
  </si>
  <si>
    <t>г.о. Тольятти, дублер ул.Громовой от ул.Матросова до ул.Ярославская;</t>
  </si>
  <si>
    <t>ООТ "Театр Дилижанс" напротив здания по адресу: Приморский бульвар, 8;</t>
  </si>
  <si>
    <t>ООТ "База УМТС";</t>
  </si>
  <si>
    <t>ООТ "Детский городок";</t>
  </si>
  <si>
    <t>ООТ "Санаторий "Волжские зори"" на ул. Комзина;</t>
  </si>
  <si>
    <t>ООТ "АвтоВАЗагро" по ул.Ботаническая;</t>
  </si>
  <si>
    <t>ООТ "Лесопитомник" по ул.Дзержинского;</t>
  </si>
  <si>
    <t>ООТ "Лыжная база" по ул.М. Жукова;</t>
  </si>
  <si>
    <t>устройство парковочной площадки по пр-ту Степана Разина, в районе дома №93 ;</t>
  </si>
  <si>
    <t>Ликвидация въездов и парковочных карманов в районе домов 74,76 по ул. Дзержинского;</t>
  </si>
  <si>
    <t>Ликвидация выезда от ГСК на ул. Дзержинского;</t>
  </si>
  <si>
    <t>Устройство пандуса для съезда МНГ в районе дома, расположенного по адресу Мурысева,64;</t>
  </si>
  <si>
    <t>Устройство островка безопасности в районе ООТ "Школа исскуств" по ул. Дзержинского;</t>
  </si>
  <si>
    <t>Устройство островка безопасности в районе пересечения ул. Коммунальной и ул. Полякова;</t>
  </si>
  <si>
    <t>Ликвидация разрывов на 3-х разделительных полосах по Московскому проспекту, в районе дома №3;</t>
  </si>
  <si>
    <t>устройству бортового камня (ликвидации уширения проезжей части (на 1 полосу) на перекрестке ул. Коммунистическая и ул. Есенина;</t>
  </si>
  <si>
    <t>Устройство островка безопасности с установкой технических средств организации дорожного движения на Южном шоссе в районе ООТ «АвтоВАЗтранс»;</t>
  </si>
  <si>
    <t>Устройство островка безопасности с установкой технических средств организации дорожного движения на внутриквартальном проезде напротив ТРК "Капитал" ул. Дзержинского, д. № 21;</t>
  </si>
  <si>
    <t>Устройство бортового камня (сокращение длины заездного кармана) ООТ "ДС КВЦ ВАЗа";</t>
  </si>
  <si>
    <t>Устройство островка безопасности на КТР ул. 40 лет Победы - ул. 70 лет Октября - ул. Л. Яшина;</t>
  </si>
  <si>
    <t>Устройство островка безопасности в районе пересечения Южное шоссе-ул. Борковская;</t>
  </si>
  <si>
    <t>Устройство островка безопасности в районе ООТ "Лесная" по ул. Карла Маркса;</t>
  </si>
  <si>
    <t>Устройство островка безопасности в районе перекрестка с ул. Строителей (пос. Приморский);</t>
  </si>
  <si>
    <t>Устройство островка безопасности в районе КТР б-р 50 лет Октября-Автозаводское шоссе;</t>
  </si>
  <si>
    <t>Устройство островка безопасности по ул. Ворошилова в районе дома №5;</t>
  </si>
  <si>
    <t>Устройство бортового камня (сокращение длины заездного кармана) ООТ "5 вставка ВАЗа";</t>
  </si>
  <si>
    <t>Устройство бортового камня (сокращение длины заездного кармана) ООТ "Магазин Восход" по ул. Свердлова;</t>
  </si>
  <si>
    <t>Ликвидация места разворота по ул. Спортивная в районе пересечения с Приморским бульваром;</t>
  </si>
  <si>
    <t>Восстановление бортового камня в районе дома №53 по ул. Ленина</t>
  </si>
  <si>
    <t>на пересечении Московского пр-та и ул. Дзержинского;</t>
  </si>
  <si>
    <t xml:space="preserve"> на пересечении Московского пр-та и ул. Дзержинского (установка РМП);</t>
  </si>
  <si>
    <t>По устройству бортового камня для изменения геометрии выезда в районе дома № 12  по ул. Автостроителей;</t>
  </si>
  <si>
    <t>По устройству бортового камня для изменения геометрии выезда в районе дома № 58 по ул. Баныкина;</t>
  </si>
  <si>
    <t>По устройству бортового камня для изменения геометрии выезда в районе дома №7 по ул. Ботанической;</t>
  </si>
  <si>
    <t>По установке дорожных удерживающих боковых ограждении по внутреннему радиусу на Комсомольском шоссе в районе опор №145,146,149 и 150;</t>
  </si>
  <si>
    <t>По устройству тротуара перекресток ул. Ленина и ул. М. Горького;</t>
  </si>
  <si>
    <t>По устройству бортового камня для изменения геометрии разделительной полосы на пересечении ул. Победы и ул. Комсомольской;</t>
  </si>
  <si>
    <t>По устройству бортового камня для изменения геометрии разворота на ул. Фрунзе в районе дома №35;</t>
  </si>
  <si>
    <t>По устройству поперечных шумовых полос по ул. Шлютова  перекресток с улицей Украинской;</t>
  </si>
  <si>
    <t>По установке щитов "Аварийно-опасный участок" по адресу Южное шоссе пересечение с Хрящевским и Автозаводским шоссе;</t>
  </si>
  <si>
    <t>Устройство шумовых полос на автодороге по участку а/д от Московского пр- та до мкр Приморский в районе дома №12/7 по ул. Летней (пос. Приморский) и дома №25А по ул. Строителей (пос. Приморский);</t>
  </si>
  <si>
    <t>Устройство шумовых полос на автодороге по ул. Родины в районе световых опор №159,156,125,118</t>
  </si>
  <si>
    <t>По установке повторителей сигналов светофоров в районе дома № 12  по ул. Автостроителей;</t>
  </si>
  <si>
    <t>По установке повторителей сигналов, устройство технических средств организации дорожного движения в районе дома № 58 по ул. Баныкина;</t>
  </si>
  <si>
    <t>По устройству светофорного регулирования в районе дома №7 по ул. Ботанической;</t>
  </si>
  <si>
    <t>По устройству светофорного объекта на Московском проспекте на пересечении с ул. Дзержинского;</t>
  </si>
  <si>
    <t>По устройству светофорного объекта перекресток ул. Ленина и ул. М. Горького;</t>
  </si>
  <si>
    <t>По установке повторителей сигналов на консольные опоры перекресток улиц Мира и Голосова;</t>
  </si>
  <si>
    <t>По устройству светофорного объекта на пересечении ул. Победы и ул. Комсомольской;</t>
  </si>
  <si>
    <t>По установке повторителей сигнала светофора на пересечении ул. Фрунзе и ул. Революционной;</t>
  </si>
  <si>
    <t>По устройству светофорного объекта на перекрестке ул. Северной и ул. Борковской;</t>
  </si>
  <si>
    <t>По устройству светофорного объекта по адресу Южное шоссе пересечение с Хрящевским и Автозаводским шоссе;</t>
  </si>
  <si>
    <t>По устройству транспортного светофора на перекрестке Южное шоссе - ул. 40 лет Победы;</t>
  </si>
  <si>
    <t>Установка дорожного знака на ул.40 лет Победы 57-б (поликлиника на 500 посещений в смену);</t>
  </si>
  <si>
    <t xml:space="preserve">Устройство светофорного регулирования на перекресткес ул. Коммунистическая - ул. Есенина;                                                             </t>
  </si>
  <si>
    <t>Устройство светофорного объекта (перекресток ул. Ленина - ул. Кирова);</t>
  </si>
  <si>
    <t>Устройство ТСОДД (перекресток ул. Победы – б-р 50 лет Октября);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</si>
  <si>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</si>
  <si>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</si>
  <si>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</si>
  <si>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жилищного строительства в Самарской области",  ГП "Развитие транспортной системы Самарской области")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</si>
  <si>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</si>
  <si>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>Устройство искусственной дорожной неровности, установка дорожных знаков 
на проезде между ул. Баныкина и ул. Ленинградская, ООШ №26 и д/с "Тополек"</t>
  </si>
  <si>
    <r>
      <t xml:space="preserve">Содержание автомобильных дорог местного значения и внутриквартальных проездов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 </t>
    </r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</si>
  <si>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</si>
  <si>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Задача 1 муниципальной 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</si>
  <si>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</si>
  <si>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</si>
  <si>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Цель подпрограммы: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</si>
  <si>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</si>
  <si>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3 муниципальной 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</si>
  <si>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 xml:space="preserve"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                       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</si>
  <si>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 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</si>
  <si>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Площадь автомобильных дорог, на которых проведен ремонт “картами”</t>
  </si>
  <si>
    <t>2023-2024</t>
  </si>
  <si>
    <t>пешеходная и велосипедная дорожка вдоль ул. Родины по лесной зоне до микрорайона Портовый;</t>
  </si>
  <si>
    <t xml:space="preserve">ООТ «Телецентр» по пр-ту Степана Разина; </t>
  </si>
  <si>
    <t>2.1.5.1</t>
  </si>
  <si>
    <t>2.1.5.2</t>
  </si>
  <si>
    <t>2.1.5.3</t>
  </si>
  <si>
    <t>2.1.5.4</t>
  </si>
  <si>
    <t>2.1.5.5</t>
  </si>
  <si>
    <t>2.1.5.6</t>
  </si>
  <si>
    <t>2.1.5.7</t>
  </si>
  <si>
    <t>2.1.5.8</t>
  </si>
  <si>
    <t>2.1.5.9</t>
  </si>
  <si>
    <t>2.1.5.10</t>
  </si>
  <si>
    <t>2.1.5.11</t>
  </si>
  <si>
    <t>2.1.5.12</t>
  </si>
  <si>
    <t>2.1.5.13</t>
  </si>
  <si>
    <t>2.1.5.14</t>
  </si>
  <si>
    <t>2.1.5.15</t>
  </si>
  <si>
    <t>2.1.5.16</t>
  </si>
  <si>
    <t>2.1.5.17</t>
  </si>
  <si>
    <t>2.1.5.18</t>
  </si>
  <si>
    <t>2.1.5.19</t>
  </si>
  <si>
    <t>2.1.5.20</t>
  </si>
  <si>
    <t>2.1.5.21</t>
  </si>
  <si>
    <t>2.1.5.22</t>
  </si>
  <si>
    <t>2.1.5.23</t>
  </si>
  <si>
    <t>2.1.5.24</t>
  </si>
  <si>
    <t>2.1.5.25</t>
  </si>
  <si>
    <t>2.1.5.26</t>
  </si>
  <si>
    <t>2.1.5.27</t>
  </si>
  <si>
    <t>2.1.5.28</t>
  </si>
  <si>
    <t>2.1.5.29</t>
  </si>
  <si>
    <t>2.1.5.30</t>
  </si>
  <si>
    <t>2.1.5.31</t>
  </si>
  <si>
    <t>2.1.5.32</t>
  </si>
  <si>
    <t>2.1.5.33</t>
  </si>
  <si>
    <t>2.1.5.34</t>
  </si>
  <si>
    <t>2.1.5.35</t>
  </si>
  <si>
    <t>2.1.5.36</t>
  </si>
  <si>
    <t>2.1.5.37</t>
  </si>
  <si>
    <t>2.1.5.38</t>
  </si>
  <si>
    <t>2.1.5.39</t>
  </si>
  <si>
    <t>2.1.5.40</t>
  </si>
  <si>
    <t>2.1.5.41</t>
  </si>
  <si>
    <t>2.1.5.42</t>
  </si>
  <si>
    <t>2.1.5.43</t>
  </si>
  <si>
    <t>2.1.5.44</t>
  </si>
  <si>
    <t>2.1.5.45</t>
  </si>
  <si>
    <t>2.1.5.46</t>
  </si>
  <si>
    <t>2.1.5.47</t>
  </si>
  <si>
    <t>2.1.5.48</t>
  </si>
  <si>
    <t>2.1.5.49</t>
  </si>
  <si>
    <t>2.1.5.50</t>
  </si>
  <si>
    <t>2.1.5.51</t>
  </si>
  <si>
    <t>2.1.5.52</t>
  </si>
  <si>
    <t>2.1.5.53</t>
  </si>
  <si>
    <t>2.1.5.54</t>
  </si>
  <si>
    <t>2.1.5.55</t>
  </si>
  <si>
    <t>2.1.5.56</t>
  </si>
  <si>
    <t>2.1.5.57</t>
  </si>
  <si>
    <t>2.1.5.58</t>
  </si>
  <si>
    <t>2.1.5.59</t>
  </si>
  <si>
    <t>2.1.5.60</t>
  </si>
  <si>
    <t>2.1.5.61</t>
  </si>
  <si>
    <t>2.1.5.62</t>
  </si>
  <si>
    <t>2.1.5.63</t>
  </si>
  <si>
    <t>2.1.5.64</t>
  </si>
  <si>
    <t>2.1.5.65</t>
  </si>
  <si>
    <t>2.1.5.66</t>
  </si>
  <si>
    <t>2.1.5.67</t>
  </si>
  <si>
    <t>2.1.5.68</t>
  </si>
  <si>
    <t>2.1.5.69</t>
  </si>
  <si>
    <t>2.1.5.70</t>
  </si>
  <si>
    <t>2.1.5.71</t>
  </si>
  <si>
    <t>2.1.5.72</t>
  </si>
  <si>
    <t>2.1.5.73</t>
  </si>
  <si>
    <t>2.1.5.74</t>
  </si>
  <si>
    <t>2.1.5.75</t>
  </si>
  <si>
    <t>2.1.5.76</t>
  </si>
  <si>
    <t>2.1.5.77</t>
  </si>
  <si>
    <t>2.1.5.78</t>
  </si>
  <si>
    <t>2.1.5.79</t>
  </si>
  <si>
    <t>2.1.5.80</t>
  </si>
  <si>
    <t>2.1.5.81</t>
  </si>
  <si>
    <t>2.1.5.82</t>
  </si>
  <si>
    <t>2.1.5.83</t>
  </si>
  <si>
    <t>2.1.5.84</t>
  </si>
  <si>
    <t>2.1.5.85</t>
  </si>
  <si>
    <t>2.1.5.86</t>
  </si>
  <si>
    <t>2.1.5.87</t>
  </si>
  <si>
    <t>2.1.5.88</t>
  </si>
  <si>
    <t>2.1.5.89</t>
  </si>
  <si>
    <t>2.1.5.90</t>
  </si>
  <si>
    <t>2.1.5.91</t>
  </si>
  <si>
    <t>2.1.5.92</t>
  </si>
  <si>
    <t>2.1.5.93</t>
  </si>
  <si>
    <t>2.1.5.94</t>
  </si>
  <si>
    <t>2.1.5.95</t>
  </si>
  <si>
    <t>2.1.5.96</t>
  </si>
  <si>
    <t>2.1.5.97</t>
  </si>
  <si>
    <t>2.1.5.98</t>
  </si>
  <si>
    <t>2.1.5.99</t>
  </si>
  <si>
    <t>2.1.5.100</t>
  </si>
  <si>
    <t>2.1.5.101</t>
  </si>
  <si>
    <t>2.1.5.102</t>
  </si>
  <si>
    <t>2.1.5.103</t>
  </si>
  <si>
    <t>2.1.5.105</t>
  </si>
  <si>
    <t>2.1.5.106</t>
  </si>
  <si>
    <t>2.1.5.107</t>
  </si>
  <si>
    <t>2.1.5.108</t>
  </si>
  <si>
    <t>2.1.5.109</t>
  </si>
  <si>
    <t>2.1.5.110</t>
  </si>
  <si>
    <t>2.1.5.111</t>
  </si>
  <si>
    <t>2.1.5.112</t>
  </si>
  <si>
    <t>2.1.5.113</t>
  </si>
  <si>
    <t>2.1.5.114</t>
  </si>
  <si>
    <t>2.1.5.115</t>
  </si>
  <si>
    <t>2.1.5.116</t>
  </si>
  <si>
    <t>2.1.5.117</t>
  </si>
  <si>
    <t>2.1.5.118</t>
  </si>
  <si>
    <t>2.1.5.119</t>
  </si>
  <si>
    <t>2.1.5.120</t>
  </si>
  <si>
    <t>2.1.5.121</t>
  </si>
  <si>
    <t>2.1.5.122</t>
  </si>
  <si>
    <t>2.1.5.123</t>
  </si>
  <si>
    <t>2.1.5.124</t>
  </si>
  <si>
    <t>2.1.5.125</t>
  </si>
  <si>
    <t>2.1.5.126</t>
  </si>
  <si>
    <t>2.1.5.127</t>
  </si>
  <si>
    <t>2.1.5.128</t>
  </si>
  <si>
    <t>2.1.5.129</t>
  </si>
  <si>
    <t>2.1.5.130</t>
  </si>
  <si>
    <t>2.1.5.131</t>
  </si>
  <si>
    <t>2.1.5.132</t>
  </si>
  <si>
    <t>2.1.5.133</t>
  </si>
  <si>
    <t>2.1.1.1.1</t>
  </si>
  <si>
    <t>2.1.1.1.2</t>
  </si>
  <si>
    <t>2.1.1.1</t>
  </si>
  <si>
    <t>2.1.1.1.3</t>
  </si>
  <si>
    <t>2.1.1.2</t>
  </si>
  <si>
    <t>2.1.1.3</t>
  </si>
  <si>
    <t>2.1.1.4</t>
  </si>
  <si>
    <t>2.1.1.6</t>
  </si>
  <si>
    <t>2.1.1.7</t>
  </si>
  <si>
    <t>2.1.1.8</t>
  </si>
  <si>
    <t>2.1.1.8.1</t>
  </si>
  <si>
    <t>2.1.1.9</t>
  </si>
  <si>
    <t>2.1.1.9.1</t>
  </si>
  <si>
    <t>2.1.1.10</t>
  </si>
  <si>
    <t>2.1.1.11</t>
  </si>
  <si>
    <t>2.1.1.12</t>
  </si>
  <si>
    <t>2.1.1.13</t>
  </si>
  <si>
    <t>2.1.1.13.1</t>
  </si>
  <si>
    <t>2.1.1.13.2</t>
  </si>
  <si>
    <t>2.1.1.13.3</t>
  </si>
  <si>
    <t>2.1.1.14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</si>
  <si>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</si>
  <si>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</si>
  <si>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</si>
  <si>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</si>
  <si>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</si>
  <si>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</si>
  <si>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</si>
  <si>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</si>
  <si>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</si>
  <si>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</si>
  <si>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</si>
  <si>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2.1.3.12</t>
  </si>
  <si>
    <t>2.1.3.13</t>
  </si>
  <si>
    <t>2.1.3.14</t>
  </si>
  <si>
    <t>2.1.3.15</t>
  </si>
  <si>
    <t>2.1.3.16</t>
  </si>
  <si>
    <t>2.1.3.17</t>
  </si>
  <si>
    <t>2.1.3.18</t>
  </si>
  <si>
    <t>2.1.3.19</t>
  </si>
  <si>
    <t>2.1.3.20</t>
  </si>
  <si>
    <t>2.1.3.22</t>
  </si>
  <si>
    <t>2.1.3.21</t>
  </si>
  <si>
    <t>2.1.3.24</t>
  </si>
  <si>
    <t>2.1.3.25</t>
  </si>
  <si>
    <t>2.1.3.26</t>
  </si>
  <si>
    <t>2.1.3.27</t>
  </si>
  <si>
    <t>2.1.3.28</t>
  </si>
  <si>
    <t>2.1.4.1</t>
  </si>
  <si>
    <t>2.1.4.2</t>
  </si>
  <si>
    <t>2.1.4.3</t>
  </si>
  <si>
    <t>2.1.4.4</t>
  </si>
  <si>
    <t>2.1.4.5</t>
  </si>
  <si>
    <t>2.1.4.6</t>
  </si>
  <si>
    <t>2.1.4.7</t>
  </si>
  <si>
    <t>2.1.4.8</t>
  </si>
  <si>
    <t>2.1.4.9</t>
  </si>
  <si>
    <t>2.1.4.10</t>
  </si>
  <si>
    <t>2.1.4.11</t>
  </si>
  <si>
    <t>2.1.4.12</t>
  </si>
  <si>
    <t>2.1.4.13</t>
  </si>
  <si>
    <t>2.1.4.14</t>
  </si>
  <si>
    <t>2.1.4.15</t>
  </si>
  <si>
    <t>2.1.4.16</t>
  </si>
  <si>
    <t>2.1.4.17</t>
  </si>
  <si>
    <t>2.1.4.18</t>
  </si>
  <si>
    <t>2.1.6.1</t>
  </si>
  <si>
    <t>2.1.6.2</t>
  </si>
  <si>
    <t>2.1.7.1</t>
  </si>
  <si>
    <t>2.1.7.2</t>
  </si>
  <si>
    <t>2.1.7.3</t>
  </si>
  <si>
    <t>2.1.7.3.1</t>
  </si>
  <si>
    <t>2.1.7.3.2</t>
  </si>
  <si>
    <t>2.1.7.3.3</t>
  </si>
  <si>
    <t>2.1.7.3.4</t>
  </si>
  <si>
    <t>2.1.7.3.5</t>
  </si>
  <si>
    <t>2.1.7.3.6</t>
  </si>
  <si>
    <t>2.1.7.3.7</t>
  </si>
  <si>
    <t>2.1.7.4</t>
  </si>
  <si>
    <t>2.1.7.5</t>
  </si>
  <si>
    <t>2.1.7.5.1</t>
  </si>
  <si>
    <t>2.1.7.6</t>
  </si>
  <si>
    <t>2.1.7.6.1</t>
  </si>
  <si>
    <t>Ремонт ул.Воскресенская  между ул.Дзержинского и ул.Заставная</t>
  </si>
  <si>
    <t>Ремнот Комсомольского шоссе между ул.Комзина и ул.Есенина</t>
  </si>
  <si>
    <t>Ремонт Южного шоссе, от ул.Борковская до ул.Полякова</t>
  </si>
  <si>
    <t>Ремонт Южная завода - часть Южного шоссе, между ул.Борковская и ул.Воскресенская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</si>
  <si>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 и финансовые ресурсы</t>
  </si>
  <si>
    <t>Устройство  искусственных неровностей трапецеевидной формы по ул. Украинской перед пересечением с ул. Шлютова, устройство светофорного объекта,  установка дорожных знаков на ул. Шлютова - пересечение с ул. Украинская, ул.Шлютова д. № 108, д. № 110, д. 127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</si>
  <si>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2021-2025 гг." </t>
  </si>
  <si>
    <t>Количество диагностируемых надземных пешеходных переходов (мостов, путепроводов)</t>
  </si>
  <si>
    <t>2021, 2024</t>
  </si>
  <si>
    <t>1.1.10.</t>
  </si>
  <si>
    <t xml:space="preserve">2024 </t>
  </si>
  <si>
    <t>Осуществление технологического присоединения к электрическим сетям объекта "Пункт весового контроля", расположенного по адресу: Самарская область, г.Тольятти, ул. Коммунальная</t>
  </si>
  <si>
    <t xml:space="preserve">Проезд к войсковой части </t>
  </si>
  <si>
    <t xml:space="preserve">Количество откорректированной проектно-сметной документации </t>
  </si>
  <si>
    <t>вдоль проспекта Степана Разина от дома №35 до дома №25;</t>
  </si>
  <si>
    <t>Устройство светофорного объекта (Южное шоссе  ООТ "ДС КВЦ ВАЗа");</t>
  </si>
  <si>
    <t>Устройство светофорного объекта (Южное шоссе  ООТ "5 вставка ВАЗа");</t>
  </si>
  <si>
    <t>Устройство светофорного объекта (б-р Цветной в районе дома №20);</t>
  </si>
  <si>
    <t>Устройство светофорного объекта (б-р Баумана в районе домов №1 и №2)</t>
  </si>
  <si>
    <t xml:space="preserve">Диагностика подземных пешеходных переходов:     2023 год:                                       - автодороги Восточная завода-часть улицы Борковской между улицей Северной и шоссе Южным;  2024 год:                                                       - северо-восточнее жилого дома, имеющего адрес проспект Ленинский, 27;                                          - по ул. Свердлова в районе ТД «Восход», имеющего адрес ул. Революционная, 20;                                                                    - северо-восточнее здания, имеющего адрес: ул. Новозаводская, д.11;               - северо-восточнее здания, имеющего адрес: ул. Новозаводская, д.7
</t>
  </si>
  <si>
    <t>Диагностика надземных пешеходных переходов (мостов,путепроводов):                                                                                      2021 год:                                                                                                     -путепровод через а/д на пересечении ул. Громовой – Поволжское шоссе г.о. Тольятти;                                                                         - путепровод через а/д на пересечении ул. Революционная – Ленинский проспект г.о. Тольятти;                      2024 год:                                                                              -путепровод «Автозаводское шоссе ООО «Детская многопрофильная больница»</t>
  </si>
  <si>
    <t xml:space="preserve">Диагностика надземных пешеходных переходов (мостов,путепроводов):                                                                       2021 год:                                                              -путепровод через а/д на пересечении ул. Громовой – Поволжское шоссе г.о. Тольятти;                                                            -путепровод через а/д на пересечении ул. Революционная – Ленинский проспект г.о. Тольятти;                                                                       2024 год:                                                          -путепровод «Автозаводское шоссе ООО «Детская многопрофильная больница»
</t>
  </si>
  <si>
    <t xml:space="preserve">Диагностика подземных пешеходных переходов:                                                  2023 год:                                                                  -автодороги Восточная завода-часть улицы Борковской между улицей Северной и шоссе Южным;                                                              2024 год:                                                             -северо-восточнее жилого дома, имеющего адрес проспект Ленинский, 27;                                                                    -по ул. Свердлова в районе ТД «Восход», имеющего адрес ул. Революционная, 20;                                                                 -северо-восточнее здания, имеющего адрес: ул. Новозаводская, д.11;                                                        -северо-восточнее здания, имеющего адрес: ул. Новозаводская, д.7
</t>
  </si>
  <si>
    <t>2021 (Оплата ранее принятых обязательств)</t>
  </si>
  <si>
    <t>между домами №6 и 8 по б-ру Баумана;</t>
  </si>
  <si>
    <t>между домами №17 по ул. Офицерской и №3 по б-ру Солнечный;</t>
  </si>
  <si>
    <t>между зданиями №11 и №15Б по по ул. 70 лет Октября</t>
  </si>
  <si>
    <t>от ООТ "ТВВКИСУ" до перекрестка с ул. Ворошилова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</si>
  <si>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</si>
  <si>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</si>
  <si>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</si>
  <si>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</si>
  <si>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</si>
  <si>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</si>
  <si>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</si>
  <si>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</si>
  <si>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</si>
  <si>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Проведение квеста по безопасности дорожного движения  среди  творческих объединений школьников - юных инспекторов движения "Битва отрядов ЮИД"</t>
  </si>
  <si>
    <t>Количество предоставленных точек по технологическому присоединению к централизованной системе водоотведения</t>
  </si>
  <si>
    <t xml:space="preserve">Количество предоставленных точек по технологическому присоединению к электрическим сетям </t>
  </si>
  <si>
    <t>Количество разработанной проектно-сметной документации по устройству, строительству заездов, проездов, автомобильных дорог общего пользования местного значения городского округа Тольятти</t>
  </si>
  <si>
    <t>Организация и проведение тестирования учащихся 3. 7, 10 классов на знание правил дорожного движения</t>
  </si>
  <si>
    <t>Задача 4 подпрограммы: формирование законопослушного поведения участников дорожного движения</t>
  </si>
  <si>
    <t xml:space="preserve">Количество проведенных квестов
</t>
  </si>
  <si>
    <t>Количество проведенных акций</t>
  </si>
  <si>
    <t>Количество проведенных мероприятий</t>
  </si>
  <si>
    <t>Проведение акции " Безопасность на дорогах начинается с семьи"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</si>
  <si>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</si>
  <si>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</si>
  <si>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</si>
  <si>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</si>
  <si>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1.4.8.</t>
  </si>
  <si>
    <t>Департамент общественной безопасности  администрации городского округа Тольятти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</si>
  <si>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</si>
  <si>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</si>
  <si>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</si>
  <si>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</si>
  <si>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</si>
  <si>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</si>
  <si>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г.о. Тольятти,ул. Вокзальная ООТ "10 проходная";</t>
  </si>
  <si>
    <t>млн. пассажиро-километров</t>
  </si>
  <si>
    <t>Приобретение спецтехники и транспортных средств</t>
  </si>
  <si>
    <t>Количество приобретенных транспортных средств</t>
  </si>
  <si>
    <t xml:space="preserve">г.о. Тольятти, проезд вдоль домов №28,30а,32 по ул.Баныкина (71 квартал) </t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</si>
  <si>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</si>
  <si>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</si>
  <si>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>Ремонт пешеходных дорожек и площадок остановок общественного транспорта</t>
  </si>
  <si>
    <t>ООТ «Аптека № 245» на ул. Революционной;</t>
  </si>
  <si>
    <t>ООТ «Кинотеатр “Сатурн”» на ул. Революционной;</t>
  </si>
  <si>
    <t>ООТ «Ателье Мод» на ул. Революционной;</t>
  </si>
  <si>
    <t>Пешеходная дорожка по ул. 70 лет Октября на пешеходном переходе между домами 68 и 47 по ул. 70 лет Октября;</t>
  </si>
  <si>
    <t>Количество отремонтированных  площадок остановок общественного транспорта</t>
  </si>
  <si>
    <t xml:space="preserve">Количество отремонтированных пешеходных дорожек </t>
  </si>
  <si>
    <t>350,26/194,12</t>
  </si>
  <si>
    <t>Приложение № 1                                                                                             к  постановлению администрации городского округа Тольятти от______________№ __________</t>
  </si>
  <si>
    <t>Приложение № 2                                                                                              к  постановлению администрации городского округа Тольятти от_______________№ _________</t>
  </si>
  <si>
    <t>Приложение № 3                                                                                            к постановлению администрации городского округа Тольятти                           от______________ №_________</t>
  </si>
  <si>
    <t>Приложение № 4                                                                                                                                                                       к  постановлению администрации                                                                                                                                            городского  округа Тольятти                                                                    от______________ № __________</t>
  </si>
  <si>
    <t>2023 (Оплата ранее принятых обязательств)</t>
  </si>
  <si>
    <t>Проектно-изыскательские работы по объекту: "Устройство заездов (выездов) на внутриквартальные проезды (дублеры) по Ленинскому проспекту в квартале 3б и 9 Автозаводского района и места разворота транспортных средств"</t>
  </si>
  <si>
    <t>2.1.7.2.1</t>
  </si>
  <si>
    <t>ул.Рабочая</t>
  </si>
  <si>
    <t>2.1.9.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</si>
  <si>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</si>
  <si>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2.1.9.1.</t>
  </si>
  <si>
    <t>Выполнение научно-исследовательской работы "Концепция развития улично-дорожной сети с учетом развития пассажирского транспорта"</t>
  </si>
  <si>
    <t>Итого по содержанию автомобильных дорог местного значения и внутриквартальных проездов по разделу 2.1.8:</t>
  </si>
  <si>
    <t>Итого по выполнению научно-исследовательской работы "Концепция развития улично-дорожной сети с учетом развития пассажирского транспорта" по разделу 2.1.9: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</si>
  <si>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</t>
  </si>
  <si>
    <t xml:space="preserve">Количество разработанной документации </t>
  </si>
  <si>
    <t>2.1.5.134</t>
  </si>
  <si>
    <t>2.1.5.135</t>
  </si>
  <si>
    <t>2.1.5.136</t>
  </si>
  <si>
    <t>2.1.7.7</t>
  </si>
  <si>
    <t>Департамент дорожного хозяйства и транспорта  администрации городского округа Тольятти                                                                                                                                                                                                             МКУ "ЦОДД ГОТ" (Департамент дорожного хозяйства и транспорта  администрации городского округа Тольятти)</t>
  </si>
  <si>
    <t>Доля выполненных работ по обеспечению безопасности участников дорожного движения</t>
  </si>
  <si>
    <t>Замена ООТ «Мичурина», ул.  Мичурина четная сторона;</t>
  </si>
  <si>
    <t>Замена ООТ «Автовокзал», ул. Родины четная сторона;</t>
  </si>
  <si>
    <t>Замена ООТ «Автовокзал», ул. Родины нечетная сторона</t>
  </si>
  <si>
    <t xml:space="preserve">МП "ТТУ",                                                               МП "ТПАТП № 3" / АО ТПАТП №3       (с 19.11.2024)   (Департамент дорожного хозяйства и транспорта  администрации городского округа Тольятти)                                                    </t>
  </si>
  <si>
    <t>Обеспеченность парка транспортом с низким (пониженным) уровнем пола МП "ТПАТП № 3" / АО ТПАТП № 3 (с 19.11.2024)</t>
  </si>
  <si>
    <t>от дома 61Аа по ул. 40 лет Победы до детской поликлинники на территории горбольницы № 5 в 14Б квартале;</t>
  </si>
  <si>
    <t>вдоль ул.Украинской</t>
  </si>
  <si>
    <t>ул. Кирова (школа-интернат № 3)</t>
  </si>
  <si>
    <t>дорога вдоль улицы Свердлова (нечетная сторона) от дома №5 по ул.Свердлова до дома №94 по улице 40 лет Победы;</t>
  </si>
  <si>
    <t>на участке автодороги вдоль Центральной площади ДК "Тольятти" от ул.Ленинградской до ул.Мира;</t>
  </si>
  <si>
    <t>по дублеру автомобильной дороги ул. 40 лет Победы в 21 квартале Автозаводского района;</t>
  </si>
  <si>
    <t>пешеходного перехода через разделительную полосу автомобильной дороги по ул.Спортивная, в районе пересечения с ул.Степана Разина, со стороны 8 квартала Автозаводского р-на;</t>
  </si>
  <si>
    <t>ООТ "Автозаводстрой" в районе здания с адресом ул. Вокзальная, 1А;</t>
  </si>
  <si>
    <t xml:space="preserve">ООТ  «Легкоатлетический манеж» напротив здания по адресу ул. Спортивная, 40; </t>
  </si>
  <si>
    <t xml:space="preserve">ООТ "14 квартал"; </t>
  </si>
  <si>
    <t>ООТ "Административный центр" по ул.Фрунзе;</t>
  </si>
  <si>
    <t>ООТ "Азотреммаш";</t>
  </si>
  <si>
    <t>ООТ "Грузовое автохозяйство";</t>
  </si>
  <si>
    <t>ООТ "Ул.Железнодорожная" по проезду Дорофеева;</t>
  </si>
  <si>
    <t>ООТ "МТЦ";</t>
  </si>
  <si>
    <t>ООТ "ХимЭнергоСтрой" в районе дома №6 по ул.Новозаводская;</t>
  </si>
  <si>
    <t>ООТ "База УМТС"</t>
  </si>
  <si>
    <t>Пешеходная дорожка по ул. 40 лет Победы;</t>
  </si>
  <si>
    <t>Пешеходная дорожка по ул. Революционная</t>
  </si>
  <si>
    <t xml:space="preserve">Департамент дорожного хозяйства и транспорта  администрации городского округа Тольятти,                                                         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</si>
  <si>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"Повышение безопасности дорожного движения на период 2021 - 2025 гг." и финансовые ресурсы</t>
  </si>
  <si>
    <t>подземный переход, расположенный по адресу: г. Тольятти, ул. Свердлова, ост. "Океан"</t>
  </si>
  <si>
    <t xml:space="preserve">* Строка 2.1.4.16.:    </t>
  </si>
  <si>
    <t>Пешеходная дорожка в районе войсковой части 6622</t>
  </si>
  <si>
    <t xml:space="preserve">г.о. Тольятти ул.Коммунистическая от ул.Тюленина </t>
  </si>
  <si>
    <t>Размещение на официальном сайте органов местного самоуправления информации о безопасном поведении на дороге</t>
  </si>
  <si>
    <t>4.5.</t>
  </si>
  <si>
    <t>Задача 5 подпрограммы: Организация стабильной работы муниципального транспорта на маршрутах городского округа Тольятти</t>
  </si>
  <si>
    <t>4.5.1.</t>
  </si>
  <si>
    <t>Приобретение специализированной техники</t>
  </si>
  <si>
    <t>Количество приобретенных эвакуаторов</t>
  </si>
  <si>
    <t>ул. Кудашева;</t>
  </si>
  <si>
    <t>ул.Ларина</t>
  </si>
  <si>
    <t xml:space="preserve">в том числе в рамках реализации национального проекта: "Безопасные качественные дороги"  (2021 - 2024 годы) / "Инфраструктура для жизни" (2025 год) </t>
  </si>
  <si>
    <t>2.1.5.137</t>
  </si>
  <si>
    <t>2.1.5.138</t>
  </si>
  <si>
    <t>2.1.5.139</t>
  </si>
  <si>
    <t>2.1.5.140</t>
  </si>
  <si>
    <t>2.1.5.141</t>
  </si>
  <si>
    <t>2.1.5.142</t>
  </si>
  <si>
    <t>ул. Ларина от Автозаводского шоссе до ул. Новозаводская</t>
  </si>
  <si>
    <t>ул. Заставная от ул. Дзержинского до Южного шоссе, северо-западнее объекта, имеющего адрес: проспект Московский, 1</t>
  </si>
  <si>
    <t>ул. Ворошилова от ул. Офицерская до ул. Свердлова</t>
  </si>
  <si>
    <t>ул. Дзержинского от ул. Ворошилова до пр-та Степана Разина</t>
  </si>
  <si>
    <t>ул. 40 лет Победы от с/о 93-95(с/о 92-94) до КТР (ул.Ворошилова-Ленинский проспект-ул.Маршала Жукова)</t>
  </si>
  <si>
    <t>ул. Коммунистическая от ул.Есенина до ул. Ярославская</t>
  </si>
  <si>
    <t>ул. Кирова от ул.Тимирязева до ул. Ломоносова</t>
  </si>
  <si>
    <t>ул. Телеграфная</t>
  </si>
  <si>
    <t>ул. Менделеева</t>
  </si>
  <si>
    <t>бульвар Ленина от ул. Ленинградской до ул. Баныкина, западнее квартала 71</t>
  </si>
  <si>
    <t>ул.70 лет Октября от ул.Автостроителей до КТР (ул.40 лет Победы, ул.Льва Яшина)</t>
  </si>
  <si>
    <t>Приморский бульвар от Московского проспекта до ул.Юбилейной</t>
  </si>
  <si>
    <t xml:space="preserve">Ремонт путепровода (моста) по ул. Революционной через автодорогу на пересечении с автодорогой по Ленинскому проспекту </t>
  </si>
  <si>
    <t>Устройство пешеходной дорожки вдоль ул.Шлютова</t>
  </si>
  <si>
    <t>Устройство пешеходной дорожки по б-ру Здоровья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</si>
  <si>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«Детский городок»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</si>
  <si>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«Театр Дилижанс»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</si>
  <si>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Центральный район Автозаводское шоссе, ООТ «ЦРБ»</t>
  </si>
  <si>
    <t>ул.Высоковольтная от ул.Бориса Коваленко до здания имеющего адрес: Высоковольтная улица, 1/44</t>
  </si>
  <si>
    <t>ул.Энергетиков от ул.Куйбышева до здания имеющего адрес: Макарова, 23</t>
  </si>
  <si>
    <t>Приморский бульвар от пр-та Степана Разина до ул. Маршала Жукова</t>
  </si>
  <si>
    <t>ул.Громовой от Поволжского шоссе до поворота на Депо №3 (дублер)</t>
  </si>
  <si>
    <t>Ремонт тротуара по ул. Кирова</t>
  </si>
  <si>
    <t>2.1.5.143</t>
  </si>
  <si>
    <t>2.1.5.144</t>
  </si>
  <si>
    <t>2.1.5.145</t>
  </si>
  <si>
    <t>2.1.5.146</t>
  </si>
  <si>
    <t>2.1.5.147</t>
  </si>
  <si>
    <t>2.1.5.148</t>
  </si>
  <si>
    <t>2.1.5.149</t>
  </si>
  <si>
    <t>2.1.5.150</t>
  </si>
  <si>
    <t>2.1.5.151</t>
  </si>
  <si>
    <t>2.1.5.152</t>
  </si>
  <si>
    <t>2.1.5.153</t>
  </si>
  <si>
    <t>2.1.5.154</t>
  </si>
  <si>
    <t>2.1.5.155</t>
  </si>
  <si>
    <t>2.1.5.156</t>
  </si>
  <si>
    <t>2.1.5.157</t>
  </si>
  <si>
    <t>2.1.5.158</t>
  </si>
  <si>
    <t>2.1.5.159</t>
  </si>
  <si>
    <t xml:space="preserve">В связи с невыполнением подрядной организацией капитального ремонта автодороги по ул.Никонова от улицы Железнодорожная до улицы Ингельберга  в 2022, 2023, 2024 году, площадь на которой необходимо произвести капитальный ремонт переносится на 2025 год. </t>
  </si>
  <si>
    <t>Количество отремонтированных тротуаров</t>
  </si>
  <si>
    <t>Количество устроенных и перенесенных остановок общественного транспорта</t>
  </si>
  <si>
    <t xml:space="preserve">179,90 /129,02 </t>
  </si>
  <si>
    <t xml:space="preserve">Площадь отремонтированных путем капитального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</si>
  <si>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 xml:space="preserve">Площадь отремонтированных путем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</si>
  <si>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>Проектно-изыскательские работы по объекту: Капитальный ремонт автомобильной дороги ул. Коммунальная на участке от Обводного шоссе до ул. Полякова в г. Тольятти с устройством пункта автоматического весогабаритного контроля</t>
  </si>
  <si>
    <t>Корректировка проектно-сметной документации по объекту: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</si>
  <si>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>Проектно-изыскательские работы по капитальному ремонту автомобильной дороги по  Тупиковому проезду</t>
  </si>
  <si>
    <t>Осуществление строительного контроля на объекте: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</si>
  <si>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>Капитальный ремонт автодороги по улице Никонова (от  улицы Железнодорожная  до улицы Ингельберга) городского округа Тольятти Самарской области *</t>
  </si>
  <si>
    <t xml:space="preserve">Строительный контроль на ремонт путепровода (моста) по ул. Революционной через автодорогу на пересечении с автодорогой по Ленинскому проспекту </t>
  </si>
  <si>
    <t>2.1.5.160</t>
  </si>
  <si>
    <t>Количество разработанной документации по строительному контролю при ремонте и капитальном ремонте надземных и подземных пешеходных переходов</t>
  </si>
  <si>
    <t>ул. Островского</t>
  </si>
  <si>
    <t>ул. Калмыцкая;</t>
  </si>
  <si>
    <t>ул. Кирова;</t>
  </si>
  <si>
    <t xml:space="preserve"> с четной и нечетной стороны по ул.Ботаническая;</t>
  </si>
  <si>
    <t xml:space="preserve"> ул. Александра Кудашева </t>
  </si>
  <si>
    <t>Молодежный бульвар в районе домов 25,31,35; (3 шт.)</t>
  </si>
  <si>
    <t>внутриквартальный проезд дублера ул. 40лет Победы (14 квартал); (3 шт.)</t>
  </si>
  <si>
    <t>внутриквартальный проезд по ул.Ворошилова в районе дома 5; (1 шт.)</t>
  </si>
  <si>
    <t>внутриквартальный проезд в районе дома 7А по ул. Л.Яшина (школа № 93); (1 шт.)</t>
  </si>
  <si>
    <t>ул. Матросова д.37, д.60; (4 шт.)</t>
  </si>
  <si>
    <t>ул. Мурысева д.89А, школа № 18; (1 шт.)</t>
  </si>
  <si>
    <t>ул. Ленина, д. 108, МБУ №13, ООТ "Гагарина"; (1 шт.)</t>
  </si>
  <si>
    <t xml:space="preserve"> б-р Космонавтов, д.17, школа № 79; (2 шт.)</t>
  </si>
  <si>
    <t>ул. Максима Грького-ул. Октябрьская, школа № 4; (1 шт.)</t>
  </si>
  <si>
    <t>ул. Шлютова, д.130,  д/с "Соловушка"; (2 шт.)</t>
  </si>
  <si>
    <t>б-р Кулибина, д.2; (2 шт.)</t>
  </si>
  <si>
    <t>б-р Луначарского, (ул. Ворошилова, д.4); (1 шт.)</t>
  </si>
  <si>
    <t>б-р Здоровья от ул. Свердлова до Ленинского проспекта; (9 шт.)</t>
  </si>
  <si>
    <t>внутриквартальный проезд вдоль ул. Железнодорожная от пр. Дорофеева до ул. Шлюзовая; (8 шт.)</t>
  </si>
  <si>
    <t>бульвар Королева в районе д.6; (2 шт.)</t>
  </si>
  <si>
    <t>внутриквартальный проезд 8 квартал в районе д.77 по ул. Юбилейная и д.78 по проспекту Ст. Разина; (7 шт.)</t>
  </si>
  <si>
    <t>внутриквартальный проезд по ул. Л. Чайкиной, 66, ул. Ярославская, д. 19. (2 шт.)</t>
  </si>
  <si>
    <t>ул.Украинская перед пересечением с ул. Шлютова; (2 шт.)</t>
  </si>
  <si>
    <t>ул. Комсомольская в районе д.107 (ООТ «Центральный рынок»); (1 шт.)</t>
  </si>
  <si>
    <t>дорога вдоль Южного шоссе на участке от ул. Тополиной до ул. Автостроителей (нечетная сторона);</t>
  </si>
  <si>
    <t>дорога вдоль ул. Спортивная (нечетная сторона) от Физкультурного проезда до проспекта Степана Разина;</t>
  </si>
  <si>
    <t>по Поволжскому шоссе (от нового городского кладбища до проходной ПАО ТОАЗ);</t>
  </si>
  <si>
    <t>г.о. Тольятти, внутриквартальный проезд - дублер ул.Коммунистическая от д. №97 до д. №79;</t>
  </si>
  <si>
    <t>г.о.Тольятти, проезд вдоль домов №106, №108 по ул.А.Кудашева</t>
  </si>
  <si>
    <t>г.о.Тольятти, ул.Матросова ООТ «Газонаполнительная станция";</t>
  </si>
  <si>
    <t>г.о.Тольятти, перекресток ул.Комсомольской, ул. Лесной и ул. Ушакова;</t>
  </si>
  <si>
    <t>г.о. Тольятти, Ул. Лесная, д.36;</t>
  </si>
  <si>
    <t>г.о. Тольятти, перекресток ул. Дзержинского, ул. Заставной и Московского проспекта;</t>
  </si>
  <si>
    <t>г.о. Тольятти, перекресток ул. Комсомольской и ул. Карбышева;</t>
  </si>
  <si>
    <t>г.о.Тольятти, перекресток ул.Дзержинского, ул. Юбилейная и ул. Борковская;</t>
  </si>
  <si>
    <t>г.о.Тольятти, ул. 70 лет Октября ООТ «Цветной бульвар";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</si>
</sst>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0.0"/>
    <numFmt numFmtId="166" formatCode="#,##0.0"/>
    <numFmt numFmtId="167" formatCode="#,##0.0_р_."/>
    <numFmt numFmtId="168" formatCode="#,##0_р_."/>
    <numFmt numFmtId="169" formatCode="#,##0.00_р_."/>
    <numFmt numFmtId="170" formatCode="#,##0.000_р_."/>
    <numFmt numFmtId="171" formatCode="#,##0_ ;\-#,##0\ "/>
    <numFmt numFmtId="172" formatCode="0.000"/>
    <numFmt numFmtId="173" formatCode="_-* #,##0\ _₽_-;\-* #,##0\ _₽_-;_-* &quot;-&quot;??\ _₽_-;_-@_-"/>
    <numFmt numFmtId="174" formatCode="#,##0.000"/>
  </numFmts>
  <fonts count="5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i/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Arial Cyr"/>
      <charset val="204"/>
    </font>
    <font>
      <b/>
      <sz val="10"/>
      <name val="Arial"/>
      <family val="2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i/>
      <sz val="10"/>
      <name val="Arial Cyr"/>
      <charset val="204"/>
    </font>
    <font>
      <b/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18" fillId="0" borderId="0"/>
    <xf numFmtId="0" fontId="18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4">
    <xf numFmtId="0" fontId="0" fillId="0" borderId="0" xfId="0"/>
    <xf numFmtId="0" fontId="25" fillId="0" borderId="0" xfId="0" applyFont="1" applyAlignment="1">
      <alignment wrapText="1"/>
    </xf>
    <xf numFmtId="0" fontId="0" fillId="0" borderId="6" xfId="0" applyBorder="1"/>
    <xf numFmtId="0" fontId="5" fillId="0" borderId="0" xfId="0" applyFont="1"/>
    <xf numFmtId="0" fontId="2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9" fillId="0" borderId="0" xfId="0" applyNumberFormat="1" applyFont="1"/>
    <xf numFmtId="0" fontId="39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/>
    <xf numFmtId="2" fontId="0" fillId="0" borderId="0" xfId="0" applyNumberFormat="1"/>
    <xf numFmtId="2" fontId="5" fillId="0" borderId="0" xfId="0" applyNumberFormat="1" applyFont="1"/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wrapText="1"/>
    </xf>
    <xf numFmtId="0" fontId="5" fillId="0" borderId="6" xfId="0" applyFont="1" applyBorder="1" applyAlignment="1">
      <alignment wrapText="1"/>
    </xf>
    <xf numFmtId="2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shrinkToFit="1"/>
    </xf>
    <xf numFmtId="2" fontId="7" fillId="0" borderId="0" xfId="1" applyNumberFormat="1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0" fillId="2" borderId="0" xfId="0" applyFill="1"/>
    <xf numFmtId="0" fontId="5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/>
    </xf>
    <xf numFmtId="0" fontId="5" fillId="2" borderId="0" xfId="0" applyFont="1" applyFill="1"/>
    <xf numFmtId="0" fontId="24" fillId="2" borderId="0" xfId="0" applyFont="1" applyFill="1"/>
    <xf numFmtId="0" fontId="0" fillId="2" borderId="0" xfId="0" applyFill="1" applyAlignment="1">
      <alignment wrapText="1"/>
    </xf>
    <xf numFmtId="0" fontId="21" fillId="2" borderId="0" xfId="0" applyFont="1" applyFill="1" applyAlignment="1">
      <alignment horizontal="center"/>
    </xf>
    <xf numFmtId="0" fontId="44" fillId="2" borderId="1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0" fillId="2" borderId="0" xfId="0" applyFont="1" applyFill="1"/>
    <xf numFmtId="0" fontId="19" fillId="2" borderId="0" xfId="0" applyFont="1" applyFill="1" applyAlignment="1">
      <alignment vertical="center"/>
    </xf>
    <xf numFmtId="167" fontId="5" fillId="2" borderId="0" xfId="0" applyNumberFormat="1" applyFont="1" applyFill="1"/>
    <xf numFmtId="0" fontId="17" fillId="2" borderId="0" xfId="0" applyFont="1" applyFill="1"/>
    <xf numFmtId="0" fontId="2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6" xfId="0" applyFill="1" applyBorder="1"/>
    <xf numFmtId="0" fontId="5" fillId="2" borderId="6" xfId="0" applyFont="1" applyFill="1" applyBorder="1"/>
    <xf numFmtId="0" fontId="19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horizontal="center" vertical="center" wrapText="1"/>
    </xf>
    <xf numFmtId="168" fontId="6" fillId="2" borderId="4" xfId="0" applyNumberFormat="1" applyFont="1" applyFill="1" applyBorder="1" applyAlignment="1">
      <alignment horizontal="center" vertical="top" wrapText="1"/>
    </xf>
    <xf numFmtId="168" fontId="46" fillId="2" borderId="4" xfId="0" applyNumberFormat="1" applyFont="1" applyFill="1" applyBorder="1" applyAlignment="1">
      <alignment horizontal="center" vertical="top" wrapText="1"/>
    </xf>
    <xf numFmtId="169" fontId="6" fillId="2" borderId="1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top" wrapText="1"/>
    </xf>
    <xf numFmtId="168" fontId="6" fillId="2" borderId="1" xfId="0" applyNumberFormat="1" applyFont="1" applyFill="1" applyBorder="1" applyAlignment="1">
      <alignment horizontal="center" vertical="top" wrapText="1"/>
    </xf>
    <xf numFmtId="169" fontId="6" fillId="2" borderId="1" xfId="0" applyNumberFormat="1" applyFont="1" applyFill="1" applyBorder="1" applyAlignment="1">
      <alignment horizontal="center" vertical="top" wrapText="1"/>
    </xf>
    <xf numFmtId="168" fontId="6" fillId="2" borderId="16" xfId="0" applyNumberFormat="1" applyFont="1" applyFill="1" applyBorder="1" applyAlignment="1">
      <alignment horizontal="center" vertical="top" wrapText="1"/>
    </xf>
    <xf numFmtId="168" fontId="6" fillId="2" borderId="13" xfId="0" applyNumberFormat="1" applyFont="1" applyFill="1" applyBorder="1" applyAlignment="1">
      <alignment horizontal="center" vertical="top" wrapText="1"/>
    </xf>
    <xf numFmtId="169" fontId="6" fillId="2" borderId="13" xfId="0" applyNumberFormat="1" applyFont="1" applyFill="1" applyBorder="1" applyAlignment="1">
      <alignment horizontal="center" vertical="top" wrapText="1"/>
    </xf>
    <xf numFmtId="169" fontId="6" fillId="2" borderId="14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168" fontId="46" fillId="2" borderId="1" xfId="0" applyNumberFormat="1" applyFont="1" applyFill="1" applyBorder="1" applyAlignment="1">
      <alignment horizontal="center" vertical="top" wrapText="1"/>
    </xf>
    <xf numFmtId="169" fontId="6" fillId="2" borderId="1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168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top" wrapText="1"/>
    </xf>
    <xf numFmtId="170" fontId="6" fillId="2" borderId="1" xfId="0" applyNumberFormat="1" applyFont="1" applyFill="1" applyBorder="1" applyAlignment="1">
      <alignment horizontal="center" vertical="top" wrapText="1"/>
    </xf>
    <xf numFmtId="169" fontId="46" fillId="2" borderId="1" xfId="0" applyNumberFormat="1" applyFont="1" applyFill="1" applyBorder="1" applyAlignment="1">
      <alignment horizontal="center" vertical="top" wrapText="1"/>
    </xf>
    <xf numFmtId="169" fontId="6" fillId="2" borderId="11" xfId="0" applyNumberFormat="1" applyFont="1" applyFill="1" applyBorder="1" applyAlignment="1">
      <alignment horizontal="center" vertical="top" wrapText="1"/>
    </xf>
    <xf numFmtId="0" fontId="4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67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46" fillId="2" borderId="1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 wrapText="1"/>
    </xf>
    <xf numFmtId="2" fontId="46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2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wrapText="1"/>
    </xf>
    <xf numFmtId="0" fontId="25" fillId="2" borderId="0" xfId="0" applyFont="1" applyFill="1" applyAlignment="1">
      <alignment horizontal="center" vertical="center"/>
    </xf>
    <xf numFmtId="0" fontId="14" fillId="2" borderId="0" xfId="0" applyFont="1" applyFill="1"/>
    <xf numFmtId="0" fontId="24" fillId="2" borderId="0" xfId="0" applyFont="1" applyFill="1" applyAlignment="1">
      <alignment horizontal="center" vertical="top" wrapText="1"/>
    </xf>
    <xf numFmtId="165" fontId="0" fillId="2" borderId="0" xfId="0" applyNumberForma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 wrapText="1"/>
    </xf>
    <xf numFmtId="0" fontId="45" fillId="2" borderId="8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168" fontId="15" fillId="2" borderId="15" xfId="0" applyNumberFormat="1" applyFont="1" applyFill="1" applyBorder="1" applyAlignment="1">
      <alignment horizontal="center" vertical="center"/>
    </xf>
    <xf numFmtId="168" fontId="15" fillId="2" borderId="2" xfId="0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9" xfId="0" applyFont="1" applyFill="1" applyBorder="1" applyAlignment="1">
      <alignment horizontal="left" vertical="center" wrapText="1"/>
    </xf>
    <xf numFmtId="0" fontId="45" fillId="2" borderId="9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167" fontId="34" fillId="2" borderId="5" xfId="0" applyNumberFormat="1" applyFont="1" applyFill="1" applyBorder="1" applyAlignment="1">
      <alignment vertical="top"/>
    </xf>
    <xf numFmtId="167" fontId="34" fillId="2" borderId="5" xfId="0" applyNumberFormat="1" applyFont="1" applyFill="1" applyBorder="1" applyAlignment="1">
      <alignment vertical="center"/>
    </xf>
    <xf numFmtId="167" fontId="34" fillId="2" borderId="8" xfId="0" applyNumberFormat="1" applyFont="1" applyFill="1" applyBorder="1" applyAlignment="1">
      <alignment vertical="top"/>
    </xf>
    <xf numFmtId="167" fontId="34" fillId="2" borderId="8" xfId="0" applyNumberFormat="1" applyFont="1" applyFill="1" applyBorder="1" applyAlignment="1">
      <alignment vertical="center"/>
    </xf>
    <xf numFmtId="167" fontId="34" fillId="2" borderId="4" xfId="0" applyNumberFormat="1" applyFont="1" applyFill="1" applyBorder="1" applyAlignment="1">
      <alignment vertical="top"/>
    </xf>
    <xf numFmtId="167" fontId="34" fillId="2" borderId="4" xfId="0" applyNumberFormat="1" applyFont="1" applyFill="1" applyBorder="1" applyAlignment="1">
      <alignment vertical="center"/>
    </xf>
    <xf numFmtId="167" fontId="34" fillId="2" borderId="8" xfId="0" applyNumberFormat="1" applyFont="1" applyFill="1" applyBorder="1" applyAlignment="1">
      <alignment horizontal="center" vertical="top"/>
    </xf>
    <xf numFmtId="167" fontId="34" fillId="2" borderId="8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167" fontId="34" fillId="2" borderId="5" xfId="0" applyNumberFormat="1" applyFont="1" applyFill="1" applyBorder="1" applyAlignment="1">
      <alignment horizontal="center" vertical="center"/>
    </xf>
    <xf numFmtId="167" fontId="34" fillId="2" borderId="1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0" fontId="0" fillId="2" borderId="4" xfId="0" applyFill="1" applyBorder="1"/>
    <xf numFmtId="0" fontId="10" fillId="2" borderId="4" xfId="0" applyFont="1" applyFill="1" applyBorder="1" applyAlignment="1">
      <alignment horizontal="center" vertical="center"/>
    </xf>
    <xf numFmtId="168" fontId="34" fillId="2" borderId="1" xfId="0" applyNumberFormat="1" applyFont="1" applyFill="1" applyBorder="1" applyAlignment="1">
      <alignment vertical="top"/>
    </xf>
    <xf numFmtId="168" fontId="34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top" wrapText="1"/>
    </xf>
    <xf numFmtId="0" fontId="25" fillId="2" borderId="11" xfId="0" applyFont="1" applyFill="1" applyBorder="1" applyAlignment="1">
      <alignment horizontal="left" vertical="center" wrapText="1"/>
    </xf>
    <xf numFmtId="168" fontId="34" fillId="2" borderId="4" xfId="0" applyNumberFormat="1" applyFont="1" applyFill="1" applyBorder="1" applyAlignment="1">
      <alignment vertical="top"/>
    </xf>
    <xf numFmtId="168" fontId="34" fillId="2" borderId="4" xfId="0" applyNumberFormat="1" applyFont="1" applyFill="1" applyBorder="1" applyAlignment="1">
      <alignment vertical="center"/>
    </xf>
    <xf numFmtId="168" fontId="34" fillId="2" borderId="8" xfId="0" applyNumberFormat="1" applyFont="1" applyFill="1" applyBorder="1" applyAlignment="1">
      <alignment vertical="top"/>
    </xf>
    <xf numFmtId="168" fontId="34" fillId="2" borderId="8" xfId="0" applyNumberFormat="1" applyFont="1" applyFill="1" applyBorder="1" applyAlignment="1">
      <alignment vertical="center"/>
    </xf>
    <xf numFmtId="168" fontId="15" fillId="2" borderId="8" xfId="0" applyNumberFormat="1" applyFont="1" applyFill="1" applyBorder="1" applyAlignment="1">
      <alignment vertical="top"/>
    </xf>
    <xf numFmtId="0" fontId="56" fillId="2" borderId="8" xfId="0" applyFont="1" applyFill="1" applyBorder="1" applyAlignment="1">
      <alignment horizontal="left" vertical="center" wrapText="1"/>
    </xf>
    <xf numFmtId="0" fontId="25" fillId="2" borderId="17" xfId="0" applyFont="1" applyFill="1" applyBorder="1" applyAlignment="1">
      <alignment horizontal="left" vertical="center" wrapText="1"/>
    </xf>
    <xf numFmtId="0" fontId="45" fillId="2" borderId="11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wrapText="1"/>
    </xf>
    <xf numFmtId="0" fontId="25" fillId="2" borderId="11" xfId="0" applyFont="1" applyFill="1" applyBorder="1"/>
    <xf numFmtId="0" fontId="10" fillId="2" borderId="1" xfId="0" applyFont="1" applyFill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2" fontId="19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1" fontId="6" fillId="2" borderId="1" xfId="0" applyNumberFormat="1" applyFont="1" applyFill="1" applyBorder="1" applyAlignment="1">
      <alignment horizontal="center" vertical="center" wrapText="1" shrinkToFit="1"/>
    </xf>
    <xf numFmtId="1" fontId="6" fillId="2" borderId="1" xfId="0" applyNumberFormat="1" applyFont="1" applyFill="1" applyBorder="1" applyAlignment="1">
      <alignment horizontal="center" vertical="center" shrinkToFit="1"/>
    </xf>
    <xf numFmtId="4" fontId="7" fillId="2" borderId="1" xfId="0" applyNumberFormat="1" applyFont="1" applyFill="1" applyBorder="1" applyAlignment="1">
      <alignment horizontal="center" vertical="center" wrapText="1" shrinkToFit="1"/>
    </xf>
    <xf numFmtId="4" fontId="13" fillId="2" borderId="1" xfId="0" applyNumberFormat="1" applyFont="1" applyFill="1" applyBorder="1" applyAlignment="1">
      <alignment vertical="center" wrapText="1" shrinkToFit="1"/>
    </xf>
    <xf numFmtId="2" fontId="7" fillId="2" borderId="1" xfId="0" applyNumberFormat="1" applyFont="1" applyFill="1" applyBorder="1" applyAlignment="1">
      <alignment horizontal="center" vertical="center" wrapText="1" shrinkToFit="1"/>
    </xf>
    <xf numFmtId="3" fontId="7" fillId="2" borderId="1" xfId="0" applyNumberFormat="1" applyFont="1" applyFill="1" applyBorder="1" applyAlignment="1">
      <alignment horizontal="center" vertical="center" wrapText="1" shrinkToFit="1"/>
    </xf>
    <xf numFmtId="4" fontId="6" fillId="2" borderId="1" xfId="0" applyNumberFormat="1" applyFont="1" applyFill="1" applyBorder="1" applyAlignment="1">
      <alignment horizontal="center" vertical="center" wrapText="1" shrinkToFit="1"/>
    </xf>
    <xf numFmtId="4" fontId="11" fillId="2" borderId="1" xfId="0" applyNumberFormat="1" applyFont="1" applyFill="1" applyBorder="1" applyAlignment="1">
      <alignment vertical="center" wrapText="1" shrinkToFit="1"/>
    </xf>
    <xf numFmtId="2" fontId="6" fillId="2" borderId="1" xfId="0" applyNumberFormat="1" applyFont="1" applyFill="1" applyBorder="1" applyAlignment="1">
      <alignment horizontal="center" vertical="center" wrapText="1" shrinkToFit="1"/>
    </xf>
    <xf numFmtId="3" fontId="6" fillId="2" borderId="1" xfId="0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center" vertical="center" wrapText="1" shrinkToFit="1"/>
    </xf>
    <xf numFmtId="4" fontId="31" fillId="2" borderId="1" xfId="0" applyNumberFormat="1" applyFont="1" applyFill="1" applyBorder="1" applyAlignment="1">
      <alignment vertical="center" wrapText="1" shrinkToFit="1"/>
    </xf>
    <xf numFmtId="2" fontId="8" fillId="2" borderId="1" xfId="0" applyNumberFormat="1" applyFont="1" applyFill="1" applyBorder="1" applyAlignment="1">
      <alignment horizontal="center" vertical="center" wrapText="1" shrinkToFit="1"/>
    </xf>
    <xf numFmtId="3" fontId="8" fillId="2" borderId="1" xfId="0" applyNumberFormat="1" applyFont="1" applyFill="1" applyBorder="1" applyAlignment="1">
      <alignment horizontal="center" vertical="center" wrapText="1" shrinkToFit="1"/>
    </xf>
    <xf numFmtId="2" fontId="57" fillId="2" borderId="1" xfId="0" applyNumberFormat="1" applyFont="1" applyFill="1" applyBorder="1" applyAlignment="1">
      <alignment horizontal="center" vertical="center" wrapText="1" shrinkToFit="1"/>
    </xf>
    <xf numFmtId="4" fontId="10" fillId="2" borderId="1" xfId="0" applyNumberFormat="1" applyFont="1" applyFill="1" applyBorder="1" applyAlignment="1">
      <alignment horizontal="center" vertical="center" wrapText="1" shrinkToFit="1"/>
    </xf>
    <xf numFmtId="4" fontId="13" fillId="2" borderId="1" xfId="0" applyNumberFormat="1" applyFont="1" applyFill="1" applyBorder="1" applyAlignment="1">
      <alignment horizontal="left" vertical="center" wrapText="1" shrinkToFit="1"/>
    </xf>
    <xf numFmtId="4" fontId="11" fillId="2" borderId="1" xfId="0" applyNumberFormat="1" applyFont="1" applyFill="1" applyBorder="1" applyAlignment="1">
      <alignment horizontal="left" vertical="center" wrapText="1" shrinkToFit="1"/>
    </xf>
    <xf numFmtId="4" fontId="35" fillId="2" borderId="1" xfId="0" applyNumberFormat="1" applyFont="1" applyFill="1" applyBorder="1" applyAlignment="1">
      <alignment horizontal="center" vertical="center" wrapText="1" shrinkToFit="1"/>
    </xf>
    <xf numFmtId="4" fontId="31" fillId="2" borderId="1" xfId="0" applyNumberFormat="1" applyFont="1" applyFill="1" applyBorder="1" applyAlignment="1">
      <alignment horizontal="left" vertical="center" wrapText="1" shrinkToFit="1"/>
    </xf>
    <xf numFmtId="4" fontId="39" fillId="2" borderId="0" xfId="0" applyNumberFormat="1" applyFont="1" applyFill="1"/>
    <xf numFmtId="4" fontId="10" fillId="2" borderId="1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left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left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left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4" fontId="11" fillId="2" borderId="1" xfId="0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46" fillId="2" borderId="1" xfId="1" applyNumberFormat="1" applyFont="1" applyFill="1" applyBorder="1" applyAlignment="1">
      <alignment horizontal="center" vertical="center" wrapText="1"/>
    </xf>
    <xf numFmtId="4" fontId="49" fillId="2" borderId="1" xfId="1" applyNumberFormat="1" applyFont="1" applyFill="1" applyBorder="1" applyAlignment="1">
      <alignment horizontal="left" vertical="center" wrapText="1"/>
    </xf>
    <xf numFmtId="2" fontId="46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2" fontId="11" fillId="2" borderId="1" xfId="1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2" fontId="8" fillId="2" borderId="1" xfId="1" applyNumberFormat="1" applyFont="1" applyFill="1" applyBorder="1" applyAlignment="1">
      <alignment horizontal="left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 shrinkToFit="1"/>
    </xf>
    <xf numFmtId="4" fontId="6" fillId="2" borderId="1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55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left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left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171" fontId="6" fillId="2" borderId="1" xfId="4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8" fontId="25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167" fontId="25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vertical="center"/>
    </xf>
    <xf numFmtId="3" fontId="54" fillId="2" borderId="1" xfId="0" applyNumberFormat="1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168" fontId="29" fillId="2" borderId="1" xfId="0" applyNumberFormat="1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167" fontId="25" fillId="2" borderId="2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/>
    </xf>
    <xf numFmtId="168" fontId="29" fillId="2" borderId="1" xfId="0" applyNumberFormat="1" applyFont="1" applyFill="1" applyBorder="1" applyAlignment="1">
      <alignment horizontal="center" vertical="center"/>
    </xf>
    <xf numFmtId="167" fontId="22" fillId="2" borderId="1" xfId="8" applyNumberFormat="1" applyFont="1" applyFill="1" applyBorder="1" applyAlignment="1">
      <alignment horizontal="center" vertical="center" wrapText="1"/>
    </xf>
    <xf numFmtId="3" fontId="28" fillId="2" borderId="1" xfId="4" applyNumberFormat="1" applyFont="1" applyFill="1" applyBorder="1" applyAlignment="1">
      <alignment horizontal="center" vertical="center"/>
    </xf>
    <xf numFmtId="3" fontId="28" fillId="2" borderId="1" xfId="0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/>
    <xf numFmtId="3" fontId="24" fillId="2" borderId="0" xfId="0" applyNumberFormat="1" applyFont="1" applyFill="1"/>
    <xf numFmtId="3" fontId="29" fillId="2" borderId="1" xfId="4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16" fontId="19" fillId="2" borderId="1" xfId="0" applyNumberFormat="1" applyFont="1" applyFill="1" applyBorder="1" applyAlignment="1">
      <alignment horizontal="center" vertical="center"/>
    </xf>
    <xf numFmtId="168" fontId="0" fillId="2" borderId="0" xfId="0" applyNumberFormat="1" applyFill="1"/>
    <xf numFmtId="0" fontId="6" fillId="2" borderId="7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5" fontId="25" fillId="2" borderId="1" xfId="6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25" fillId="2" borderId="1" xfId="6" applyFont="1" applyFill="1" applyBorder="1" applyAlignment="1">
      <alignment horizontal="center" vertical="center" wrapText="1"/>
    </xf>
    <xf numFmtId="3" fontId="29" fillId="2" borderId="1" xfId="6" applyNumberFormat="1" applyFont="1" applyFill="1" applyBorder="1" applyAlignment="1">
      <alignment horizontal="center" vertical="center"/>
    </xf>
    <xf numFmtId="3" fontId="28" fillId="2" borderId="1" xfId="6" applyNumberFormat="1" applyFont="1" applyFill="1" applyBorder="1" applyAlignment="1">
      <alignment horizontal="center" vertical="center"/>
    </xf>
    <xf numFmtId="3" fontId="53" fillId="2" borderId="1" xfId="6" applyNumberFormat="1" applyFont="1" applyFill="1" applyBorder="1" applyAlignment="1">
      <alignment horizontal="center" vertical="center"/>
    </xf>
    <xf numFmtId="3" fontId="54" fillId="2" borderId="1" xfId="6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25" fillId="2" borderId="3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169" fontId="6" fillId="2" borderId="0" xfId="0" applyNumberFormat="1" applyFont="1" applyFill="1" applyAlignment="1">
      <alignment horizontal="center" vertical="top" wrapText="1"/>
    </xf>
    <xf numFmtId="172" fontId="6" fillId="2" borderId="1" xfId="0" applyNumberFormat="1" applyFont="1" applyFill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74" fontId="25" fillId="2" borderId="8" xfId="0" applyNumberFormat="1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9" fillId="2" borderId="0" xfId="0" applyNumberFormat="1" applyFont="1" applyFill="1"/>
    <xf numFmtId="0" fontId="39" fillId="2" borderId="0" xfId="0" applyFont="1" applyFill="1"/>
    <xf numFmtId="2" fontId="6" fillId="2" borderId="1" xfId="1" applyNumberFormat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4" fontId="11" fillId="2" borderId="1" xfId="1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center" wrapText="1"/>
    </xf>
    <xf numFmtId="168" fontId="34" fillId="2" borderId="8" xfId="0" applyNumberFormat="1" applyFont="1" applyFill="1" applyBorder="1" applyAlignment="1">
      <alignment horizontal="center" vertical="top"/>
    </xf>
    <xf numFmtId="168" fontId="15" fillId="2" borderId="5" xfId="0" applyNumberFormat="1" applyFont="1" applyFill="1" applyBorder="1" applyAlignment="1">
      <alignment horizontal="center" vertical="top"/>
    </xf>
    <xf numFmtId="168" fontId="15" fillId="2" borderId="8" xfId="0" applyNumberFormat="1" applyFont="1" applyFill="1" applyBorder="1" applyAlignment="1">
      <alignment horizontal="center" vertical="top"/>
    </xf>
    <xf numFmtId="168" fontId="15" fillId="2" borderId="4" xfId="0" applyNumberFormat="1" applyFont="1" applyFill="1" applyBorder="1" applyAlignment="1">
      <alignment horizontal="center" vertical="top"/>
    </xf>
    <xf numFmtId="168" fontId="15" fillId="2" borderId="8" xfId="0" applyNumberFormat="1" applyFont="1" applyFill="1" applyBorder="1" applyAlignment="1">
      <alignment horizontal="center" vertical="center"/>
    </xf>
    <xf numFmtId="168" fontId="34" fillId="2" borderId="8" xfId="0" applyNumberFormat="1" applyFont="1" applyFill="1" applyBorder="1" applyAlignment="1">
      <alignment horizontal="center" vertical="center"/>
    </xf>
    <xf numFmtId="168" fontId="15" fillId="2" borderId="4" xfId="0" applyNumberFormat="1" applyFont="1" applyFill="1" applyBorder="1" applyAlignment="1">
      <alignment horizontal="center" vertical="center"/>
    </xf>
    <xf numFmtId="168" fontId="34" fillId="2" borderId="1" xfId="0" applyNumberFormat="1" applyFont="1" applyFill="1" applyBorder="1" applyAlignment="1">
      <alignment horizontal="center" vertical="top"/>
    </xf>
    <xf numFmtId="168" fontId="34" fillId="2" borderId="4" xfId="0" applyNumberFormat="1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center" wrapText="1"/>
    </xf>
    <xf numFmtId="168" fontId="15" fillId="2" borderId="1" xfId="0" applyNumberFormat="1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168" fontId="34" fillId="2" borderId="1" xfId="0" applyNumberFormat="1" applyFont="1" applyFill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168" fontId="15" fillId="2" borderId="5" xfId="0" applyNumberFormat="1" applyFont="1" applyFill="1" applyBorder="1" applyAlignment="1">
      <alignment horizontal="center" vertical="center"/>
    </xf>
    <xf numFmtId="168" fontId="34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3" fontId="28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3" fontId="16" fillId="2" borderId="1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top" wrapText="1"/>
    </xf>
    <xf numFmtId="0" fontId="16" fillId="2" borderId="7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168" fontId="15" fillId="2" borderId="5" xfId="0" applyNumberFormat="1" applyFont="1" applyFill="1" applyBorder="1" applyAlignment="1">
      <alignment horizontal="center" vertical="center"/>
    </xf>
    <xf numFmtId="168" fontId="15" fillId="2" borderId="8" xfId="0" applyNumberFormat="1" applyFont="1" applyFill="1" applyBorder="1" applyAlignment="1">
      <alignment horizontal="center" vertical="center"/>
    </xf>
    <xf numFmtId="168" fontId="15" fillId="2" borderId="4" xfId="0" applyNumberFormat="1" applyFont="1" applyFill="1" applyBorder="1" applyAlignment="1">
      <alignment horizontal="center" vertical="center"/>
    </xf>
    <xf numFmtId="168" fontId="34" fillId="2" borderId="5" xfId="0" applyNumberFormat="1" applyFont="1" applyFill="1" applyBorder="1" applyAlignment="1">
      <alignment horizontal="center" vertical="center"/>
    </xf>
    <xf numFmtId="168" fontId="34" fillId="2" borderId="8" xfId="0" applyNumberFormat="1" applyFont="1" applyFill="1" applyBorder="1" applyAlignment="1">
      <alignment horizontal="center" vertical="center"/>
    </xf>
    <xf numFmtId="168" fontId="34" fillId="2" borderId="4" xfId="0" applyNumberFormat="1" applyFont="1" applyFill="1" applyBorder="1" applyAlignment="1">
      <alignment horizontal="center" vertical="center"/>
    </xf>
    <xf numFmtId="168" fontId="34" fillId="2" borderId="5" xfId="0" applyNumberFormat="1" applyFont="1" applyFill="1" applyBorder="1" applyAlignment="1">
      <alignment horizontal="center" vertical="top"/>
    </xf>
    <xf numFmtId="168" fontId="34" fillId="2" borderId="8" xfId="0" applyNumberFormat="1" applyFont="1" applyFill="1" applyBorder="1" applyAlignment="1">
      <alignment horizontal="center" vertical="top"/>
    </xf>
    <xf numFmtId="168" fontId="15" fillId="2" borderId="8" xfId="0" applyNumberFormat="1" applyFont="1" applyFill="1" applyBorder="1" applyAlignment="1">
      <alignment horizontal="center" vertical="top"/>
    </xf>
    <xf numFmtId="168" fontId="15" fillId="2" borderId="5" xfId="0" applyNumberFormat="1" applyFont="1" applyFill="1" applyBorder="1" applyAlignment="1">
      <alignment horizontal="center" vertical="top"/>
    </xf>
    <xf numFmtId="168" fontId="15" fillId="2" borderId="4" xfId="0" applyNumberFormat="1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center" wrapText="1"/>
    </xf>
    <xf numFmtId="168" fontId="34" fillId="2" borderId="4" xfId="0" applyNumberFormat="1" applyFont="1" applyFill="1" applyBorder="1" applyAlignment="1">
      <alignment horizontal="center" vertical="top"/>
    </xf>
    <xf numFmtId="0" fontId="16" fillId="2" borderId="9" xfId="0" applyFont="1" applyFill="1" applyBorder="1" applyAlignment="1">
      <alignment horizontal="center" vertical="center" wrapText="1"/>
    </xf>
    <xf numFmtId="168" fontId="16" fillId="2" borderId="5" xfId="0" applyNumberFormat="1" applyFont="1" applyFill="1" applyBorder="1" applyAlignment="1">
      <alignment horizontal="center" vertical="top" wrapText="1"/>
    </xf>
    <xf numFmtId="168" fontId="16" fillId="2" borderId="8" xfId="0" applyNumberFormat="1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168" fontId="34" fillId="2" borderId="17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168" fontId="34" fillId="2" borderId="1" xfId="0" applyNumberFormat="1" applyFont="1" applyFill="1" applyBorder="1" applyAlignment="1">
      <alignment horizontal="center" vertical="top"/>
    </xf>
    <xf numFmtId="168" fontId="15" fillId="2" borderId="1" xfId="0" applyNumberFormat="1" applyFont="1" applyFill="1" applyBorder="1" applyAlignment="1">
      <alignment horizontal="center" vertical="top"/>
    </xf>
    <xf numFmtId="0" fontId="16" fillId="2" borderId="4" xfId="0" applyFont="1" applyFill="1" applyBorder="1" applyAlignment="1">
      <alignment horizontal="center" vertical="top" wrapText="1"/>
    </xf>
    <xf numFmtId="168" fontId="34" fillId="2" borderId="1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left" vertical="center" wrapText="1"/>
    </xf>
    <xf numFmtId="0" fontId="51" fillId="2" borderId="3" xfId="0" applyFont="1" applyFill="1" applyBorder="1" applyAlignment="1">
      <alignment horizontal="left" vertical="center" wrapText="1"/>
    </xf>
    <xf numFmtId="0" fontId="51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8" fillId="2" borderId="6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168" fontId="34" fillId="2" borderId="11" xfId="0" applyNumberFormat="1" applyFont="1" applyFill="1" applyBorder="1" applyAlignment="1">
      <alignment horizontal="center" vertical="top"/>
    </xf>
    <xf numFmtId="168" fontId="15" fillId="2" borderId="9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2" fontId="10" fillId="2" borderId="7" xfId="1" applyNumberFormat="1" applyFont="1" applyFill="1" applyBorder="1" applyAlignment="1">
      <alignment horizontal="left" vertical="center" wrapText="1"/>
    </xf>
    <xf numFmtId="2" fontId="10" fillId="2" borderId="3" xfId="1" applyNumberFormat="1" applyFont="1" applyFill="1" applyBorder="1" applyAlignment="1">
      <alignment horizontal="left" vertical="center" wrapText="1"/>
    </xf>
    <xf numFmtId="2" fontId="10" fillId="2" borderId="2" xfId="1" applyNumberFormat="1" applyFont="1" applyFill="1" applyBorder="1" applyAlignment="1">
      <alignment horizontal="left" vertical="center" wrapText="1"/>
    </xf>
    <xf numFmtId="4" fontId="10" fillId="2" borderId="7" xfId="1" applyNumberFormat="1" applyFont="1" applyFill="1" applyBorder="1" applyAlignment="1">
      <alignment horizontal="left" vertical="center" wrapText="1"/>
    </xf>
    <xf numFmtId="4" fontId="10" fillId="2" borderId="3" xfId="1" applyNumberFormat="1" applyFont="1" applyFill="1" applyBorder="1" applyAlignment="1">
      <alignment horizontal="left" vertical="center" wrapText="1"/>
    </xf>
    <xf numFmtId="4" fontId="10" fillId="2" borderId="2" xfId="1" applyNumberFormat="1" applyFont="1" applyFill="1" applyBorder="1" applyAlignment="1">
      <alignment horizontal="left" vertical="center" wrapText="1"/>
    </xf>
    <xf numFmtId="165" fontId="10" fillId="2" borderId="7" xfId="1" applyNumberFormat="1" applyFont="1" applyFill="1" applyBorder="1" applyAlignment="1">
      <alignment horizontal="left" vertical="center" wrapText="1"/>
    </xf>
    <xf numFmtId="165" fontId="10" fillId="2" borderId="3" xfId="1" applyNumberFormat="1" applyFont="1" applyFill="1" applyBorder="1" applyAlignment="1">
      <alignment horizontal="left" vertical="center" wrapText="1"/>
    </xf>
    <xf numFmtId="165" fontId="10" fillId="2" borderId="2" xfId="1" applyNumberFormat="1" applyFont="1" applyFill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7" xfId="0" applyNumberFormat="1" applyFont="1" applyFill="1" applyBorder="1" applyAlignment="1">
      <alignment horizontal="left" vertical="center" wrapText="1" shrinkToFit="1"/>
    </xf>
    <xf numFmtId="4" fontId="10" fillId="2" borderId="3" xfId="0" applyNumberFormat="1" applyFont="1" applyFill="1" applyBorder="1" applyAlignment="1">
      <alignment horizontal="left" vertical="center" wrapText="1" shrinkToFit="1"/>
    </xf>
    <xf numFmtId="4" fontId="10" fillId="2" borderId="2" xfId="0" applyNumberFormat="1" applyFont="1" applyFill="1" applyBorder="1" applyAlignment="1">
      <alignment horizontal="left" vertical="center" wrapText="1" shrinkToFit="1"/>
    </xf>
    <xf numFmtId="2" fontId="7" fillId="2" borderId="1" xfId="0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2" fontId="10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3" fontId="28" fillId="2" borderId="1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3" fontId="29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 wrapText="1"/>
    </xf>
    <xf numFmtId="0" fontId="33" fillId="2" borderId="6" xfId="0" applyFont="1" applyFill="1" applyBorder="1"/>
    <xf numFmtId="0" fontId="44" fillId="2" borderId="1" xfId="0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3" xfId="0" applyNumberFormat="1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left" vertical="center" wrapText="1"/>
    </xf>
    <xf numFmtId="165" fontId="25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46" fillId="2" borderId="5" xfId="0" applyFont="1" applyFill="1" applyBorder="1" applyAlignment="1">
      <alignment horizontal="left" vertical="top" wrapText="1"/>
    </xf>
    <xf numFmtId="0" fontId="46" fillId="2" borderId="4" xfId="0" applyFont="1" applyFill="1" applyBorder="1" applyAlignment="1">
      <alignment horizontal="left" vertical="top" wrapText="1"/>
    </xf>
    <xf numFmtId="0" fontId="46" fillId="2" borderId="5" xfId="0" applyFont="1" applyFill="1" applyBorder="1" applyAlignment="1">
      <alignment horizontal="center" vertical="top" wrapText="1"/>
    </xf>
    <xf numFmtId="0" fontId="46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14" fontId="6" fillId="2" borderId="5" xfId="0" applyNumberFormat="1" applyFont="1" applyFill="1" applyBorder="1" applyAlignment="1">
      <alignment horizontal="center" vertical="top"/>
    </xf>
    <xf numFmtId="14" fontId="6" fillId="2" borderId="4" xfId="0" applyNumberFormat="1" applyFont="1" applyFill="1" applyBorder="1" applyAlignment="1">
      <alignment horizontal="center" vertical="top"/>
    </xf>
    <xf numFmtId="0" fontId="25" fillId="4" borderId="8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173" fontId="7" fillId="2" borderId="1" xfId="4" applyNumberFormat="1" applyFont="1" applyFill="1" applyBorder="1" applyAlignment="1">
      <alignment horizontal="center" vertical="center"/>
    </xf>
    <xf numFmtId="173" fontId="6" fillId="2" borderId="1" xfId="4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0" fontId="7" fillId="2" borderId="9" xfId="0" applyFont="1" applyFill="1" applyBorder="1" applyAlignment="1">
      <alignment vertical="center"/>
    </xf>
    <xf numFmtId="0" fontId="27" fillId="2" borderId="0" xfId="0" applyFont="1" applyFill="1"/>
    <xf numFmtId="0" fontId="20" fillId="2" borderId="0" xfId="0" applyFont="1" applyFill="1" applyAlignment="1">
      <alignment horizontal="center"/>
    </xf>
    <xf numFmtId="3" fontId="29" fillId="2" borderId="0" xfId="0" applyNumberFormat="1" applyFont="1" applyFill="1" applyAlignment="1">
      <alignment horizontal="center" vertical="center"/>
    </xf>
    <xf numFmtId="0" fontId="0" fillId="2" borderId="3" xfId="0" applyFill="1" applyBorder="1"/>
    <xf numFmtId="0" fontId="5" fillId="2" borderId="3" xfId="0" applyFont="1" applyFill="1" applyBorder="1"/>
    <xf numFmtId="0" fontId="42" fillId="2" borderId="0" xfId="0" applyFont="1" applyFill="1" applyAlignment="1">
      <alignment horizontal="center" vertical="center"/>
    </xf>
    <xf numFmtId="3" fontId="29" fillId="2" borderId="4" xfId="0" applyNumberFormat="1" applyFont="1" applyFill="1" applyBorder="1" applyAlignment="1">
      <alignment horizontal="center" vertical="center"/>
    </xf>
    <xf numFmtId="166" fontId="40" fillId="2" borderId="1" xfId="0" applyNumberFormat="1" applyFont="1" applyFill="1" applyBorder="1" applyAlignment="1">
      <alignment horizontal="center" vertical="center"/>
    </xf>
    <xf numFmtId="166" fontId="24" fillId="2" borderId="0" xfId="0" applyNumberFormat="1" applyFont="1" applyFill="1"/>
    <xf numFmtId="0" fontId="42" fillId="2" borderId="0" xfId="0" applyFont="1" applyFill="1" applyAlignment="1">
      <alignment horizontal="center" vertical="center"/>
    </xf>
  </cellXfs>
  <cellStyles count="16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5" xfId="12"/>
    <cellStyle name="Обычный 3" xfId="2"/>
    <cellStyle name="Обычный 3 2" xfId="11"/>
    <cellStyle name="Обычный 3 2 2" xfId="15"/>
    <cellStyle name="Обычный 3 3" xfId="13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24.03.2021\&#1050;&#1086;&#1087;&#1080;&#1103;%20&#1087;&#1088;&#1080;&#1083;&#1086;&#1078;&#1077;&#1085;&#1080;&#1103;%2024.03.21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netshare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&#1088;&#1077;&#1096;.1137\2%20&#1050;&#1086;&#1087;&#1080;&#1103;%20&#1087;&#1088;&#1080;&#1083;&#1086;&#1078;&#1077;&#1085;&#1080;&#1103;%20&#1088;&#1077;&#1096;.1137%20(&#1089;%20&#1087;&#1086;&#1095;&#1090;&#1099;)%20&#1086;&#1088;&#1080;&#1075;&#1080;&#1085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конеч.рез."/>
      <sheetName val="2.переченьПБДД"/>
      <sheetName val="3.переченьМРАД"/>
      <sheetName val="4.меропр."/>
      <sheetName val="5.индик."/>
      <sheetName val="Лист1"/>
    </sheetNames>
    <sheetDataSet>
      <sheetData sheetId="0" refreshError="1"/>
      <sheetData sheetId="1" refreshError="1"/>
      <sheetData sheetId="2" refreshError="1">
        <row r="96">
          <cell r="G96">
            <v>0</v>
          </cell>
          <cell r="Q96">
            <v>0</v>
          </cell>
          <cell r="V96">
            <v>0</v>
          </cell>
          <cell r="AA96">
            <v>0</v>
          </cell>
        </row>
        <row r="215">
          <cell r="G215">
            <v>0</v>
          </cell>
          <cell r="L215">
            <v>0</v>
          </cell>
          <cell r="Q215">
            <v>0</v>
          </cell>
          <cell r="AA215">
            <v>0</v>
          </cell>
        </row>
        <row r="216">
          <cell r="G216">
            <v>0</v>
          </cell>
          <cell r="L216">
            <v>0</v>
          </cell>
          <cell r="Q216">
            <v>0</v>
          </cell>
          <cell r="AA216">
            <v>0</v>
          </cell>
        </row>
        <row r="217">
          <cell r="G217">
            <v>0</v>
          </cell>
          <cell r="L217">
            <v>0</v>
          </cell>
          <cell r="Q217">
            <v>0</v>
          </cell>
          <cell r="AA217">
            <v>0</v>
          </cell>
        </row>
        <row r="218">
          <cell r="G218">
            <v>0</v>
          </cell>
          <cell r="L218">
            <v>0</v>
          </cell>
          <cell r="Q218">
            <v>0</v>
          </cell>
          <cell r="AA218">
            <v>0</v>
          </cell>
        </row>
        <row r="219">
          <cell r="G219">
            <v>0</v>
          </cell>
          <cell r="L219">
            <v>0</v>
          </cell>
          <cell r="Q219">
            <v>0</v>
          </cell>
          <cell r="AA219">
            <v>0</v>
          </cell>
        </row>
        <row r="220">
          <cell r="G220">
            <v>0</v>
          </cell>
          <cell r="L220">
            <v>0</v>
          </cell>
          <cell r="Q220">
            <v>0</v>
          </cell>
          <cell r="AA220">
            <v>0</v>
          </cell>
        </row>
        <row r="221">
          <cell r="G221">
            <v>0</v>
          </cell>
          <cell r="L221">
            <v>0</v>
          </cell>
          <cell r="Q221">
            <v>0</v>
          </cell>
          <cell r="AA221">
            <v>0</v>
          </cell>
        </row>
        <row r="222">
          <cell r="G222">
            <v>0</v>
          </cell>
          <cell r="L222">
            <v>0</v>
          </cell>
          <cell r="Q222">
            <v>0</v>
          </cell>
          <cell r="AA222">
            <v>0</v>
          </cell>
        </row>
        <row r="223">
          <cell r="G223">
            <v>0</v>
          </cell>
          <cell r="L223">
            <v>0</v>
          </cell>
          <cell r="Q223">
            <v>0</v>
          </cell>
          <cell r="AA223">
            <v>0</v>
          </cell>
        </row>
        <row r="224">
          <cell r="G224">
            <v>0</v>
          </cell>
          <cell r="L224">
            <v>0</v>
          </cell>
          <cell r="Q224">
            <v>0</v>
          </cell>
          <cell r="AA224">
            <v>0</v>
          </cell>
        </row>
        <row r="225">
          <cell r="G225">
            <v>0</v>
          </cell>
          <cell r="L225">
            <v>0</v>
          </cell>
          <cell r="Q225">
            <v>0</v>
          </cell>
          <cell r="AA225">
            <v>0</v>
          </cell>
        </row>
        <row r="226">
          <cell r="G226">
            <v>0</v>
          </cell>
          <cell r="L226">
            <v>0</v>
          </cell>
          <cell r="Q226">
            <v>0</v>
          </cell>
          <cell r="AA226">
            <v>0</v>
          </cell>
        </row>
        <row r="227">
          <cell r="G227">
            <v>0</v>
          </cell>
          <cell r="L227">
            <v>0</v>
          </cell>
          <cell r="Q227">
            <v>0</v>
          </cell>
          <cell r="AA22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переченьПБДД"/>
      <sheetName val="2.переченьМРАД"/>
      <sheetName val="3.меропр."/>
      <sheetName val="4.индик."/>
    </sheetNames>
    <sheetDataSet>
      <sheetData sheetId="0"/>
      <sheetData sheetId="1"/>
      <sheetData sheetId="2">
        <row r="510">
          <cell r="M510">
            <v>0</v>
          </cell>
          <cell r="R51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28"/>
      <c r="B1" s="28"/>
      <c r="C1" s="28"/>
      <c r="D1" s="28"/>
      <c r="E1" s="357" t="s">
        <v>568</v>
      </c>
      <c r="F1" s="357"/>
      <c r="G1" s="357"/>
      <c r="H1" s="357"/>
      <c r="I1" s="357"/>
      <c r="J1" s="1"/>
      <c r="K1" s="1"/>
    </row>
    <row r="2" spans="1:11" ht="40.15" customHeight="1" x14ac:dyDescent="0.2">
      <c r="A2" s="356" t="s">
        <v>289</v>
      </c>
      <c r="B2" s="356"/>
      <c r="C2" s="356"/>
      <c r="D2" s="356"/>
      <c r="E2" s="356"/>
      <c r="F2" s="356"/>
      <c r="G2" s="356"/>
      <c r="H2" s="356"/>
      <c r="I2" s="356"/>
    </row>
    <row r="3" spans="1:11" ht="31.5" customHeight="1" x14ac:dyDescent="0.2">
      <c r="A3" s="363" t="s">
        <v>68</v>
      </c>
      <c r="B3" s="363" t="s">
        <v>171</v>
      </c>
      <c r="C3" s="363" t="s">
        <v>172</v>
      </c>
      <c r="D3" s="363" t="s">
        <v>94</v>
      </c>
      <c r="E3" s="363" t="s">
        <v>173</v>
      </c>
      <c r="F3" s="363"/>
      <c r="G3" s="363"/>
      <c r="H3" s="363"/>
      <c r="I3" s="363"/>
    </row>
    <row r="4" spans="1:11" ht="27" customHeight="1" x14ac:dyDescent="0.2">
      <c r="A4" s="363"/>
      <c r="B4" s="363"/>
      <c r="C4" s="363"/>
      <c r="D4" s="363"/>
      <c r="E4" s="29" t="s">
        <v>491</v>
      </c>
      <c r="F4" s="29" t="s">
        <v>492</v>
      </c>
      <c r="G4" s="29" t="s">
        <v>493</v>
      </c>
      <c r="H4" s="29" t="s">
        <v>494</v>
      </c>
      <c r="I4" s="29" t="s">
        <v>495</v>
      </c>
    </row>
    <row r="5" spans="1:11" ht="15" x14ac:dyDescent="0.2">
      <c r="A5" s="100">
        <v>1</v>
      </c>
      <c r="B5" s="100">
        <v>2</v>
      </c>
      <c r="C5" s="100">
        <v>3</v>
      </c>
      <c r="D5" s="100">
        <v>4</v>
      </c>
      <c r="E5" s="100">
        <v>5</v>
      </c>
      <c r="F5" s="100">
        <v>6</v>
      </c>
      <c r="G5" s="100">
        <v>7</v>
      </c>
      <c r="H5" s="100">
        <v>8</v>
      </c>
      <c r="I5" s="100">
        <v>9</v>
      </c>
    </row>
    <row r="6" spans="1:11" ht="61.5" customHeight="1" x14ac:dyDescent="0.2">
      <c r="A6" s="101">
        <v>1</v>
      </c>
      <c r="B6" s="50" t="s">
        <v>188</v>
      </c>
      <c r="C6" s="101" t="s">
        <v>109</v>
      </c>
      <c r="D6" s="101">
        <v>2.5</v>
      </c>
      <c r="E6" s="101">
        <v>2.4500000000000002</v>
      </c>
      <c r="F6" s="103">
        <v>2.4</v>
      </c>
      <c r="G6" s="103">
        <v>2.35</v>
      </c>
      <c r="H6" s="103" t="s">
        <v>97</v>
      </c>
      <c r="I6" s="101" t="s">
        <v>97</v>
      </c>
    </row>
    <row r="7" spans="1:11" ht="45" customHeight="1" x14ac:dyDescent="0.2">
      <c r="A7" s="101">
        <v>2</v>
      </c>
      <c r="B7" s="50" t="s">
        <v>189</v>
      </c>
      <c r="C7" s="101" t="s">
        <v>168</v>
      </c>
      <c r="D7" s="101">
        <v>789</v>
      </c>
      <c r="E7" s="101">
        <v>788</v>
      </c>
      <c r="F7" s="101">
        <v>785</v>
      </c>
      <c r="G7" s="101">
        <v>780</v>
      </c>
      <c r="H7" s="101">
        <v>775</v>
      </c>
      <c r="I7" s="101">
        <v>770</v>
      </c>
    </row>
    <row r="8" spans="1:11" ht="48" customHeight="1" x14ac:dyDescent="0.2">
      <c r="A8" s="101">
        <v>3</v>
      </c>
      <c r="B8" s="50" t="s">
        <v>1359</v>
      </c>
      <c r="C8" s="101" t="s">
        <v>109</v>
      </c>
      <c r="D8" s="101" t="s">
        <v>97</v>
      </c>
      <c r="E8" s="101" t="s">
        <v>97</v>
      </c>
      <c r="F8" s="101" t="s">
        <v>97</v>
      </c>
      <c r="G8" s="101" t="s">
        <v>97</v>
      </c>
      <c r="H8" s="101">
        <v>100</v>
      </c>
      <c r="I8" s="101">
        <v>100</v>
      </c>
    </row>
    <row r="9" spans="1:11" ht="86.25" customHeight="1" x14ac:dyDescent="0.2">
      <c r="A9" s="101">
        <v>4</v>
      </c>
      <c r="B9" s="50" t="s">
        <v>380</v>
      </c>
      <c r="C9" s="101" t="s">
        <v>112</v>
      </c>
      <c r="D9" s="101">
        <v>711.9</v>
      </c>
      <c r="E9" s="102">
        <v>730.5</v>
      </c>
      <c r="F9" s="106">
        <v>755.75</v>
      </c>
      <c r="G9" s="106">
        <f>763.95-3.61+3.44-3.11</f>
        <v>760.67000000000007</v>
      </c>
      <c r="H9" s="106">
        <f>810.3-44.18-1.53+4.25+11.33-7.64</f>
        <v>772.53000000000009</v>
      </c>
      <c r="I9" s="296">
        <f>798.27</f>
        <v>798.27</v>
      </c>
    </row>
    <row r="10" spans="1:11" ht="98.25" customHeight="1" x14ac:dyDescent="0.2">
      <c r="A10" s="101">
        <v>5</v>
      </c>
      <c r="B10" s="50" t="s">
        <v>381</v>
      </c>
      <c r="C10" s="101" t="s">
        <v>109</v>
      </c>
      <c r="D10" s="101" t="s">
        <v>97</v>
      </c>
      <c r="E10" s="103">
        <v>0.35</v>
      </c>
      <c r="F10" s="106">
        <v>0.02</v>
      </c>
      <c r="G10" s="106">
        <f>0+0.19-0.17</f>
        <v>1.999999999999999E-2</v>
      </c>
      <c r="H10" s="106">
        <f>0.18-0.07</f>
        <v>0.10999999999999999</v>
      </c>
      <c r="I10" s="300" t="s">
        <v>97</v>
      </c>
    </row>
    <row r="11" spans="1:11" ht="112.5" customHeight="1" x14ac:dyDescent="0.2">
      <c r="A11" s="101">
        <v>6</v>
      </c>
      <c r="B11" s="50" t="s">
        <v>382</v>
      </c>
      <c r="C11" s="101" t="s">
        <v>109</v>
      </c>
      <c r="D11" s="101" t="s">
        <v>97</v>
      </c>
      <c r="E11" s="103">
        <v>0.1</v>
      </c>
      <c r="F11" s="106">
        <v>0.05</v>
      </c>
      <c r="G11" s="106">
        <f>100/868.09*1.96</f>
        <v>0.22578304092893592</v>
      </c>
      <c r="H11" s="101" t="s">
        <v>97</v>
      </c>
      <c r="I11" s="101" t="s">
        <v>97</v>
      </c>
    </row>
    <row r="12" spans="1:11" ht="112.5" customHeight="1" x14ac:dyDescent="0.2">
      <c r="A12" s="101">
        <v>7</v>
      </c>
      <c r="B12" s="50" t="s">
        <v>383</v>
      </c>
      <c r="C12" s="101" t="s">
        <v>109</v>
      </c>
      <c r="D12" s="101" t="s">
        <v>97</v>
      </c>
      <c r="E12" s="103">
        <v>0.05</v>
      </c>
      <c r="F12" s="106">
        <f>1.41-0.92</f>
        <v>0.48999999999999988</v>
      </c>
      <c r="G12" s="106" t="s">
        <v>97</v>
      </c>
      <c r="H12" s="103">
        <v>0.49</v>
      </c>
      <c r="I12" s="299">
        <v>0.49</v>
      </c>
    </row>
    <row r="13" spans="1:11" ht="146.25" customHeight="1" x14ac:dyDescent="0.2">
      <c r="A13" s="101">
        <v>8</v>
      </c>
      <c r="B13" s="50" t="s">
        <v>169</v>
      </c>
      <c r="C13" s="101" t="s">
        <v>109</v>
      </c>
      <c r="D13" s="101">
        <v>43.8</v>
      </c>
      <c r="E13" s="101">
        <v>3</v>
      </c>
      <c r="F13" s="107">
        <v>0.61</v>
      </c>
      <c r="G13" s="107">
        <f>2.34-0.17-0.18</f>
        <v>1.99</v>
      </c>
      <c r="H13" s="101">
        <f>2.16-0.29-0.12</f>
        <v>1.75</v>
      </c>
      <c r="I13" s="296">
        <f>0.78</f>
        <v>0.78</v>
      </c>
    </row>
    <row r="14" spans="1:11" ht="36" customHeight="1" x14ac:dyDescent="0.2">
      <c r="A14" s="101">
        <v>9</v>
      </c>
      <c r="B14" s="50" t="s">
        <v>170</v>
      </c>
      <c r="C14" s="101" t="s">
        <v>109</v>
      </c>
      <c r="D14" s="101">
        <v>40</v>
      </c>
      <c r="E14" s="101">
        <v>45</v>
      </c>
      <c r="F14" s="101">
        <v>49</v>
      </c>
      <c r="G14" s="101">
        <v>50</v>
      </c>
      <c r="H14" s="101">
        <v>55</v>
      </c>
      <c r="I14" s="101">
        <v>60</v>
      </c>
    </row>
    <row r="15" spans="1:11" ht="48.75" customHeight="1" x14ac:dyDescent="0.2">
      <c r="A15" s="101">
        <v>10</v>
      </c>
      <c r="B15" s="50" t="s">
        <v>175</v>
      </c>
      <c r="C15" s="101" t="s">
        <v>109</v>
      </c>
      <c r="D15" s="101">
        <v>20.5</v>
      </c>
      <c r="E15" s="101">
        <v>38.700000000000003</v>
      </c>
      <c r="F15" s="101">
        <v>18.8</v>
      </c>
      <c r="G15" s="101">
        <f>24.2+4.7-3.6</f>
        <v>25.299999999999997</v>
      </c>
      <c r="H15" s="101">
        <f>24.2+4.7</f>
        <v>28.9</v>
      </c>
      <c r="I15" s="296">
        <v>38.200000000000003</v>
      </c>
    </row>
    <row r="16" spans="1:11" ht="41.25" customHeight="1" x14ac:dyDescent="0.2">
      <c r="A16" s="101">
        <v>11</v>
      </c>
      <c r="B16" s="50" t="s">
        <v>176</v>
      </c>
      <c r="C16" s="101" t="s">
        <v>109</v>
      </c>
      <c r="D16" s="101">
        <v>77.5</v>
      </c>
      <c r="E16" s="101">
        <v>50.6</v>
      </c>
      <c r="F16" s="101">
        <v>54.8</v>
      </c>
      <c r="G16" s="101">
        <f>54.8+2.6</f>
        <v>57.4</v>
      </c>
      <c r="H16" s="101">
        <f>54.8+2.6</f>
        <v>57.4</v>
      </c>
      <c r="I16" s="296">
        <v>13.7</v>
      </c>
    </row>
    <row r="17" spans="1:9" ht="59.25" customHeight="1" x14ac:dyDescent="0.2">
      <c r="A17" s="101">
        <v>12</v>
      </c>
      <c r="B17" s="50" t="s">
        <v>1403</v>
      </c>
      <c r="C17" s="101" t="s">
        <v>109</v>
      </c>
      <c r="D17" s="101">
        <v>90.1</v>
      </c>
      <c r="E17" s="102">
        <v>94</v>
      </c>
      <c r="F17" s="102">
        <v>95.1</v>
      </c>
      <c r="G17" s="102">
        <f>95.4+0.4-0.2</f>
        <v>95.600000000000009</v>
      </c>
      <c r="H17" s="102">
        <f>95.4+0.4</f>
        <v>95.800000000000011</v>
      </c>
      <c r="I17" s="295">
        <v>96.9</v>
      </c>
    </row>
    <row r="18" spans="1:9" ht="42" customHeight="1" x14ac:dyDescent="0.2">
      <c r="A18" s="101">
        <v>13</v>
      </c>
      <c r="B18" s="50" t="s">
        <v>177</v>
      </c>
      <c r="C18" s="101" t="s">
        <v>109</v>
      </c>
      <c r="D18" s="101">
        <v>81.3</v>
      </c>
      <c r="E18" s="101">
        <v>82.3</v>
      </c>
      <c r="F18" s="102">
        <v>89</v>
      </c>
      <c r="G18" s="102">
        <f>89+2.2</f>
        <v>91.2</v>
      </c>
      <c r="H18" s="102">
        <f>89+2.2</f>
        <v>91.2</v>
      </c>
      <c r="I18" s="297">
        <v>98</v>
      </c>
    </row>
    <row r="19" spans="1:9" ht="13.5" x14ac:dyDescent="0.25">
      <c r="A19" s="361" t="s">
        <v>419</v>
      </c>
      <c r="B19" s="362"/>
      <c r="C19" s="362"/>
      <c r="D19" s="362"/>
      <c r="E19" s="362"/>
      <c r="F19" s="362"/>
      <c r="G19" s="362"/>
      <c r="H19" s="362"/>
      <c r="I19" s="362"/>
    </row>
    <row r="20" spans="1:9" ht="39.75" customHeight="1" x14ac:dyDescent="0.2">
      <c r="A20" s="101">
        <v>14</v>
      </c>
      <c r="B20" s="92" t="s">
        <v>174</v>
      </c>
      <c r="C20" s="101" t="s">
        <v>1363</v>
      </c>
      <c r="D20" s="102">
        <v>1115.1470999999999</v>
      </c>
      <c r="E20" s="101">
        <v>1115.5</v>
      </c>
      <c r="F20" s="102">
        <v>1115.75</v>
      </c>
      <c r="G20" s="102">
        <v>1116</v>
      </c>
      <c r="H20" s="102">
        <v>1116.25</v>
      </c>
      <c r="I20" s="101">
        <v>1116.5</v>
      </c>
    </row>
    <row r="21" spans="1:9" ht="29.25" customHeight="1" x14ac:dyDescent="0.25">
      <c r="A21" s="358" t="s">
        <v>418</v>
      </c>
      <c r="B21" s="359"/>
      <c r="C21" s="359"/>
      <c r="D21" s="359"/>
      <c r="E21" s="359"/>
      <c r="F21" s="359"/>
      <c r="G21" s="359"/>
      <c r="H21" s="359"/>
      <c r="I21" s="360"/>
    </row>
    <row r="22" spans="1:9" ht="49.5" customHeight="1" x14ac:dyDescent="0.2">
      <c r="A22" s="101">
        <v>15</v>
      </c>
      <c r="B22" s="50" t="s">
        <v>180</v>
      </c>
      <c r="C22" s="101" t="s">
        <v>109</v>
      </c>
      <c r="D22" s="102" t="s">
        <v>97</v>
      </c>
      <c r="E22" s="102">
        <v>74.66</v>
      </c>
      <c r="F22" s="102">
        <f>80.1+0.6</f>
        <v>80.699999999999989</v>
      </c>
      <c r="G22" s="300">
        <f>84.14+0.22-0.22</f>
        <v>84.14</v>
      </c>
      <c r="H22" s="102">
        <v>92.3</v>
      </c>
      <c r="I22" s="102">
        <v>87</v>
      </c>
    </row>
    <row r="23" spans="1:9" ht="55.5" customHeight="1" x14ac:dyDescent="0.2">
      <c r="A23" s="101">
        <v>16</v>
      </c>
      <c r="B23" s="50" t="s">
        <v>621</v>
      </c>
      <c r="C23" s="101" t="s">
        <v>109</v>
      </c>
      <c r="D23" s="101" t="s">
        <v>97</v>
      </c>
      <c r="E23" s="301">
        <v>10</v>
      </c>
      <c r="F23" s="301">
        <v>20</v>
      </c>
      <c r="G23" s="301">
        <v>30</v>
      </c>
      <c r="H23" s="301">
        <v>100</v>
      </c>
      <c r="I23" s="301" t="s">
        <v>97</v>
      </c>
    </row>
    <row r="24" spans="1:9" ht="49.5" customHeight="1" x14ac:dyDescent="0.2">
      <c r="A24" s="101">
        <v>17</v>
      </c>
      <c r="B24" s="50" t="s">
        <v>331</v>
      </c>
      <c r="C24" s="101" t="s">
        <v>109</v>
      </c>
      <c r="D24" s="101" t="s">
        <v>97</v>
      </c>
      <c r="E24" s="301">
        <v>62</v>
      </c>
      <c r="F24" s="301">
        <v>64</v>
      </c>
      <c r="G24" s="301">
        <v>66</v>
      </c>
      <c r="H24" s="301">
        <v>100</v>
      </c>
      <c r="I24" s="301" t="s">
        <v>97</v>
      </c>
    </row>
    <row r="25" spans="1:9" ht="46.5" customHeight="1" x14ac:dyDescent="0.2">
      <c r="A25" s="101">
        <v>18</v>
      </c>
      <c r="B25" s="50" t="s">
        <v>622</v>
      </c>
      <c r="C25" s="101" t="s">
        <v>109</v>
      </c>
      <c r="D25" s="101" t="s">
        <v>97</v>
      </c>
      <c r="E25" s="301" t="s">
        <v>97</v>
      </c>
      <c r="F25" s="301" t="s">
        <v>97</v>
      </c>
      <c r="G25" s="301" t="s">
        <v>97</v>
      </c>
      <c r="H25" s="301">
        <v>2.67</v>
      </c>
      <c r="I25" s="301" t="s">
        <v>97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3"/>
  <sheetViews>
    <sheetView view="pageBreakPreview" topLeftCell="A253" zoomScale="60" zoomScaleNormal="50" workbookViewId="0">
      <selection activeCell="AG224" sqref="AG224"/>
    </sheetView>
  </sheetViews>
  <sheetFormatPr defaultColWidth="9.140625" defaultRowHeight="42" customHeight="1" outlineLevelCol="2" x14ac:dyDescent="0.2"/>
  <cols>
    <col min="1" max="1" width="7.85546875" style="28" customWidth="1"/>
    <col min="2" max="2" width="110.7109375" style="32" customWidth="1"/>
    <col min="3" max="3" width="11.140625" style="33" customWidth="1"/>
    <col min="4" max="4" width="16.5703125" style="28" customWidth="1"/>
    <col min="5" max="5" width="10.42578125" style="28" hidden="1" customWidth="1" outlineLevel="1"/>
    <col min="6" max="6" width="11.7109375" style="28" hidden="1" customWidth="1" outlineLevel="1"/>
    <col min="7" max="7" width="13" style="28" hidden="1" customWidth="1" outlineLevel="1"/>
    <col min="8" max="8" width="10.85546875" style="33" customWidth="1" collapsed="1"/>
    <col min="9" max="9" width="15.42578125" style="28" customWidth="1"/>
    <col min="10" max="10" width="10.140625" style="28" hidden="1" customWidth="1" outlineLevel="2"/>
    <col min="11" max="11" width="12.42578125" style="28" hidden="1" customWidth="1" outlineLevel="2"/>
    <col min="12" max="12" width="0.140625" style="28" customWidth="1" outlineLevel="2"/>
    <col min="13" max="13" width="10.7109375" style="33" customWidth="1"/>
    <col min="14" max="14" width="16.7109375" style="28" customWidth="1"/>
    <col min="15" max="15" width="10.28515625" style="28" hidden="1" customWidth="1" outlineLevel="1"/>
    <col min="16" max="16" width="12.5703125" style="28" hidden="1" customWidth="1" outlineLevel="1"/>
    <col min="17" max="17" width="2.140625" style="28" hidden="1" customWidth="1" outlineLevel="1"/>
    <col min="18" max="18" width="12.85546875" style="33" customWidth="1" collapsed="1"/>
    <col min="19" max="19" width="16.85546875" style="28" customWidth="1"/>
    <col min="20" max="20" width="9.5703125" style="28" hidden="1" customWidth="1" outlineLevel="1"/>
    <col min="21" max="21" width="11.28515625" style="28" hidden="1" customWidth="1" outlineLevel="1"/>
    <col min="22" max="22" width="13" style="28" hidden="1" customWidth="1" outlineLevel="1"/>
    <col min="23" max="23" width="12.5703125" style="33" customWidth="1" collapsed="1"/>
    <col min="24" max="24" width="15.85546875" style="28" customWidth="1"/>
    <col min="25" max="25" width="10.42578125" style="28" hidden="1" customWidth="1" outlineLevel="1"/>
    <col min="26" max="26" width="11.42578125" style="28" hidden="1" customWidth="1" outlineLevel="1"/>
    <col min="27" max="27" width="14" style="28" hidden="1" customWidth="1" outlineLevel="1"/>
    <col min="28" max="28" width="11.5703125" style="43" customWidth="1" collapsed="1"/>
    <col min="29" max="29" width="14.5703125" style="28" bestFit="1" customWidth="1"/>
    <col min="30" max="30" width="11" style="28" bestFit="1" customWidth="1"/>
    <col min="31" max="16384" width="9.140625" style="28"/>
  </cols>
  <sheetData>
    <row r="1" spans="1:30" ht="80.25" customHeight="1" x14ac:dyDescent="0.25">
      <c r="S1" s="108"/>
      <c r="T1" s="108" t="s">
        <v>208</v>
      </c>
      <c r="U1" s="108" t="s">
        <v>208</v>
      </c>
      <c r="V1" s="108" t="s">
        <v>208</v>
      </c>
      <c r="W1" s="409" t="s">
        <v>1377</v>
      </c>
      <c r="X1" s="409"/>
      <c r="Y1" s="409"/>
      <c r="Z1" s="409"/>
      <c r="AA1" s="409"/>
      <c r="AB1" s="409"/>
    </row>
    <row r="2" spans="1:30" s="34" customFormat="1" ht="118.5" customHeight="1" x14ac:dyDescent="0.25">
      <c r="A2" s="109"/>
      <c r="B2" s="109"/>
      <c r="C2" s="110"/>
      <c r="H2" s="111"/>
      <c r="I2" s="35"/>
      <c r="J2" s="35"/>
      <c r="K2" s="35"/>
      <c r="L2" s="35"/>
      <c r="M2" s="28"/>
      <c r="N2" s="28"/>
      <c r="O2" s="112"/>
      <c r="P2" s="28"/>
      <c r="Q2" s="28"/>
      <c r="R2" s="28"/>
      <c r="S2" s="113"/>
      <c r="T2" s="113" t="s">
        <v>130</v>
      </c>
      <c r="U2" s="113" t="s">
        <v>130</v>
      </c>
      <c r="V2" s="113" t="s">
        <v>130</v>
      </c>
      <c r="W2" s="410" t="s">
        <v>388</v>
      </c>
      <c r="X2" s="410"/>
      <c r="Y2" s="410"/>
      <c r="Z2" s="410"/>
      <c r="AA2" s="410"/>
      <c r="AB2" s="410"/>
    </row>
    <row r="3" spans="1:30" ht="55.5" customHeight="1" x14ac:dyDescent="0.35">
      <c r="A3" s="45"/>
      <c r="B3" s="411" t="s">
        <v>1424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</row>
    <row r="4" spans="1:30" ht="27.6" customHeight="1" x14ac:dyDescent="0.2">
      <c r="A4" s="404" t="s">
        <v>68</v>
      </c>
      <c r="B4" s="405" t="s">
        <v>90</v>
      </c>
      <c r="C4" s="407" t="s">
        <v>89</v>
      </c>
      <c r="D4" s="407"/>
      <c r="E4" s="407"/>
      <c r="F4" s="407"/>
      <c r="G4" s="407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13" t="s">
        <v>64</v>
      </c>
    </row>
    <row r="5" spans="1:30" ht="27.6" customHeight="1" x14ac:dyDescent="0.2">
      <c r="A5" s="404"/>
      <c r="B5" s="406"/>
      <c r="C5" s="400" t="s">
        <v>63</v>
      </c>
      <c r="D5" s="400"/>
      <c r="E5" s="400"/>
      <c r="F5" s="400"/>
      <c r="G5" s="400"/>
      <c r="H5" s="400" t="s">
        <v>62</v>
      </c>
      <c r="I5" s="400"/>
      <c r="J5" s="400"/>
      <c r="K5" s="400"/>
      <c r="L5" s="400"/>
      <c r="M5" s="400" t="s">
        <v>61</v>
      </c>
      <c r="N5" s="400"/>
      <c r="O5" s="400"/>
      <c r="P5" s="400"/>
      <c r="Q5" s="400"/>
      <c r="R5" s="400" t="s">
        <v>60</v>
      </c>
      <c r="S5" s="400"/>
      <c r="T5" s="400"/>
      <c r="U5" s="400"/>
      <c r="V5" s="400"/>
      <c r="W5" s="400" t="s">
        <v>59</v>
      </c>
      <c r="X5" s="400"/>
      <c r="Y5" s="400"/>
      <c r="Z5" s="400"/>
      <c r="AA5" s="400"/>
      <c r="AB5" s="413"/>
    </row>
    <row r="6" spans="1:30" ht="24.6" customHeight="1" x14ac:dyDescent="0.2">
      <c r="A6" s="404"/>
      <c r="B6" s="406"/>
      <c r="C6" s="46" t="s">
        <v>58</v>
      </c>
      <c r="D6" s="338" t="s">
        <v>87</v>
      </c>
      <c r="E6" s="338" t="s">
        <v>57</v>
      </c>
      <c r="F6" s="338" t="s">
        <v>56</v>
      </c>
      <c r="G6" s="338" t="s">
        <v>55</v>
      </c>
      <c r="H6" s="46" t="s">
        <v>58</v>
      </c>
      <c r="I6" s="338" t="s">
        <v>87</v>
      </c>
      <c r="J6" s="338" t="s">
        <v>57</v>
      </c>
      <c r="K6" s="338" t="s">
        <v>56</v>
      </c>
      <c r="L6" s="338" t="s">
        <v>55</v>
      </c>
      <c r="M6" s="46" t="s">
        <v>58</v>
      </c>
      <c r="N6" s="338" t="s">
        <v>87</v>
      </c>
      <c r="O6" s="338" t="s">
        <v>57</v>
      </c>
      <c r="P6" s="338" t="s">
        <v>56</v>
      </c>
      <c r="Q6" s="338" t="s">
        <v>55</v>
      </c>
      <c r="R6" s="46" t="s">
        <v>58</v>
      </c>
      <c r="S6" s="338" t="s">
        <v>87</v>
      </c>
      <c r="T6" s="338" t="s">
        <v>57</v>
      </c>
      <c r="U6" s="338" t="s">
        <v>56</v>
      </c>
      <c r="V6" s="338" t="s">
        <v>55</v>
      </c>
      <c r="W6" s="46" t="s">
        <v>58</v>
      </c>
      <c r="X6" s="338" t="s">
        <v>87</v>
      </c>
      <c r="Y6" s="338" t="s">
        <v>57</v>
      </c>
      <c r="Z6" s="338" t="s">
        <v>56</v>
      </c>
      <c r="AA6" s="338" t="s">
        <v>55</v>
      </c>
      <c r="AB6" s="413"/>
    </row>
    <row r="7" spans="1:30" s="36" customFormat="1" ht="21.6" customHeight="1" x14ac:dyDescent="0.2">
      <c r="A7" s="114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4">
        <v>7</v>
      </c>
      <c r="H7" s="114">
        <v>5</v>
      </c>
      <c r="I7" s="114">
        <v>6</v>
      </c>
      <c r="J7" s="114">
        <v>10</v>
      </c>
      <c r="K7" s="114">
        <v>11</v>
      </c>
      <c r="L7" s="114">
        <v>12</v>
      </c>
      <c r="M7" s="114">
        <v>7</v>
      </c>
      <c r="N7" s="114">
        <v>8</v>
      </c>
      <c r="O7" s="114">
        <v>15</v>
      </c>
      <c r="P7" s="114">
        <v>16</v>
      </c>
      <c r="Q7" s="114">
        <v>17</v>
      </c>
      <c r="R7" s="114">
        <v>9</v>
      </c>
      <c r="S7" s="114">
        <v>10</v>
      </c>
      <c r="T7" s="114">
        <v>20</v>
      </c>
      <c r="U7" s="114">
        <v>21</v>
      </c>
      <c r="V7" s="114">
        <v>22</v>
      </c>
      <c r="W7" s="114">
        <v>11</v>
      </c>
      <c r="X7" s="114">
        <v>12</v>
      </c>
      <c r="Y7" s="114">
        <v>25</v>
      </c>
      <c r="Z7" s="114">
        <v>26</v>
      </c>
      <c r="AA7" s="114">
        <v>27</v>
      </c>
      <c r="AB7" s="114">
        <v>13</v>
      </c>
    </row>
    <row r="8" spans="1:30" s="36" customFormat="1" ht="29.25" customHeight="1" x14ac:dyDescent="0.2">
      <c r="A8" s="401" t="s">
        <v>647</v>
      </c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3"/>
      <c r="AC8" s="37"/>
      <c r="AD8" s="37"/>
    </row>
    <row r="9" spans="1:30" s="36" customFormat="1" ht="34.5" customHeight="1" x14ac:dyDescent="0.2">
      <c r="A9" s="332" t="s">
        <v>1</v>
      </c>
      <c r="B9" s="414" t="s">
        <v>432</v>
      </c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38"/>
      <c r="AD9" s="39"/>
    </row>
    <row r="10" spans="1:30" s="40" customFormat="1" ht="13.9" customHeight="1" x14ac:dyDescent="0.2">
      <c r="A10" s="386" t="s">
        <v>7</v>
      </c>
      <c r="B10" s="115" t="s">
        <v>345</v>
      </c>
      <c r="C10" s="370">
        <f>D10+E10+F10+G10</f>
        <v>67429</v>
      </c>
      <c r="D10" s="373">
        <v>67429</v>
      </c>
      <c r="E10" s="320">
        <v>0</v>
      </c>
      <c r="F10" s="320">
        <v>0</v>
      </c>
      <c r="G10" s="320">
        <v>0</v>
      </c>
      <c r="H10" s="370">
        <f>I10+J10+K10+L10</f>
        <v>19781</v>
      </c>
      <c r="I10" s="373">
        <f>6885+12896</f>
        <v>19781</v>
      </c>
      <c r="J10" s="320">
        <v>0</v>
      </c>
      <c r="K10" s="320">
        <v>0</v>
      </c>
      <c r="L10" s="320">
        <v>0</v>
      </c>
      <c r="M10" s="370">
        <f>N10</f>
        <v>757</v>
      </c>
      <c r="N10" s="373">
        <f>30758-12896-17501-30+426</f>
        <v>757</v>
      </c>
      <c r="O10" s="327">
        <v>0</v>
      </c>
      <c r="P10" s="327">
        <v>0</v>
      </c>
      <c r="Q10" s="327">
        <v>0</v>
      </c>
      <c r="R10" s="370">
        <f>S10</f>
        <v>20213</v>
      </c>
      <c r="S10" s="373">
        <f>30758-22399-1128-23+13546-541</f>
        <v>20213</v>
      </c>
      <c r="T10" s="320">
        <v>0</v>
      </c>
      <c r="U10" s="320">
        <v>0</v>
      </c>
      <c r="V10" s="320">
        <v>0</v>
      </c>
      <c r="W10" s="370">
        <f>X10</f>
        <v>80060</v>
      </c>
      <c r="X10" s="373">
        <f>34182+3431+38092+4355</f>
        <v>80060</v>
      </c>
      <c r="Y10" s="320">
        <v>0</v>
      </c>
      <c r="Z10" s="320">
        <v>0</v>
      </c>
      <c r="AA10" s="320">
        <v>0</v>
      </c>
      <c r="AB10" s="370">
        <f>C10+H10+M10+R10+W10</f>
        <v>188240</v>
      </c>
    </row>
    <row r="11" spans="1:30" s="40" customFormat="1" ht="15.75" customHeight="1" x14ac:dyDescent="0.2">
      <c r="A11" s="386"/>
      <c r="B11" s="116" t="s">
        <v>138</v>
      </c>
      <c r="C11" s="371"/>
      <c r="D11" s="372"/>
      <c r="E11" s="320"/>
      <c r="F11" s="320"/>
      <c r="G11" s="320"/>
      <c r="H11" s="371"/>
      <c r="I11" s="372"/>
      <c r="J11" s="320"/>
      <c r="K11" s="320"/>
      <c r="L11" s="320"/>
      <c r="M11" s="371"/>
      <c r="N11" s="372"/>
      <c r="O11" s="327"/>
      <c r="P11" s="327"/>
      <c r="Q11" s="327"/>
      <c r="R11" s="371"/>
      <c r="S11" s="372">
        <f t="shared" ref="S11:S32" si="0">30758-22399</f>
        <v>8359</v>
      </c>
      <c r="T11" s="320"/>
      <c r="U11" s="320"/>
      <c r="V11" s="320"/>
      <c r="W11" s="371"/>
      <c r="X11" s="372">
        <v>34182</v>
      </c>
      <c r="Y11" s="320"/>
      <c r="Z11" s="320"/>
      <c r="AA11" s="320"/>
      <c r="AB11" s="371"/>
    </row>
    <row r="12" spans="1:30" s="40" customFormat="1" ht="13.9" customHeight="1" x14ac:dyDescent="0.2">
      <c r="A12" s="386"/>
      <c r="B12" s="117" t="s">
        <v>140</v>
      </c>
      <c r="C12" s="371"/>
      <c r="D12" s="372"/>
      <c r="E12" s="320"/>
      <c r="F12" s="320"/>
      <c r="G12" s="320"/>
      <c r="H12" s="371"/>
      <c r="I12" s="372"/>
      <c r="J12" s="320"/>
      <c r="K12" s="320"/>
      <c r="L12" s="320"/>
      <c r="M12" s="371"/>
      <c r="N12" s="372"/>
      <c r="O12" s="327"/>
      <c r="P12" s="327"/>
      <c r="Q12" s="327"/>
      <c r="R12" s="371"/>
      <c r="S12" s="372">
        <f t="shared" si="0"/>
        <v>8359</v>
      </c>
      <c r="T12" s="320"/>
      <c r="U12" s="320"/>
      <c r="V12" s="320"/>
      <c r="W12" s="371"/>
      <c r="X12" s="372">
        <v>34182</v>
      </c>
      <c r="Y12" s="320"/>
      <c r="Z12" s="320"/>
      <c r="AA12" s="320"/>
      <c r="AB12" s="371"/>
    </row>
    <row r="13" spans="1:30" s="40" customFormat="1" ht="13.9" customHeight="1" x14ac:dyDescent="0.2">
      <c r="A13" s="386"/>
      <c r="B13" s="117" t="s">
        <v>141</v>
      </c>
      <c r="C13" s="371"/>
      <c r="D13" s="372"/>
      <c r="E13" s="320"/>
      <c r="F13" s="320"/>
      <c r="G13" s="320"/>
      <c r="H13" s="371"/>
      <c r="I13" s="372"/>
      <c r="J13" s="320"/>
      <c r="K13" s="320"/>
      <c r="L13" s="320"/>
      <c r="M13" s="371"/>
      <c r="N13" s="372"/>
      <c r="O13" s="327"/>
      <c r="P13" s="327"/>
      <c r="Q13" s="327"/>
      <c r="R13" s="371"/>
      <c r="S13" s="372">
        <f t="shared" si="0"/>
        <v>8359</v>
      </c>
      <c r="T13" s="320"/>
      <c r="U13" s="320"/>
      <c r="V13" s="320"/>
      <c r="W13" s="371"/>
      <c r="X13" s="372">
        <v>34182</v>
      </c>
      <c r="Y13" s="320"/>
      <c r="Z13" s="320"/>
      <c r="AA13" s="320"/>
      <c r="AB13" s="371"/>
    </row>
    <row r="14" spans="1:30" s="40" customFormat="1" ht="13.9" customHeight="1" x14ac:dyDescent="0.2">
      <c r="A14" s="386"/>
      <c r="B14" s="117" t="s">
        <v>142</v>
      </c>
      <c r="C14" s="371"/>
      <c r="D14" s="372"/>
      <c r="E14" s="320"/>
      <c r="F14" s="320"/>
      <c r="G14" s="320"/>
      <c r="H14" s="371"/>
      <c r="I14" s="372"/>
      <c r="J14" s="320"/>
      <c r="K14" s="320"/>
      <c r="L14" s="320"/>
      <c r="M14" s="371"/>
      <c r="N14" s="372"/>
      <c r="O14" s="327"/>
      <c r="P14" s="327"/>
      <c r="Q14" s="327"/>
      <c r="R14" s="371"/>
      <c r="S14" s="372">
        <f t="shared" si="0"/>
        <v>8359</v>
      </c>
      <c r="T14" s="320"/>
      <c r="U14" s="320"/>
      <c r="V14" s="320"/>
      <c r="W14" s="371"/>
      <c r="X14" s="372">
        <v>34182</v>
      </c>
      <c r="Y14" s="320"/>
      <c r="Z14" s="320"/>
      <c r="AA14" s="320"/>
      <c r="AB14" s="371"/>
    </row>
    <row r="15" spans="1:30" s="40" customFormat="1" ht="13.9" customHeight="1" x14ac:dyDescent="0.2">
      <c r="A15" s="386"/>
      <c r="B15" s="117" t="s">
        <v>143</v>
      </c>
      <c r="C15" s="371"/>
      <c r="D15" s="372"/>
      <c r="E15" s="320"/>
      <c r="F15" s="320"/>
      <c r="G15" s="320"/>
      <c r="H15" s="371"/>
      <c r="I15" s="372"/>
      <c r="J15" s="320"/>
      <c r="K15" s="320"/>
      <c r="L15" s="320"/>
      <c r="M15" s="371"/>
      <c r="N15" s="372"/>
      <c r="O15" s="327"/>
      <c r="P15" s="327"/>
      <c r="Q15" s="327"/>
      <c r="R15" s="371"/>
      <c r="S15" s="372">
        <f t="shared" si="0"/>
        <v>8359</v>
      </c>
      <c r="T15" s="320"/>
      <c r="U15" s="320"/>
      <c r="V15" s="320"/>
      <c r="W15" s="371"/>
      <c r="X15" s="372">
        <v>34182</v>
      </c>
      <c r="Y15" s="320"/>
      <c r="Z15" s="320"/>
      <c r="AA15" s="320"/>
      <c r="AB15" s="371"/>
    </row>
    <row r="16" spans="1:30" s="40" customFormat="1" ht="13.9" customHeight="1" x14ac:dyDescent="0.2">
      <c r="A16" s="386"/>
      <c r="B16" s="117" t="s">
        <v>648</v>
      </c>
      <c r="C16" s="371"/>
      <c r="D16" s="372"/>
      <c r="E16" s="320"/>
      <c r="F16" s="320"/>
      <c r="G16" s="320"/>
      <c r="H16" s="371"/>
      <c r="I16" s="372"/>
      <c r="J16" s="320"/>
      <c r="K16" s="320"/>
      <c r="L16" s="320"/>
      <c r="M16" s="371"/>
      <c r="N16" s="372"/>
      <c r="O16" s="327"/>
      <c r="P16" s="327"/>
      <c r="Q16" s="327"/>
      <c r="R16" s="371"/>
      <c r="S16" s="372">
        <f t="shared" si="0"/>
        <v>8359</v>
      </c>
      <c r="T16" s="320"/>
      <c r="U16" s="320"/>
      <c r="V16" s="320"/>
      <c r="W16" s="371"/>
      <c r="X16" s="372">
        <v>34182</v>
      </c>
      <c r="Y16" s="320"/>
      <c r="Z16" s="320"/>
      <c r="AA16" s="320"/>
      <c r="AB16" s="371"/>
    </row>
    <row r="17" spans="1:28" s="40" customFormat="1" ht="13.9" customHeight="1" x14ac:dyDescent="0.2">
      <c r="A17" s="386"/>
      <c r="B17" s="117" t="s">
        <v>191</v>
      </c>
      <c r="C17" s="371"/>
      <c r="D17" s="372"/>
      <c r="E17" s="320"/>
      <c r="F17" s="320"/>
      <c r="G17" s="320"/>
      <c r="H17" s="371"/>
      <c r="I17" s="372"/>
      <c r="J17" s="320"/>
      <c r="K17" s="320"/>
      <c r="L17" s="320"/>
      <c r="M17" s="371"/>
      <c r="N17" s="372"/>
      <c r="O17" s="327"/>
      <c r="P17" s="327"/>
      <c r="Q17" s="327"/>
      <c r="R17" s="371"/>
      <c r="S17" s="372">
        <f t="shared" si="0"/>
        <v>8359</v>
      </c>
      <c r="T17" s="320"/>
      <c r="U17" s="320"/>
      <c r="V17" s="320"/>
      <c r="W17" s="371"/>
      <c r="X17" s="372">
        <v>34182</v>
      </c>
      <c r="Y17" s="320"/>
      <c r="Z17" s="320"/>
      <c r="AA17" s="320"/>
      <c r="AB17" s="371"/>
    </row>
    <row r="18" spans="1:28" s="40" customFormat="1" ht="15.75" customHeight="1" x14ac:dyDescent="0.2">
      <c r="A18" s="386"/>
      <c r="B18" s="116" t="s">
        <v>139</v>
      </c>
      <c r="C18" s="371"/>
      <c r="D18" s="372"/>
      <c r="E18" s="320"/>
      <c r="F18" s="320"/>
      <c r="G18" s="320"/>
      <c r="H18" s="371"/>
      <c r="I18" s="372"/>
      <c r="J18" s="320"/>
      <c r="K18" s="320"/>
      <c r="L18" s="320"/>
      <c r="M18" s="371"/>
      <c r="N18" s="372"/>
      <c r="O18" s="327"/>
      <c r="P18" s="327"/>
      <c r="Q18" s="327"/>
      <c r="R18" s="371"/>
      <c r="S18" s="372">
        <f t="shared" si="0"/>
        <v>8359</v>
      </c>
      <c r="T18" s="320"/>
      <c r="U18" s="320"/>
      <c r="V18" s="320"/>
      <c r="W18" s="371"/>
      <c r="X18" s="372">
        <v>34182</v>
      </c>
      <c r="Y18" s="320"/>
      <c r="Z18" s="320"/>
      <c r="AA18" s="320"/>
      <c r="AB18" s="371"/>
    </row>
    <row r="19" spans="1:28" s="40" customFormat="1" ht="17.25" customHeight="1" x14ac:dyDescent="0.2">
      <c r="A19" s="386"/>
      <c r="B19" s="118" t="s">
        <v>359</v>
      </c>
      <c r="C19" s="371"/>
      <c r="D19" s="372"/>
      <c r="E19" s="320"/>
      <c r="F19" s="320"/>
      <c r="G19" s="320"/>
      <c r="H19" s="371"/>
      <c r="I19" s="372"/>
      <c r="J19" s="320"/>
      <c r="K19" s="320"/>
      <c r="L19" s="320"/>
      <c r="M19" s="371"/>
      <c r="N19" s="372"/>
      <c r="O19" s="327"/>
      <c r="P19" s="327"/>
      <c r="Q19" s="327"/>
      <c r="R19" s="371"/>
      <c r="S19" s="372">
        <f t="shared" si="0"/>
        <v>8359</v>
      </c>
      <c r="T19" s="320"/>
      <c r="U19" s="320"/>
      <c r="V19" s="320"/>
      <c r="W19" s="371"/>
      <c r="X19" s="372">
        <v>34182</v>
      </c>
      <c r="Y19" s="320"/>
      <c r="Z19" s="320"/>
      <c r="AA19" s="320"/>
      <c r="AB19" s="371"/>
    </row>
    <row r="20" spans="1:28" s="40" customFormat="1" ht="15.75" customHeight="1" x14ac:dyDescent="0.2">
      <c r="A20" s="386"/>
      <c r="B20" s="119" t="s">
        <v>311</v>
      </c>
      <c r="C20" s="371"/>
      <c r="D20" s="372"/>
      <c r="E20" s="320"/>
      <c r="F20" s="320"/>
      <c r="G20" s="320"/>
      <c r="H20" s="371"/>
      <c r="I20" s="372"/>
      <c r="J20" s="320"/>
      <c r="K20" s="320"/>
      <c r="L20" s="320"/>
      <c r="M20" s="371"/>
      <c r="N20" s="372"/>
      <c r="O20" s="327"/>
      <c r="P20" s="327"/>
      <c r="Q20" s="327"/>
      <c r="R20" s="371"/>
      <c r="S20" s="372">
        <f t="shared" si="0"/>
        <v>8359</v>
      </c>
      <c r="T20" s="320"/>
      <c r="U20" s="320"/>
      <c r="V20" s="320"/>
      <c r="W20" s="371"/>
      <c r="X20" s="372">
        <v>34182</v>
      </c>
      <c r="Y20" s="320"/>
      <c r="Z20" s="320"/>
      <c r="AA20" s="320"/>
      <c r="AB20" s="371"/>
    </row>
    <row r="21" spans="1:28" s="40" customFormat="1" ht="15.75" customHeight="1" x14ac:dyDescent="0.2">
      <c r="A21" s="386"/>
      <c r="B21" s="118" t="s">
        <v>650</v>
      </c>
      <c r="C21" s="371"/>
      <c r="D21" s="372"/>
      <c r="E21" s="311"/>
      <c r="F21" s="311"/>
      <c r="G21" s="311"/>
      <c r="H21" s="371"/>
      <c r="I21" s="372"/>
      <c r="J21" s="311"/>
      <c r="K21" s="311"/>
      <c r="L21" s="311"/>
      <c r="M21" s="371"/>
      <c r="N21" s="372"/>
      <c r="O21" s="328"/>
      <c r="P21" s="328"/>
      <c r="Q21" s="328"/>
      <c r="R21" s="371"/>
      <c r="S21" s="372"/>
      <c r="T21" s="311"/>
      <c r="U21" s="311"/>
      <c r="V21" s="311"/>
      <c r="W21" s="371"/>
      <c r="X21" s="372"/>
      <c r="Y21" s="311"/>
      <c r="Z21" s="311"/>
      <c r="AA21" s="311"/>
      <c r="AB21" s="371"/>
    </row>
    <row r="22" spans="1:28" s="40" customFormat="1" ht="15.75" customHeight="1" x14ac:dyDescent="0.2">
      <c r="A22" s="386"/>
      <c r="B22" s="117" t="s">
        <v>367</v>
      </c>
      <c r="C22" s="371"/>
      <c r="D22" s="372"/>
      <c r="E22" s="311"/>
      <c r="F22" s="311"/>
      <c r="G22" s="311"/>
      <c r="H22" s="371"/>
      <c r="I22" s="372"/>
      <c r="J22" s="311"/>
      <c r="K22" s="311"/>
      <c r="L22" s="311"/>
      <c r="M22" s="371"/>
      <c r="N22" s="372"/>
      <c r="O22" s="328"/>
      <c r="P22" s="328"/>
      <c r="Q22" s="328"/>
      <c r="R22" s="371"/>
      <c r="S22" s="372">
        <f t="shared" si="0"/>
        <v>8359</v>
      </c>
      <c r="T22" s="311"/>
      <c r="U22" s="311"/>
      <c r="V22" s="311"/>
      <c r="W22" s="371"/>
      <c r="X22" s="372">
        <v>34182</v>
      </c>
      <c r="Y22" s="311"/>
      <c r="Z22" s="311"/>
      <c r="AA22" s="311"/>
      <c r="AB22" s="371"/>
    </row>
    <row r="23" spans="1:28" s="40" customFormat="1" ht="15.75" customHeight="1" x14ac:dyDescent="0.2">
      <c r="A23" s="386"/>
      <c r="B23" s="119" t="s">
        <v>360</v>
      </c>
      <c r="C23" s="371"/>
      <c r="D23" s="372"/>
      <c r="E23" s="311"/>
      <c r="F23" s="311"/>
      <c r="G23" s="311"/>
      <c r="H23" s="371"/>
      <c r="I23" s="372"/>
      <c r="J23" s="311"/>
      <c r="K23" s="311"/>
      <c r="L23" s="311"/>
      <c r="M23" s="371"/>
      <c r="N23" s="372"/>
      <c r="O23" s="328"/>
      <c r="P23" s="328"/>
      <c r="Q23" s="328"/>
      <c r="R23" s="371"/>
      <c r="S23" s="372">
        <f t="shared" si="0"/>
        <v>8359</v>
      </c>
      <c r="T23" s="311"/>
      <c r="U23" s="311"/>
      <c r="V23" s="311"/>
      <c r="W23" s="371"/>
      <c r="X23" s="372">
        <v>34182</v>
      </c>
      <c r="Y23" s="311"/>
      <c r="Z23" s="311"/>
      <c r="AA23" s="311"/>
      <c r="AB23" s="371"/>
    </row>
    <row r="24" spans="1:28" s="40" customFormat="1" ht="15.75" customHeight="1" x14ac:dyDescent="0.2">
      <c r="A24" s="386"/>
      <c r="B24" s="118" t="s">
        <v>620</v>
      </c>
      <c r="C24" s="371"/>
      <c r="D24" s="372"/>
      <c r="E24" s="311"/>
      <c r="F24" s="311"/>
      <c r="G24" s="311"/>
      <c r="H24" s="371"/>
      <c r="I24" s="372"/>
      <c r="J24" s="311"/>
      <c r="K24" s="311"/>
      <c r="L24" s="311"/>
      <c r="M24" s="371"/>
      <c r="N24" s="372"/>
      <c r="O24" s="328"/>
      <c r="P24" s="328"/>
      <c r="Q24" s="328"/>
      <c r="R24" s="371"/>
      <c r="S24" s="372"/>
      <c r="T24" s="311"/>
      <c r="U24" s="311"/>
      <c r="V24" s="311"/>
      <c r="W24" s="371"/>
      <c r="X24" s="372"/>
      <c r="Y24" s="311"/>
      <c r="Z24" s="311"/>
      <c r="AA24" s="311"/>
      <c r="AB24" s="371"/>
    </row>
    <row r="25" spans="1:28" s="40" customFormat="1" ht="15.75" customHeight="1" x14ac:dyDescent="0.2">
      <c r="A25" s="386"/>
      <c r="B25" s="118" t="s">
        <v>358</v>
      </c>
      <c r="C25" s="371"/>
      <c r="D25" s="372"/>
      <c r="E25" s="311"/>
      <c r="F25" s="311"/>
      <c r="G25" s="311"/>
      <c r="H25" s="371"/>
      <c r="I25" s="372"/>
      <c r="J25" s="311"/>
      <c r="K25" s="311"/>
      <c r="L25" s="311"/>
      <c r="M25" s="371"/>
      <c r="N25" s="372"/>
      <c r="O25" s="328"/>
      <c r="P25" s="328"/>
      <c r="Q25" s="328"/>
      <c r="R25" s="371"/>
      <c r="S25" s="372"/>
      <c r="T25" s="311"/>
      <c r="U25" s="311"/>
      <c r="V25" s="311"/>
      <c r="W25" s="371"/>
      <c r="X25" s="372"/>
      <c r="Y25" s="311"/>
      <c r="Z25" s="311"/>
      <c r="AA25" s="311"/>
      <c r="AB25" s="371"/>
    </row>
    <row r="26" spans="1:28" s="40" customFormat="1" ht="15.75" customHeight="1" x14ac:dyDescent="0.2">
      <c r="A26" s="386"/>
      <c r="B26" s="117" t="s">
        <v>649</v>
      </c>
      <c r="C26" s="371"/>
      <c r="D26" s="372"/>
      <c r="E26" s="311"/>
      <c r="F26" s="311"/>
      <c r="G26" s="311"/>
      <c r="H26" s="371"/>
      <c r="I26" s="372"/>
      <c r="J26" s="311"/>
      <c r="K26" s="311"/>
      <c r="L26" s="311"/>
      <c r="M26" s="371"/>
      <c r="N26" s="372"/>
      <c r="O26" s="328"/>
      <c r="P26" s="328"/>
      <c r="Q26" s="328"/>
      <c r="R26" s="371"/>
      <c r="S26" s="372"/>
      <c r="T26" s="311"/>
      <c r="U26" s="311"/>
      <c r="V26" s="311"/>
      <c r="W26" s="371"/>
      <c r="X26" s="372"/>
      <c r="Y26" s="311"/>
      <c r="Z26" s="311"/>
      <c r="AA26" s="311"/>
      <c r="AB26" s="371"/>
    </row>
    <row r="27" spans="1:28" s="40" customFormat="1" ht="15.75" customHeight="1" x14ac:dyDescent="0.2">
      <c r="A27" s="386"/>
      <c r="B27" s="119" t="s">
        <v>397</v>
      </c>
      <c r="C27" s="371"/>
      <c r="D27" s="372"/>
      <c r="E27" s="311"/>
      <c r="F27" s="311"/>
      <c r="G27" s="311"/>
      <c r="H27" s="371"/>
      <c r="I27" s="372"/>
      <c r="J27" s="311"/>
      <c r="K27" s="311"/>
      <c r="L27" s="311"/>
      <c r="M27" s="371"/>
      <c r="N27" s="372"/>
      <c r="O27" s="328"/>
      <c r="P27" s="328"/>
      <c r="Q27" s="328"/>
      <c r="R27" s="371"/>
      <c r="S27" s="372"/>
      <c r="T27" s="311"/>
      <c r="U27" s="311"/>
      <c r="V27" s="311"/>
      <c r="W27" s="371"/>
      <c r="X27" s="372"/>
      <c r="Y27" s="311"/>
      <c r="Z27" s="311"/>
      <c r="AA27" s="311"/>
      <c r="AB27" s="371"/>
    </row>
    <row r="28" spans="1:28" s="40" customFormat="1" ht="15.75" customHeight="1" x14ac:dyDescent="0.2">
      <c r="A28" s="386"/>
      <c r="B28" s="118" t="s">
        <v>651</v>
      </c>
      <c r="C28" s="371"/>
      <c r="D28" s="372"/>
      <c r="E28" s="311"/>
      <c r="F28" s="311"/>
      <c r="G28" s="311"/>
      <c r="H28" s="371"/>
      <c r="I28" s="372"/>
      <c r="J28" s="311"/>
      <c r="K28" s="311"/>
      <c r="L28" s="311"/>
      <c r="M28" s="371"/>
      <c r="N28" s="372"/>
      <c r="O28" s="328"/>
      <c r="P28" s="328"/>
      <c r="Q28" s="328"/>
      <c r="R28" s="371"/>
      <c r="S28" s="372"/>
      <c r="T28" s="311"/>
      <c r="U28" s="311"/>
      <c r="V28" s="311"/>
      <c r="W28" s="371"/>
      <c r="X28" s="372"/>
      <c r="Y28" s="311"/>
      <c r="Z28" s="311"/>
      <c r="AA28" s="311"/>
      <c r="AB28" s="371"/>
    </row>
    <row r="29" spans="1:28" s="40" customFormat="1" ht="15.75" customHeight="1" x14ac:dyDescent="0.2">
      <c r="A29" s="386"/>
      <c r="B29" s="118" t="s">
        <v>1499</v>
      </c>
      <c r="C29" s="371"/>
      <c r="D29" s="372"/>
      <c r="E29" s="311"/>
      <c r="F29" s="311"/>
      <c r="G29" s="311"/>
      <c r="H29" s="371"/>
      <c r="I29" s="372"/>
      <c r="J29" s="311"/>
      <c r="K29" s="311"/>
      <c r="L29" s="311"/>
      <c r="M29" s="371"/>
      <c r="N29" s="372"/>
      <c r="O29" s="328"/>
      <c r="P29" s="328"/>
      <c r="Q29" s="328"/>
      <c r="R29" s="371"/>
      <c r="S29" s="372"/>
      <c r="T29" s="311"/>
      <c r="U29" s="311"/>
      <c r="V29" s="311"/>
      <c r="W29" s="371"/>
      <c r="X29" s="372"/>
      <c r="Y29" s="311"/>
      <c r="Z29" s="311"/>
      <c r="AA29" s="311"/>
      <c r="AB29" s="371"/>
    </row>
    <row r="30" spans="1:28" s="40" customFormat="1" ht="15.75" customHeight="1" x14ac:dyDescent="0.2">
      <c r="A30" s="386"/>
      <c r="B30" s="118" t="s">
        <v>1435</v>
      </c>
      <c r="C30" s="371"/>
      <c r="D30" s="372"/>
      <c r="E30" s="311"/>
      <c r="F30" s="311"/>
      <c r="G30" s="311"/>
      <c r="H30" s="371"/>
      <c r="I30" s="372"/>
      <c r="J30" s="311"/>
      <c r="K30" s="311"/>
      <c r="L30" s="311"/>
      <c r="M30" s="371"/>
      <c r="N30" s="372"/>
      <c r="O30" s="328"/>
      <c r="P30" s="328"/>
      <c r="Q30" s="328"/>
      <c r="R30" s="371"/>
      <c r="S30" s="372"/>
      <c r="T30" s="311"/>
      <c r="U30" s="311"/>
      <c r="V30" s="311"/>
      <c r="W30" s="371"/>
      <c r="X30" s="372"/>
      <c r="Y30" s="311"/>
      <c r="Z30" s="311"/>
      <c r="AA30" s="311"/>
      <c r="AB30" s="371"/>
    </row>
    <row r="31" spans="1:28" s="40" customFormat="1" ht="15.75" customHeight="1" x14ac:dyDescent="0.2">
      <c r="A31" s="386"/>
      <c r="B31" s="118" t="s">
        <v>1500</v>
      </c>
      <c r="C31" s="371"/>
      <c r="D31" s="372"/>
      <c r="E31" s="311"/>
      <c r="F31" s="311"/>
      <c r="G31" s="311"/>
      <c r="H31" s="371"/>
      <c r="I31" s="372"/>
      <c r="J31" s="311"/>
      <c r="K31" s="311"/>
      <c r="L31" s="311"/>
      <c r="M31" s="371"/>
      <c r="N31" s="372"/>
      <c r="O31" s="328"/>
      <c r="P31" s="328"/>
      <c r="Q31" s="328"/>
      <c r="R31" s="371"/>
      <c r="S31" s="372"/>
      <c r="T31" s="311"/>
      <c r="U31" s="311"/>
      <c r="V31" s="311"/>
      <c r="W31" s="371"/>
      <c r="X31" s="372"/>
      <c r="Y31" s="311"/>
      <c r="Z31" s="311"/>
      <c r="AA31" s="311"/>
      <c r="AB31" s="371"/>
    </row>
    <row r="32" spans="1:28" s="40" customFormat="1" ht="15.75" customHeight="1" x14ac:dyDescent="0.2">
      <c r="A32" s="386"/>
      <c r="B32" s="118" t="s">
        <v>1498</v>
      </c>
      <c r="C32" s="371"/>
      <c r="D32" s="372"/>
      <c r="E32" s="311"/>
      <c r="F32" s="311"/>
      <c r="G32" s="311"/>
      <c r="H32" s="371"/>
      <c r="I32" s="372"/>
      <c r="J32" s="311"/>
      <c r="K32" s="311"/>
      <c r="L32" s="311"/>
      <c r="M32" s="371"/>
      <c r="N32" s="374"/>
      <c r="O32" s="328"/>
      <c r="P32" s="328"/>
      <c r="Q32" s="328"/>
      <c r="R32" s="371"/>
      <c r="S32" s="372">
        <f t="shared" si="0"/>
        <v>8359</v>
      </c>
      <c r="T32" s="311"/>
      <c r="U32" s="311"/>
      <c r="V32" s="311"/>
      <c r="W32" s="371"/>
      <c r="X32" s="372">
        <v>34182</v>
      </c>
      <c r="Y32" s="311"/>
      <c r="Z32" s="311"/>
      <c r="AA32" s="311"/>
      <c r="AB32" s="371"/>
    </row>
    <row r="33" spans="1:28" s="40" customFormat="1" ht="31.5" customHeight="1" x14ac:dyDescent="0.2">
      <c r="A33" s="376" t="s">
        <v>14</v>
      </c>
      <c r="B33" s="115" t="s">
        <v>343</v>
      </c>
      <c r="C33" s="370">
        <f>D33+E33+F33+G33</f>
        <v>1235</v>
      </c>
      <c r="D33" s="373">
        <v>1235</v>
      </c>
      <c r="E33" s="320">
        <v>0</v>
      </c>
      <c r="F33" s="320">
        <v>0</v>
      </c>
      <c r="G33" s="320">
        <v>0</v>
      </c>
      <c r="H33" s="370">
        <f>I33+J33+K33+L33</f>
        <v>741</v>
      </c>
      <c r="I33" s="373">
        <v>741</v>
      </c>
      <c r="J33" s="320">
        <v>0</v>
      </c>
      <c r="K33" s="320">
        <v>0</v>
      </c>
      <c r="L33" s="320">
        <v>0</v>
      </c>
      <c r="M33" s="370">
        <f>N33+O33+P33+Q33</f>
        <v>115</v>
      </c>
      <c r="N33" s="373">
        <f>0+115</f>
        <v>115</v>
      </c>
      <c r="O33" s="327">
        <v>0</v>
      </c>
      <c r="P33" s="327">
        <v>0</v>
      </c>
      <c r="Q33" s="327">
        <v>0</v>
      </c>
      <c r="R33" s="370">
        <f>S33+T33+U33+V33</f>
        <v>1174</v>
      </c>
      <c r="S33" s="373">
        <f>23+119+71+882+79</f>
        <v>1174</v>
      </c>
      <c r="T33" s="320">
        <v>0</v>
      </c>
      <c r="U33" s="320">
        <v>0</v>
      </c>
      <c r="V33" s="320">
        <v>0</v>
      </c>
      <c r="W33" s="370">
        <f>X33+Y33+Z33+AA33</f>
        <v>11</v>
      </c>
      <c r="X33" s="373">
        <v>11</v>
      </c>
      <c r="Y33" s="320">
        <v>0</v>
      </c>
      <c r="Z33" s="320">
        <v>0</v>
      </c>
      <c r="AA33" s="320">
        <v>0</v>
      </c>
      <c r="AB33" s="370">
        <f>C33+H33+M33+R33+W33</f>
        <v>3276</v>
      </c>
    </row>
    <row r="34" spans="1:28" s="40" customFormat="1" ht="18" customHeight="1" x14ac:dyDescent="0.2">
      <c r="A34" s="377"/>
      <c r="B34" s="116" t="s">
        <v>387</v>
      </c>
      <c r="C34" s="371"/>
      <c r="D34" s="372"/>
      <c r="E34" s="320"/>
      <c r="F34" s="320"/>
      <c r="G34" s="320"/>
      <c r="H34" s="371"/>
      <c r="I34" s="372"/>
      <c r="J34" s="320"/>
      <c r="K34" s="320"/>
      <c r="L34" s="320"/>
      <c r="M34" s="371"/>
      <c r="N34" s="372"/>
      <c r="O34" s="327"/>
      <c r="P34" s="327"/>
      <c r="Q34" s="327"/>
      <c r="R34" s="371"/>
      <c r="S34" s="372"/>
      <c r="T34" s="320"/>
      <c r="U34" s="320"/>
      <c r="V34" s="320"/>
      <c r="W34" s="371"/>
      <c r="X34" s="372"/>
      <c r="Y34" s="320"/>
      <c r="Z34" s="320"/>
      <c r="AA34" s="320"/>
      <c r="AB34" s="371"/>
    </row>
    <row r="35" spans="1:28" s="40" customFormat="1" ht="21.75" customHeight="1" x14ac:dyDescent="0.2">
      <c r="A35" s="377"/>
      <c r="B35" s="117" t="s">
        <v>142</v>
      </c>
      <c r="C35" s="371"/>
      <c r="D35" s="372"/>
      <c r="E35" s="320"/>
      <c r="F35" s="320"/>
      <c r="G35" s="320"/>
      <c r="H35" s="371"/>
      <c r="I35" s="372"/>
      <c r="J35" s="320"/>
      <c r="K35" s="320"/>
      <c r="L35" s="320"/>
      <c r="M35" s="371"/>
      <c r="N35" s="372"/>
      <c r="O35" s="327"/>
      <c r="P35" s="327"/>
      <c r="Q35" s="327"/>
      <c r="R35" s="371"/>
      <c r="S35" s="372"/>
      <c r="T35" s="320"/>
      <c r="U35" s="320"/>
      <c r="V35" s="320"/>
      <c r="W35" s="371"/>
      <c r="X35" s="372"/>
      <c r="Y35" s="320"/>
      <c r="Z35" s="320"/>
      <c r="AA35" s="320"/>
      <c r="AB35" s="371"/>
    </row>
    <row r="36" spans="1:28" s="40" customFormat="1" ht="21.75" customHeight="1" x14ac:dyDescent="0.2">
      <c r="A36" s="377"/>
      <c r="B36" s="526" t="s">
        <v>311</v>
      </c>
      <c r="C36" s="371"/>
      <c r="D36" s="372"/>
      <c r="E36" s="320"/>
      <c r="F36" s="320"/>
      <c r="G36" s="320"/>
      <c r="H36" s="371"/>
      <c r="I36" s="372"/>
      <c r="J36" s="320"/>
      <c r="K36" s="320"/>
      <c r="L36" s="320"/>
      <c r="M36" s="371"/>
      <c r="N36" s="372"/>
      <c r="O36" s="327"/>
      <c r="P36" s="327"/>
      <c r="Q36" s="327"/>
      <c r="R36" s="371"/>
      <c r="S36" s="372"/>
      <c r="T36" s="320"/>
      <c r="U36" s="320"/>
      <c r="V36" s="320"/>
      <c r="W36" s="371"/>
      <c r="X36" s="372"/>
      <c r="Y36" s="320"/>
      <c r="Z36" s="320"/>
      <c r="AA36" s="320"/>
      <c r="AB36" s="371"/>
    </row>
    <row r="37" spans="1:28" s="40" customFormat="1" ht="19.5" customHeight="1" x14ac:dyDescent="0.2">
      <c r="A37" s="377"/>
      <c r="B37" s="527" t="s">
        <v>650</v>
      </c>
      <c r="C37" s="371"/>
      <c r="D37" s="372"/>
      <c r="E37" s="320"/>
      <c r="F37" s="320"/>
      <c r="G37" s="320"/>
      <c r="H37" s="371"/>
      <c r="I37" s="372"/>
      <c r="J37" s="320"/>
      <c r="K37" s="320"/>
      <c r="L37" s="320"/>
      <c r="M37" s="371"/>
      <c r="N37" s="372"/>
      <c r="O37" s="327"/>
      <c r="P37" s="327"/>
      <c r="Q37" s="327"/>
      <c r="R37" s="371"/>
      <c r="S37" s="372"/>
      <c r="T37" s="320"/>
      <c r="U37" s="320"/>
      <c r="V37" s="320"/>
      <c r="W37" s="371"/>
      <c r="X37" s="372"/>
      <c r="Y37" s="320"/>
      <c r="Z37" s="320"/>
      <c r="AA37" s="320"/>
      <c r="AB37" s="371"/>
    </row>
    <row r="38" spans="1:28" s="40" customFormat="1" ht="20.25" customHeight="1" x14ac:dyDescent="0.2">
      <c r="A38" s="377"/>
      <c r="B38" s="527" t="s">
        <v>651</v>
      </c>
      <c r="C38" s="371"/>
      <c r="D38" s="372"/>
      <c r="E38" s="320"/>
      <c r="F38" s="320"/>
      <c r="G38" s="320"/>
      <c r="H38" s="371"/>
      <c r="I38" s="372"/>
      <c r="J38" s="320"/>
      <c r="K38" s="320"/>
      <c r="L38" s="320"/>
      <c r="M38" s="371"/>
      <c r="N38" s="372"/>
      <c r="O38" s="327"/>
      <c r="P38" s="327"/>
      <c r="Q38" s="327"/>
      <c r="R38" s="371"/>
      <c r="S38" s="372"/>
      <c r="T38" s="320"/>
      <c r="U38" s="320"/>
      <c r="V38" s="320"/>
      <c r="W38" s="371"/>
      <c r="X38" s="372"/>
      <c r="Y38" s="320"/>
      <c r="Z38" s="320"/>
      <c r="AA38" s="320"/>
      <c r="AB38" s="371"/>
    </row>
    <row r="39" spans="1:28" s="40" customFormat="1" ht="19.5" customHeight="1" x14ac:dyDescent="0.2">
      <c r="A39" s="377"/>
      <c r="B39" s="526" t="s">
        <v>360</v>
      </c>
      <c r="C39" s="371"/>
      <c r="D39" s="372"/>
      <c r="E39" s="320"/>
      <c r="F39" s="320"/>
      <c r="G39" s="320"/>
      <c r="H39" s="371"/>
      <c r="I39" s="372"/>
      <c r="J39" s="320"/>
      <c r="K39" s="320"/>
      <c r="L39" s="320"/>
      <c r="M39" s="371"/>
      <c r="N39" s="372"/>
      <c r="O39" s="327"/>
      <c r="P39" s="327"/>
      <c r="Q39" s="327"/>
      <c r="R39" s="371"/>
      <c r="S39" s="372"/>
      <c r="T39" s="320"/>
      <c r="U39" s="320"/>
      <c r="V39" s="320"/>
      <c r="W39" s="371"/>
      <c r="X39" s="372"/>
      <c r="Y39" s="320"/>
      <c r="Z39" s="320"/>
      <c r="AA39" s="320"/>
      <c r="AB39" s="371"/>
    </row>
    <row r="40" spans="1:28" s="40" customFormat="1" ht="18" customHeight="1" x14ac:dyDescent="0.2">
      <c r="A40" s="377"/>
      <c r="B40" s="527" t="s">
        <v>650</v>
      </c>
      <c r="C40" s="371"/>
      <c r="D40" s="372"/>
      <c r="E40" s="320"/>
      <c r="F40" s="320"/>
      <c r="G40" s="320"/>
      <c r="H40" s="371"/>
      <c r="I40" s="372"/>
      <c r="J40" s="320"/>
      <c r="K40" s="320"/>
      <c r="L40" s="320"/>
      <c r="M40" s="371"/>
      <c r="N40" s="372"/>
      <c r="O40" s="327"/>
      <c r="P40" s="327"/>
      <c r="Q40" s="327"/>
      <c r="R40" s="371"/>
      <c r="S40" s="372"/>
      <c r="T40" s="320"/>
      <c r="U40" s="320"/>
      <c r="V40" s="320"/>
      <c r="W40" s="371"/>
      <c r="X40" s="372"/>
      <c r="Y40" s="320"/>
      <c r="Z40" s="320"/>
      <c r="AA40" s="320"/>
      <c r="AB40" s="371"/>
    </row>
    <row r="41" spans="1:28" s="40" customFormat="1" ht="20.25" customHeight="1" x14ac:dyDescent="0.2">
      <c r="A41" s="377"/>
      <c r="B41" s="527" t="s">
        <v>651</v>
      </c>
      <c r="C41" s="371"/>
      <c r="D41" s="372"/>
      <c r="E41" s="320"/>
      <c r="F41" s="320"/>
      <c r="G41" s="320"/>
      <c r="H41" s="371"/>
      <c r="I41" s="372"/>
      <c r="J41" s="320"/>
      <c r="K41" s="320"/>
      <c r="L41" s="320"/>
      <c r="M41" s="371"/>
      <c r="N41" s="372"/>
      <c r="O41" s="327"/>
      <c r="P41" s="327"/>
      <c r="Q41" s="327"/>
      <c r="R41" s="371"/>
      <c r="S41" s="372"/>
      <c r="T41" s="320"/>
      <c r="U41" s="320"/>
      <c r="V41" s="320"/>
      <c r="W41" s="371"/>
      <c r="X41" s="372"/>
      <c r="Y41" s="320"/>
      <c r="Z41" s="320"/>
      <c r="AA41" s="320"/>
      <c r="AB41" s="371"/>
    </row>
    <row r="42" spans="1:28" s="40" customFormat="1" ht="19.5" customHeight="1" x14ac:dyDescent="0.2">
      <c r="A42" s="377"/>
      <c r="B42" s="527" t="s">
        <v>620</v>
      </c>
      <c r="C42" s="371"/>
      <c r="D42" s="372"/>
      <c r="E42" s="320"/>
      <c r="F42" s="320"/>
      <c r="G42" s="320"/>
      <c r="H42" s="371"/>
      <c r="I42" s="372"/>
      <c r="J42" s="320"/>
      <c r="K42" s="320"/>
      <c r="L42" s="320"/>
      <c r="M42" s="371"/>
      <c r="N42" s="372"/>
      <c r="O42" s="327"/>
      <c r="P42" s="327"/>
      <c r="Q42" s="327"/>
      <c r="R42" s="371"/>
      <c r="S42" s="372"/>
      <c r="T42" s="320"/>
      <c r="U42" s="320"/>
      <c r="V42" s="320"/>
      <c r="W42" s="371"/>
      <c r="X42" s="372"/>
      <c r="Y42" s="320"/>
      <c r="Z42" s="320"/>
      <c r="AA42" s="320"/>
      <c r="AB42" s="371"/>
    </row>
    <row r="43" spans="1:28" s="40" customFormat="1" ht="24" customHeight="1" x14ac:dyDescent="0.2">
      <c r="A43" s="377"/>
      <c r="B43" s="527" t="s">
        <v>1086</v>
      </c>
      <c r="C43" s="371"/>
      <c r="D43" s="372"/>
      <c r="E43" s="320"/>
      <c r="F43" s="320"/>
      <c r="G43" s="320"/>
      <c r="H43" s="371"/>
      <c r="I43" s="372"/>
      <c r="J43" s="320"/>
      <c r="K43" s="320"/>
      <c r="L43" s="320"/>
      <c r="M43" s="371"/>
      <c r="N43" s="372"/>
      <c r="O43" s="327"/>
      <c r="P43" s="327"/>
      <c r="Q43" s="327"/>
      <c r="R43" s="371"/>
      <c r="S43" s="372"/>
      <c r="T43" s="320"/>
      <c r="U43" s="320"/>
      <c r="V43" s="320"/>
      <c r="W43" s="371"/>
      <c r="X43" s="372"/>
      <c r="Y43" s="320"/>
      <c r="Z43" s="320"/>
      <c r="AA43" s="320"/>
      <c r="AB43" s="371"/>
    </row>
    <row r="44" spans="1:28" s="40" customFormat="1" ht="20.25" customHeight="1" x14ac:dyDescent="0.2">
      <c r="A44" s="377"/>
      <c r="B44" s="527" t="s">
        <v>1435</v>
      </c>
      <c r="C44" s="371"/>
      <c r="D44" s="372"/>
      <c r="E44" s="320"/>
      <c r="F44" s="320"/>
      <c r="G44" s="320"/>
      <c r="H44" s="371"/>
      <c r="I44" s="372"/>
      <c r="J44" s="320"/>
      <c r="K44" s="320"/>
      <c r="L44" s="320"/>
      <c r="M44" s="371"/>
      <c r="N44" s="372"/>
      <c r="O44" s="327"/>
      <c r="P44" s="327"/>
      <c r="Q44" s="327"/>
      <c r="R44" s="371"/>
      <c r="S44" s="372"/>
      <c r="T44" s="320"/>
      <c r="U44" s="320"/>
      <c r="V44" s="320"/>
      <c r="W44" s="371"/>
      <c r="X44" s="372"/>
      <c r="Y44" s="320"/>
      <c r="Z44" s="320"/>
      <c r="AA44" s="320"/>
      <c r="AB44" s="371"/>
    </row>
    <row r="45" spans="1:28" s="40" customFormat="1" ht="20.25" customHeight="1" x14ac:dyDescent="0.2">
      <c r="A45" s="377"/>
      <c r="B45" s="526" t="s">
        <v>397</v>
      </c>
      <c r="C45" s="310"/>
      <c r="D45" s="312"/>
      <c r="E45" s="320"/>
      <c r="F45" s="320"/>
      <c r="G45" s="320"/>
      <c r="H45" s="310"/>
      <c r="I45" s="312"/>
      <c r="J45" s="320"/>
      <c r="K45" s="320"/>
      <c r="L45" s="320"/>
      <c r="M45" s="310"/>
      <c r="N45" s="312"/>
      <c r="O45" s="327"/>
      <c r="P45" s="327"/>
      <c r="Q45" s="327"/>
      <c r="R45" s="310"/>
      <c r="S45" s="312"/>
      <c r="T45" s="320"/>
      <c r="U45" s="320"/>
      <c r="V45" s="320"/>
      <c r="W45" s="371"/>
      <c r="X45" s="372"/>
      <c r="Y45" s="320"/>
      <c r="Z45" s="320"/>
      <c r="AA45" s="320"/>
      <c r="AB45" s="310"/>
    </row>
    <row r="46" spans="1:28" s="40" customFormat="1" ht="21.75" customHeight="1" x14ac:dyDescent="0.2">
      <c r="A46" s="389"/>
      <c r="B46" s="528" t="s">
        <v>1436</v>
      </c>
      <c r="C46" s="318"/>
      <c r="D46" s="313"/>
      <c r="E46" s="320"/>
      <c r="F46" s="320"/>
      <c r="G46" s="320"/>
      <c r="H46" s="318"/>
      <c r="I46" s="313"/>
      <c r="J46" s="320"/>
      <c r="K46" s="320"/>
      <c r="L46" s="320"/>
      <c r="M46" s="318"/>
      <c r="N46" s="313"/>
      <c r="O46" s="327"/>
      <c r="P46" s="327"/>
      <c r="Q46" s="327"/>
      <c r="R46" s="318"/>
      <c r="S46" s="313"/>
      <c r="T46" s="320"/>
      <c r="U46" s="320"/>
      <c r="V46" s="320"/>
      <c r="W46" s="379"/>
      <c r="X46" s="374"/>
      <c r="Y46" s="320"/>
      <c r="Z46" s="320"/>
      <c r="AA46" s="320"/>
      <c r="AB46" s="318"/>
    </row>
    <row r="47" spans="1:28" ht="17.25" customHeight="1" x14ac:dyDescent="0.2">
      <c r="A47" s="386" t="s">
        <v>25</v>
      </c>
      <c r="B47" s="115" t="s">
        <v>137</v>
      </c>
      <c r="C47" s="387">
        <f>D47+E47+F47+G47</f>
        <v>1644</v>
      </c>
      <c r="D47" s="388">
        <v>1644</v>
      </c>
      <c r="E47" s="320">
        <v>0</v>
      </c>
      <c r="F47" s="320">
        <v>0</v>
      </c>
      <c r="G47" s="320">
        <v>0</v>
      </c>
      <c r="H47" s="387">
        <f>I47+J47+K47+L47</f>
        <v>1472</v>
      </c>
      <c r="I47" s="388">
        <v>1472</v>
      </c>
      <c r="J47" s="320">
        <v>0</v>
      </c>
      <c r="K47" s="320">
        <v>0</v>
      </c>
      <c r="L47" s="320">
        <v>0</v>
      </c>
      <c r="M47" s="387">
        <f>N47</f>
        <v>4212</v>
      </c>
      <c r="N47" s="373">
        <f>1368-668+1946+117-708+676+1409+418+253+200-396-403</f>
        <v>4212</v>
      </c>
      <c r="O47" s="327">
        <v>0</v>
      </c>
      <c r="P47" s="327">
        <v>0</v>
      </c>
      <c r="Q47" s="327">
        <v>0</v>
      </c>
      <c r="R47" s="387">
        <f>S47</f>
        <v>8783</v>
      </c>
      <c r="S47" s="388">
        <f>1368+3232-3797+8055+17-92</f>
        <v>8783</v>
      </c>
      <c r="T47" s="320">
        <v>0</v>
      </c>
      <c r="U47" s="320">
        <v>0</v>
      </c>
      <c r="V47" s="320">
        <v>0</v>
      </c>
      <c r="W47" s="387">
        <f>X47</f>
        <v>6804</v>
      </c>
      <c r="X47" s="388">
        <f>4463-3099+5440</f>
        <v>6804</v>
      </c>
      <c r="Y47" s="320">
        <v>0</v>
      </c>
      <c r="Z47" s="320">
        <v>0</v>
      </c>
      <c r="AA47" s="320">
        <v>0</v>
      </c>
      <c r="AB47" s="387">
        <f>C47+H47+M47+R47+W47</f>
        <v>22915</v>
      </c>
    </row>
    <row r="48" spans="1:28" ht="16.5" customHeight="1" x14ac:dyDescent="0.2">
      <c r="A48" s="386"/>
      <c r="B48" s="116" t="s">
        <v>138</v>
      </c>
      <c r="C48" s="387"/>
      <c r="D48" s="388"/>
      <c r="E48" s="320"/>
      <c r="F48" s="320"/>
      <c r="G48" s="320"/>
      <c r="H48" s="387"/>
      <c r="I48" s="388"/>
      <c r="J48" s="320"/>
      <c r="K48" s="320"/>
      <c r="L48" s="320"/>
      <c r="M48" s="387"/>
      <c r="N48" s="372"/>
      <c r="O48" s="327"/>
      <c r="P48" s="327"/>
      <c r="Q48" s="327"/>
      <c r="R48" s="387"/>
      <c r="S48" s="388"/>
      <c r="T48" s="320"/>
      <c r="U48" s="320"/>
      <c r="V48" s="320"/>
      <c r="W48" s="387"/>
      <c r="X48" s="388"/>
      <c r="Y48" s="320"/>
      <c r="Z48" s="320"/>
      <c r="AA48" s="320"/>
      <c r="AB48" s="387"/>
    </row>
    <row r="49" spans="1:28" ht="33.75" customHeight="1" x14ac:dyDescent="0.2">
      <c r="A49" s="386"/>
      <c r="B49" s="117" t="s">
        <v>652</v>
      </c>
      <c r="C49" s="387"/>
      <c r="D49" s="388"/>
      <c r="E49" s="320"/>
      <c r="F49" s="320"/>
      <c r="G49" s="320"/>
      <c r="H49" s="387"/>
      <c r="I49" s="388"/>
      <c r="J49" s="320"/>
      <c r="K49" s="320"/>
      <c r="L49" s="320"/>
      <c r="M49" s="387"/>
      <c r="N49" s="372"/>
      <c r="O49" s="327"/>
      <c r="P49" s="327"/>
      <c r="Q49" s="327"/>
      <c r="R49" s="387"/>
      <c r="S49" s="388"/>
      <c r="T49" s="320"/>
      <c r="U49" s="320"/>
      <c r="V49" s="320"/>
      <c r="W49" s="387"/>
      <c r="X49" s="388"/>
      <c r="Y49" s="320"/>
      <c r="Z49" s="320"/>
      <c r="AA49" s="320"/>
      <c r="AB49" s="387"/>
    </row>
    <row r="50" spans="1:28" ht="21.75" customHeight="1" x14ac:dyDescent="0.2">
      <c r="A50" s="386"/>
      <c r="B50" s="117" t="s">
        <v>653</v>
      </c>
      <c r="C50" s="387"/>
      <c r="D50" s="388"/>
      <c r="E50" s="320"/>
      <c r="F50" s="320"/>
      <c r="G50" s="320"/>
      <c r="H50" s="387"/>
      <c r="I50" s="388"/>
      <c r="J50" s="320"/>
      <c r="K50" s="320"/>
      <c r="L50" s="320"/>
      <c r="M50" s="387"/>
      <c r="N50" s="372"/>
      <c r="O50" s="327"/>
      <c r="P50" s="327"/>
      <c r="Q50" s="327"/>
      <c r="R50" s="387"/>
      <c r="S50" s="388"/>
      <c r="T50" s="320"/>
      <c r="U50" s="320"/>
      <c r="V50" s="320"/>
      <c r="W50" s="387"/>
      <c r="X50" s="388"/>
      <c r="Y50" s="320"/>
      <c r="Z50" s="320"/>
      <c r="AA50" s="320"/>
      <c r="AB50" s="387"/>
    </row>
    <row r="51" spans="1:28" ht="32.25" customHeight="1" x14ac:dyDescent="0.2">
      <c r="A51" s="386"/>
      <c r="B51" s="117" t="s">
        <v>654</v>
      </c>
      <c r="C51" s="387"/>
      <c r="D51" s="388"/>
      <c r="E51" s="320"/>
      <c r="F51" s="320"/>
      <c r="G51" s="320"/>
      <c r="H51" s="387"/>
      <c r="I51" s="388"/>
      <c r="J51" s="320"/>
      <c r="K51" s="320"/>
      <c r="L51" s="320"/>
      <c r="M51" s="387"/>
      <c r="N51" s="372"/>
      <c r="O51" s="327"/>
      <c r="P51" s="327"/>
      <c r="Q51" s="327"/>
      <c r="R51" s="387"/>
      <c r="S51" s="388"/>
      <c r="T51" s="320"/>
      <c r="U51" s="320"/>
      <c r="V51" s="320"/>
      <c r="W51" s="387"/>
      <c r="X51" s="388"/>
      <c r="Y51" s="320"/>
      <c r="Z51" s="320"/>
      <c r="AA51" s="320"/>
      <c r="AB51" s="387"/>
    </row>
    <row r="52" spans="1:28" ht="30.75" customHeight="1" x14ac:dyDescent="0.2">
      <c r="A52" s="386"/>
      <c r="B52" s="117" t="s">
        <v>655</v>
      </c>
      <c r="C52" s="387"/>
      <c r="D52" s="388"/>
      <c r="E52" s="320"/>
      <c r="F52" s="320"/>
      <c r="G52" s="320"/>
      <c r="H52" s="387"/>
      <c r="I52" s="388"/>
      <c r="J52" s="320"/>
      <c r="K52" s="320"/>
      <c r="L52" s="320"/>
      <c r="M52" s="387"/>
      <c r="N52" s="372"/>
      <c r="O52" s="327"/>
      <c r="P52" s="327"/>
      <c r="Q52" s="327"/>
      <c r="R52" s="387"/>
      <c r="S52" s="388"/>
      <c r="T52" s="320"/>
      <c r="U52" s="320"/>
      <c r="V52" s="320"/>
      <c r="W52" s="387"/>
      <c r="X52" s="388"/>
      <c r="Y52" s="320"/>
      <c r="Z52" s="320"/>
      <c r="AA52" s="320"/>
      <c r="AB52" s="387"/>
    </row>
    <row r="53" spans="1:28" ht="18" customHeight="1" x14ac:dyDescent="0.2">
      <c r="A53" s="386"/>
      <c r="B53" s="117" t="s">
        <v>656</v>
      </c>
      <c r="C53" s="387"/>
      <c r="D53" s="388"/>
      <c r="E53" s="320"/>
      <c r="F53" s="320"/>
      <c r="G53" s="320"/>
      <c r="H53" s="387"/>
      <c r="I53" s="388"/>
      <c r="J53" s="320"/>
      <c r="K53" s="320"/>
      <c r="L53" s="320"/>
      <c r="M53" s="387"/>
      <c r="N53" s="372"/>
      <c r="O53" s="327"/>
      <c r="P53" s="327"/>
      <c r="Q53" s="327"/>
      <c r="R53" s="387"/>
      <c r="S53" s="388"/>
      <c r="T53" s="320"/>
      <c r="U53" s="320"/>
      <c r="V53" s="320"/>
      <c r="W53" s="387"/>
      <c r="X53" s="388"/>
      <c r="Y53" s="320"/>
      <c r="Z53" s="320"/>
      <c r="AA53" s="320"/>
      <c r="AB53" s="387"/>
    </row>
    <row r="54" spans="1:28" ht="33.75" customHeight="1" x14ac:dyDescent="0.2">
      <c r="A54" s="386"/>
      <c r="B54" s="117" t="s">
        <v>657</v>
      </c>
      <c r="C54" s="387"/>
      <c r="D54" s="388"/>
      <c r="E54" s="320"/>
      <c r="F54" s="320"/>
      <c r="G54" s="320"/>
      <c r="H54" s="387"/>
      <c r="I54" s="388"/>
      <c r="J54" s="320"/>
      <c r="K54" s="320"/>
      <c r="L54" s="320"/>
      <c r="M54" s="387"/>
      <c r="N54" s="372"/>
      <c r="O54" s="327"/>
      <c r="P54" s="327"/>
      <c r="Q54" s="327"/>
      <c r="R54" s="387"/>
      <c r="S54" s="388"/>
      <c r="T54" s="320"/>
      <c r="U54" s="320"/>
      <c r="V54" s="320"/>
      <c r="W54" s="387"/>
      <c r="X54" s="388"/>
      <c r="Y54" s="320"/>
      <c r="Z54" s="320"/>
      <c r="AA54" s="320"/>
      <c r="AB54" s="387"/>
    </row>
    <row r="55" spans="1:28" ht="37.9" customHeight="1" x14ac:dyDescent="0.2">
      <c r="A55" s="376"/>
      <c r="B55" s="117" t="s">
        <v>658</v>
      </c>
      <c r="C55" s="370"/>
      <c r="D55" s="373"/>
      <c r="E55" s="320"/>
      <c r="F55" s="320"/>
      <c r="G55" s="320"/>
      <c r="H55" s="370"/>
      <c r="I55" s="373"/>
      <c r="J55" s="320"/>
      <c r="K55" s="320"/>
      <c r="L55" s="320"/>
      <c r="M55" s="370"/>
      <c r="N55" s="372"/>
      <c r="O55" s="327"/>
      <c r="P55" s="327"/>
      <c r="Q55" s="327"/>
      <c r="R55" s="370"/>
      <c r="S55" s="373"/>
      <c r="T55" s="320"/>
      <c r="U55" s="320"/>
      <c r="V55" s="320"/>
      <c r="W55" s="370"/>
      <c r="X55" s="373"/>
      <c r="Y55" s="320"/>
      <c r="Z55" s="320"/>
      <c r="AA55" s="320"/>
      <c r="AB55" s="370"/>
    </row>
    <row r="56" spans="1:28" ht="33" customHeight="1" x14ac:dyDescent="0.2">
      <c r="A56" s="375"/>
      <c r="B56" s="117" t="s">
        <v>659</v>
      </c>
      <c r="C56" s="371"/>
      <c r="D56" s="372"/>
      <c r="E56" s="320"/>
      <c r="F56" s="320"/>
      <c r="G56" s="320"/>
      <c r="H56" s="371"/>
      <c r="I56" s="372"/>
      <c r="J56" s="320"/>
      <c r="K56" s="320"/>
      <c r="L56" s="320"/>
      <c r="M56" s="371"/>
      <c r="N56" s="417"/>
      <c r="O56" s="327"/>
      <c r="P56" s="327"/>
      <c r="Q56" s="327"/>
      <c r="R56" s="368"/>
      <c r="S56" s="365"/>
      <c r="T56" s="327"/>
      <c r="U56" s="327"/>
      <c r="V56" s="327"/>
      <c r="W56" s="365"/>
      <c r="X56" s="365"/>
      <c r="Y56" s="327"/>
      <c r="Z56" s="327"/>
      <c r="AA56" s="327"/>
      <c r="AB56" s="368"/>
    </row>
    <row r="57" spans="1:28" ht="44.25" customHeight="1" x14ac:dyDescent="0.2">
      <c r="A57" s="375"/>
      <c r="B57" s="117" t="s">
        <v>660</v>
      </c>
      <c r="C57" s="371"/>
      <c r="D57" s="372"/>
      <c r="E57" s="313"/>
      <c r="F57" s="313"/>
      <c r="G57" s="313"/>
      <c r="H57" s="371"/>
      <c r="I57" s="372"/>
      <c r="J57" s="313"/>
      <c r="K57" s="313"/>
      <c r="L57" s="313"/>
      <c r="M57" s="371"/>
      <c r="N57" s="417"/>
      <c r="O57" s="120"/>
      <c r="P57" s="316"/>
      <c r="Q57" s="316"/>
      <c r="R57" s="368"/>
      <c r="S57" s="365"/>
      <c r="T57" s="316"/>
      <c r="U57" s="316"/>
      <c r="V57" s="316"/>
      <c r="W57" s="365"/>
      <c r="X57" s="365"/>
      <c r="Y57" s="316"/>
      <c r="Z57" s="316"/>
      <c r="AA57" s="316"/>
      <c r="AB57" s="368"/>
    </row>
    <row r="58" spans="1:28" ht="20.25" customHeight="1" x14ac:dyDescent="0.2">
      <c r="A58" s="375"/>
      <c r="B58" s="117" t="s">
        <v>661</v>
      </c>
      <c r="C58" s="371"/>
      <c r="D58" s="372"/>
      <c r="E58" s="320"/>
      <c r="F58" s="320"/>
      <c r="G58" s="320"/>
      <c r="H58" s="371"/>
      <c r="I58" s="372"/>
      <c r="J58" s="320"/>
      <c r="K58" s="320"/>
      <c r="L58" s="320"/>
      <c r="M58" s="371"/>
      <c r="N58" s="417"/>
      <c r="O58" s="121"/>
      <c r="P58" s="327"/>
      <c r="Q58" s="327"/>
      <c r="R58" s="368"/>
      <c r="S58" s="365"/>
      <c r="T58" s="327"/>
      <c r="U58" s="327"/>
      <c r="V58" s="327"/>
      <c r="W58" s="365"/>
      <c r="X58" s="365"/>
      <c r="Y58" s="327"/>
      <c r="Z58" s="327"/>
      <c r="AA58" s="327"/>
      <c r="AB58" s="368"/>
    </row>
    <row r="59" spans="1:28" ht="18.75" customHeight="1" x14ac:dyDescent="0.2">
      <c r="A59" s="375"/>
      <c r="B59" s="117" t="s">
        <v>662</v>
      </c>
      <c r="C59" s="371"/>
      <c r="D59" s="372"/>
      <c r="E59" s="313"/>
      <c r="F59" s="313"/>
      <c r="G59" s="313"/>
      <c r="H59" s="371"/>
      <c r="I59" s="372"/>
      <c r="J59" s="313"/>
      <c r="K59" s="313"/>
      <c r="L59" s="313"/>
      <c r="M59" s="371"/>
      <c r="N59" s="417"/>
      <c r="O59" s="120"/>
      <c r="P59" s="316"/>
      <c r="Q59" s="316"/>
      <c r="R59" s="368"/>
      <c r="S59" s="365"/>
      <c r="T59" s="316"/>
      <c r="U59" s="316"/>
      <c r="V59" s="316"/>
      <c r="W59" s="365"/>
      <c r="X59" s="365"/>
      <c r="Y59" s="316"/>
      <c r="Z59" s="316"/>
      <c r="AA59" s="316"/>
      <c r="AB59" s="368"/>
    </row>
    <row r="60" spans="1:28" ht="18" customHeight="1" x14ac:dyDescent="0.2">
      <c r="A60" s="375"/>
      <c r="B60" s="116" t="s">
        <v>139</v>
      </c>
      <c r="C60" s="371"/>
      <c r="D60" s="372"/>
      <c r="E60" s="320"/>
      <c r="F60" s="320"/>
      <c r="G60" s="320"/>
      <c r="H60" s="371"/>
      <c r="I60" s="372"/>
      <c r="J60" s="320"/>
      <c r="K60" s="320"/>
      <c r="L60" s="320"/>
      <c r="M60" s="371"/>
      <c r="N60" s="417"/>
      <c r="O60" s="121"/>
      <c r="P60" s="327"/>
      <c r="Q60" s="327"/>
      <c r="R60" s="368"/>
      <c r="S60" s="365"/>
      <c r="T60" s="327"/>
      <c r="U60" s="327"/>
      <c r="V60" s="327"/>
      <c r="W60" s="365"/>
      <c r="X60" s="365"/>
      <c r="Y60" s="327"/>
      <c r="Z60" s="327"/>
      <c r="AA60" s="327"/>
      <c r="AB60" s="368"/>
    </row>
    <row r="61" spans="1:28" ht="18" customHeight="1" x14ac:dyDescent="0.2">
      <c r="A61" s="375"/>
      <c r="B61" s="117" t="s">
        <v>663</v>
      </c>
      <c r="C61" s="371"/>
      <c r="D61" s="372"/>
      <c r="E61" s="320"/>
      <c r="F61" s="320"/>
      <c r="G61" s="320"/>
      <c r="H61" s="371"/>
      <c r="I61" s="372"/>
      <c r="J61" s="320"/>
      <c r="K61" s="320"/>
      <c r="L61" s="320"/>
      <c r="M61" s="371"/>
      <c r="N61" s="417"/>
      <c r="O61" s="121"/>
      <c r="P61" s="327"/>
      <c r="Q61" s="327"/>
      <c r="R61" s="368"/>
      <c r="S61" s="365"/>
      <c r="T61" s="327"/>
      <c r="U61" s="327"/>
      <c r="V61" s="327"/>
      <c r="W61" s="365"/>
      <c r="X61" s="365"/>
      <c r="Y61" s="327"/>
      <c r="Z61" s="327"/>
      <c r="AA61" s="327"/>
      <c r="AB61" s="368"/>
    </row>
    <row r="62" spans="1:28" ht="18" customHeight="1" x14ac:dyDescent="0.2">
      <c r="A62" s="375"/>
      <c r="B62" s="117" t="s">
        <v>664</v>
      </c>
      <c r="C62" s="371"/>
      <c r="D62" s="372"/>
      <c r="E62" s="320"/>
      <c r="F62" s="320"/>
      <c r="G62" s="320"/>
      <c r="H62" s="371"/>
      <c r="I62" s="372"/>
      <c r="J62" s="320"/>
      <c r="K62" s="320"/>
      <c r="L62" s="320"/>
      <c r="M62" s="371"/>
      <c r="N62" s="417"/>
      <c r="O62" s="121"/>
      <c r="P62" s="327"/>
      <c r="Q62" s="327"/>
      <c r="R62" s="368"/>
      <c r="S62" s="365"/>
      <c r="T62" s="327"/>
      <c r="U62" s="327"/>
      <c r="V62" s="327"/>
      <c r="W62" s="365"/>
      <c r="X62" s="365"/>
      <c r="Y62" s="327"/>
      <c r="Z62" s="327"/>
      <c r="AA62" s="327"/>
      <c r="AB62" s="368"/>
    </row>
    <row r="63" spans="1:28" ht="18" customHeight="1" x14ac:dyDescent="0.2">
      <c r="A63" s="375"/>
      <c r="B63" s="117" t="s">
        <v>665</v>
      </c>
      <c r="C63" s="371"/>
      <c r="D63" s="372"/>
      <c r="E63" s="320"/>
      <c r="F63" s="320"/>
      <c r="G63" s="320"/>
      <c r="H63" s="371"/>
      <c r="I63" s="372"/>
      <c r="J63" s="320"/>
      <c r="K63" s="320"/>
      <c r="L63" s="320"/>
      <c r="M63" s="371"/>
      <c r="N63" s="417"/>
      <c r="O63" s="121"/>
      <c r="P63" s="327"/>
      <c r="Q63" s="327"/>
      <c r="R63" s="368"/>
      <c r="S63" s="365"/>
      <c r="T63" s="327"/>
      <c r="U63" s="327"/>
      <c r="V63" s="327"/>
      <c r="W63" s="365"/>
      <c r="X63" s="365"/>
      <c r="Y63" s="327"/>
      <c r="Z63" s="327"/>
      <c r="AA63" s="327"/>
      <c r="AB63" s="368"/>
    </row>
    <row r="64" spans="1:28" ht="18" customHeight="1" x14ac:dyDescent="0.2">
      <c r="A64" s="375"/>
      <c r="B64" s="117" t="s">
        <v>666</v>
      </c>
      <c r="C64" s="371"/>
      <c r="D64" s="372"/>
      <c r="E64" s="320"/>
      <c r="F64" s="320"/>
      <c r="G64" s="320"/>
      <c r="H64" s="371"/>
      <c r="I64" s="372"/>
      <c r="J64" s="320"/>
      <c r="K64" s="320"/>
      <c r="L64" s="320"/>
      <c r="M64" s="371"/>
      <c r="N64" s="417"/>
      <c r="O64" s="121"/>
      <c r="P64" s="327"/>
      <c r="Q64" s="327"/>
      <c r="R64" s="368"/>
      <c r="S64" s="365"/>
      <c r="T64" s="327"/>
      <c r="U64" s="327"/>
      <c r="V64" s="327"/>
      <c r="W64" s="365"/>
      <c r="X64" s="365"/>
      <c r="Y64" s="327"/>
      <c r="Z64" s="327"/>
      <c r="AA64" s="327"/>
      <c r="AB64" s="368"/>
    </row>
    <row r="65" spans="1:28" ht="18" customHeight="1" x14ac:dyDescent="0.2">
      <c r="A65" s="375"/>
      <c r="B65" s="117" t="s">
        <v>667</v>
      </c>
      <c r="C65" s="371"/>
      <c r="D65" s="372"/>
      <c r="E65" s="320"/>
      <c r="F65" s="320"/>
      <c r="G65" s="320"/>
      <c r="H65" s="371"/>
      <c r="I65" s="372"/>
      <c r="J65" s="320"/>
      <c r="K65" s="320"/>
      <c r="L65" s="320"/>
      <c r="M65" s="371"/>
      <c r="N65" s="417"/>
      <c r="O65" s="121"/>
      <c r="P65" s="327"/>
      <c r="Q65" s="327"/>
      <c r="R65" s="368"/>
      <c r="S65" s="365"/>
      <c r="T65" s="327"/>
      <c r="U65" s="327"/>
      <c r="V65" s="327"/>
      <c r="W65" s="365"/>
      <c r="X65" s="365"/>
      <c r="Y65" s="327"/>
      <c r="Z65" s="327"/>
      <c r="AA65" s="327"/>
      <c r="AB65" s="368"/>
    </row>
    <row r="66" spans="1:28" ht="18" customHeight="1" x14ac:dyDescent="0.2">
      <c r="A66" s="375"/>
      <c r="B66" s="117" t="s">
        <v>668</v>
      </c>
      <c r="C66" s="371"/>
      <c r="D66" s="372"/>
      <c r="E66" s="320"/>
      <c r="F66" s="320"/>
      <c r="G66" s="320"/>
      <c r="H66" s="371"/>
      <c r="I66" s="372"/>
      <c r="J66" s="320"/>
      <c r="K66" s="320"/>
      <c r="L66" s="320"/>
      <c r="M66" s="371"/>
      <c r="N66" s="417"/>
      <c r="O66" s="121"/>
      <c r="P66" s="327"/>
      <c r="Q66" s="327"/>
      <c r="R66" s="368"/>
      <c r="S66" s="365"/>
      <c r="T66" s="327"/>
      <c r="U66" s="327"/>
      <c r="V66" s="327"/>
      <c r="W66" s="365"/>
      <c r="X66" s="365"/>
      <c r="Y66" s="327"/>
      <c r="Z66" s="327"/>
      <c r="AA66" s="327"/>
      <c r="AB66" s="368"/>
    </row>
    <row r="67" spans="1:28" ht="18" customHeight="1" x14ac:dyDescent="0.2">
      <c r="A67" s="375"/>
      <c r="B67" s="117" t="s">
        <v>669</v>
      </c>
      <c r="C67" s="371"/>
      <c r="D67" s="372"/>
      <c r="E67" s="320"/>
      <c r="F67" s="320"/>
      <c r="G67" s="320"/>
      <c r="H67" s="371"/>
      <c r="I67" s="372"/>
      <c r="J67" s="320"/>
      <c r="K67" s="320"/>
      <c r="L67" s="320"/>
      <c r="M67" s="371"/>
      <c r="N67" s="417"/>
      <c r="O67" s="121"/>
      <c r="P67" s="327"/>
      <c r="Q67" s="327"/>
      <c r="R67" s="368"/>
      <c r="S67" s="365"/>
      <c r="T67" s="327"/>
      <c r="U67" s="327"/>
      <c r="V67" s="327"/>
      <c r="W67" s="365"/>
      <c r="X67" s="365"/>
      <c r="Y67" s="327"/>
      <c r="Z67" s="327"/>
      <c r="AA67" s="327"/>
      <c r="AB67" s="368"/>
    </row>
    <row r="68" spans="1:28" ht="18" customHeight="1" x14ac:dyDescent="0.2">
      <c r="A68" s="375"/>
      <c r="B68" s="117" t="s">
        <v>670</v>
      </c>
      <c r="C68" s="371"/>
      <c r="D68" s="372"/>
      <c r="E68" s="320"/>
      <c r="F68" s="320"/>
      <c r="G68" s="320"/>
      <c r="H68" s="371"/>
      <c r="I68" s="372"/>
      <c r="J68" s="320"/>
      <c r="K68" s="320"/>
      <c r="L68" s="320"/>
      <c r="M68" s="371"/>
      <c r="N68" s="417"/>
      <c r="O68" s="121"/>
      <c r="P68" s="327"/>
      <c r="Q68" s="327"/>
      <c r="R68" s="368"/>
      <c r="S68" s="365"/>
      <c r="T68" s="327"/>
      <c r="U68" s="327"/>
      <c r="V68" s="327"/>
      <c r="W68" s="365"/>
      <c r="X68" s="365"/>
      <c r="Y68" s="327"/>
      <c r="Z68" s="327"/>
      <c r="AA68" s="327"/>
      <c r="AB68" s="368"/>
    </row>
    <row r="69" spans="1:28" ht="18" customHeight="1" x14ac:dyDescent="0.2">
      <c r="A69" s="375"/>
      <c r="B69" s="117" t="s">
        <v>671</v>
      </c>
      <c r="C69" s="371"/>
      <c r="D69" s="372"/>
      <c r="E69" s="320"/>
      <c r="F69" s="320"/>
      <c r="G69" s="320"/>
      <c r="H69" s="371"/>
      <c r="I69" s="372"/>
      <c r="J69" s="320"/>
      <c r="K69" s="320"/>
      <c r="L69" s="320"/>
      <c r="M69" s="371"/>
      <c r="N69" s="417"/>
      <c r="O69" s="121"/>
      <c r="P69" s="327"/>
      <c r="Q69" s="327"/>
      <c r="R69" s="368"/>
      <c r="S69" s="365"/>
      <c r="T69" s="327"/>
      <c r="U69" s="327"/>
      <c r="V69" s="327"/>
      <c r="W69" s="365"/>
      <c r="X69" s="365"/>
      <c r="Y69" s="327"/>
      <c r="Z69" s="327"/>
      <c r="AA69" s="327"/>
      <c r="AB69" s="368"/>
    </row>
    <row r="70" spans="1:28" ht="18" customHeight="1" x14ac:dyDescent="0.2">
      <c r="A70" s="375"/>
      <c r="B70" s="117" t="s">
        <v>672</v>
      </c>
      <c r="C70" s="371"/>
      <c r="D70" s="372"/>
      <c r="E70" s="320"/>
      <c r="F70" s="320"/>
      <c r="G70" s="320"/>
      <c r="H70" s="371"/>
      <c r="I70" s="372"/>
      <c r="J70" s="320"/>
      <c r="K70" s="320"/>
      <c r="L70" s="320"/>
      <c r="M70" s="371"/>
      <c r="N70" s="417"/>
      <c r="O70" s="121"/>
      <c r="P70" s="327"/>
      <c r="Q70" s="327"/>
      <c r="R70" s="368"/>
      <c r="S70" s="365"/>
      <c r="T70" s="327"/>
      <c r="U70" s="327"/>
      <c r="V70" s="327"/>
      <c r="W70" s="365"/>
      <c r="X70" s="365"/>
      <c r="Y70" s="327"/>
      <c r="Z70" s="327"/>
      <c r="AA70" s="327"/>
      <c r="AB70" s="368"/>
    </row>
    <row r="71" spans="1:28" ht="18" customHeight="1" x14ac:dyDescent="0.2">
      <c r="A71" s="375"/>
      <c r="B71" s="117" t="s">
        <v>673</v>
      </c>
      <c r="C71" s="371"/>
      <c r="D71" s="372"/>
      <c r="E71" s="320"/>
      <c r="F71" s="320"/>
      <c r="G71" s="320"/>
      <c r="H71" s="371"/>
      <c r="I71" s="372"/>
      <c r="J71" s="320"/>
      <c r="K71" s="320"/>
      <c r="L71" s="320"/>
      <c r="M71" s="371"/>
      <c r="N71" s="417"/>
      <c r="O71" s="121"/>
      <c r="P71" s="327"/>
      <c r="Q71" s="327"/>
      <c r="R71" s="368"/>
      <c r="S71" s="365"/>
      <c r="T71" s="327"/>
      <c r="U71" s="327"/>
      <c r="V71" s="327"/>
      <c r="W71" s="365"/>
      <c r="X71" s="365"/>
      <c r="Y71" s="327"/>
      <c r="Z71" s="327"/>
      <c r="AA71" s="327"/>
      <c r="AB71" s="368"/>
    </row>
    <row r="72" spans="1:28" ht="18" customHeight="1" x14ac:dyDescent="0.2">
      <c r="A72" s="375"/>
      <c r="B72" s="116" t="s">
        <v>311</v>
      </c>
      <c r="C72" s="371"/>
      <c r="D72" s="372"/>
      <c r="E72" s="320"/>
      <c r="F72" s="320"/>
      <c r="G72" s="320"/>
      <c r="H72" s="371"/>
      <c r="I72" s="372"/>
      <c r="J72" s="320"/>
      <c r="K72" s="320"/>
      <c r="L72" s="320"/>
      <c r="M72" s="371"/>
      <c r="N72" s="417"/>
      <c r="O72" s="121"/>
      <c r="P72" s="327"/>
      <c r="Q72" s="327"/>
      <c r="R72" s="368"/>
      <c r="S72" s="365"/>
      <c r="T72" s="327"/>
      <c r="U72" s="327"/>
      <c r="V72" s="327"/>
      <c r="W72" s="365"/>
      <c r="X72" s="365"/>
      <c r="Y72" s="327"/>
      <c r="Z72" s="327"/>
      <c r="AA72" s="327"/>
      <c r="AB72" s="368"/>
    </row>
    <row r="73" spans="1:28" ht="18" customHeight="1" x14ac:dyDescent="0.2">
      <c r="A73" s="375"/>
      <c r="B73" s="118" t="s">
        <v>674</v>
      </c>
      <c r="C73" s="371"/>
      <c r="D73" s="372"/>
      <c r="E73" s="320"/>
      <c r="F73" s="320"/>
      <c r="G73" s="320"/>
      <c r="H73" s="371"/>
      <c r="I73" s="372"/>
      <c r="J73" s="320"/>
      <c r="K73" s="320"/>
      <c r="L73" s="320"/>
      <c r="M73" s="371"/>
      <c r="N73" s="417"/>
      <c r="O73" s="121"/>
      <c r="P73" s="327"/>
      <c r="Q73" s="327"/>
      <c r="R73" s="368"/>
      <c r="S73" s="365"/>
      <c r="T73" s="327"/>
      <c r="U73" s="327"/>
      <c r="V73" s="327"/>
      <c r="W73" s="365"/>
      <c r="X73" s="365"/>
      <c r="Y73" s="327"/>
      <c r="Z73" s="327"/>
      <c r="AA73" s="327"/>
      <c r="AB73" s="368"/>
    </row>
    <row r="74" spans="1:28" ht="18" customHeight="1" x14ac:dyDescent="0.2">
      <c r="A74" s="375"/>
      <c r="B74" s="118" t="s">
        <v>675</v>
      </c>
      <c r="C74" s="371"/>
      <c r="D74" s="372"/>
      <c r="E74" s="320"/>
      <c r="F74" s="320"/>
      <c r="G74" s="320"/>
      <c r="H74" s="371"/>
      <c r="I74" s="372"/>
      <c r="J74" s="320"/>
      <c r="K74" s="320"/>
      <c r="L74" s="320"/>
      <c r="M74" s="371"/>
      <c r="N74" s="417"/>
      <c r="O74" s="121"/>
      <c r="P74" s="327"/>
      <c r="Q74" s="327"/>
      <c r="R74" s="368"/>
      <c r="S74" s="365"/>
      <c r="T74" s="327"/>
      <c r="U74" s="327"/>
      <c r="V74" s="327"/>
      <c r="W74" s="365"/>
      <c r="X74" s="365"/>
      <c r="Y74" s="327"/>
      <c r="Z74" s="327"/>
      <c r="AA74" s="327"/>
      <c r="AB74" s="368"/>
    </row>
    <row r="75" spans="1:28" ht="18" customHeight="1" x14ac:dyDescent="0.2">
      <c r="A75" s="375"/>
      <c r="B75" s="118" t="s">
        <v>676</v>
      </c>
      <c r="C75" s="371"/>
      <c r="D75" s="372"/>
      <c r="E75" s="320"/>
      <c r="F75" s="320"/>
      <c r="G75" s="320"/>
      <c r="H75" s="371"/>
      <c r="I75" s="372"/>
      <c r="J75" s="320"/>
      <c r="K75" s="320"/>
      <c r="L75" s="320"/>
      <c r="M75" s="371"/>
      <c r="N75" s="417"/>
      <c r="O75" s="121"/>
      <c r="P75" s="327"/>
      <c r="Q75" s="327"/>
      <c r="R75" s="368"/>
      <c r="S75" s="365"/>
      <c r="T75" s="327"/>
      <c r="U75" s="327"/>
      <c r="V75" s="327"/>
      <c r="W75" s="365"/>
      <c r="X75" s="365"/>
      <c r="Y75" s="327"/>
      <c r="Z75" s="327"/>
      <c r="AA75" s="327"/>
      <c r="AB75" s="368"/>
    </row>
    <row r="76" spans="1:28" ht="31.5" customHeight="1" x14ac:dyDescent="0.2">
      <c r="A76" s="375"/>
      <c r="B76" s="118" t="s">
        <v>677</v>
      </c>
      <c r="C76" s="371"/>
      <c r="D76" s="372"/>
      <c r="E76" s="320"/>
      <c r="F76" s="320"/>
      <c r="G76" s="320"/>
      <c r="H76" s="371"/>
      <c r="I76" s="372"/>
      <c r="J76" s="320"/>
      <c r="K76" s="320"/>
      <c r="L76" s="320"/>
      <c r="M76" s="371"/>
      <c r="N76" s="417"/>
      <c r="O76" s="121"/>
      <c r="P76" s="327"/>
      <c r="Q76" s="327"/>
      <c r="R76" s="368"/>
      <c r="S76" s="365"/>
      <c r="T76" s="327"/>
      <c r="U76" s="327"/>
      <c r="V76" s="327"/>
      <c r="W76" s="365"/>
      <c r="X76" s="365"/>
      <c r="Y76" s="327"/>
      <c r="Z76" s="327"/>
      <c r="AA76" s="327"/>
      <c r="AB76" s="368"/>
    </row>
    <row r="77" spans="1:28" ht="18" customHeight="1" x14ac:dyDescent="0.2">
      <c r="A77" s="375"/>
      <c r="B77" s="118" t="s">
        <v>678</v>
      </c>
      <c r="C77" s="371"/>
      <c r="D77" s="372"/>
      <c r="E77" s="320"/>
      <c r="F77" s="320"/>
      <c r="G77" s="320"/>
      <c r="H77" s="371"/>
      <c r="I77" s="372"/>
      <c r="J77" s="320"/>
      <c r="K77" s="320"/>
      <c r="L77" s="320"/>
      <c r="M77" s="371"/>
      <c r="N77" s="417"/>
      <c r="O77" s="121"/>
      <c r="P77" s="327"/>
      <c r="Q77" s="327"/>
      <c r="R77" s="368"/>
      <c r="S77" s="365"/>
      <c r="T77" s="327"/>
      <c r="U77" s="327"/>
      <c r="V77" s="327"/>
      <c r="W77" s="365"/>
      <c r="X77" s="365"/>
      <c r="Y77" s="327"/>
      <c r="Z77" s="327"/>
      <c r="AA77" s="327"/>
      <c r="AB77" s="368"/>
    </row>
    <row r="78" spans="1:28" ht="32.25" customHeight="1" x14ac:dyDescent="0.2">
      <c r="A78" s="375"/>
      <c r="B78" s="118" t="s">
        <v>679</v>
      </c>
      <c r="C78" s="371"/>
      <c r="D78" s="372"/>
      <c r="E78" s="320"/>
      <c r="F78" s="320"/>
      <c r="G78" s="320"/>
      <c r="H78" s="371"/>
      <c r="I78" s="372"/>
      <c r="J78" s="320"/>
      <c r="K78" s="320"/>
      <c r="L78" s="320"/>
      <c r="M78" s="371"/>
      <c r="N78" s="417"/>
      <c r="O78" s="121"/>
      <c r="P78" s="327"/>
      <c r="Q78" s="327"/>
      <c r="R78" s="368"/>
      <c r="S78" s="365"/>
      <c r="T78" s="327"/>
      <c r="U78" s="327"/>
      <c r="V78" s="327"/>
      <c r="W78" s="365"/>
      <c r="X78" s="365"/>
      <c r="Y78" s="327"/>
      <c r="Z78" s="327"/>
      <c r="AA78" s="327"/>
      <c r="AB78" s="368"/>
    </row>
    <row r="79" spans="1:28" ht="18" customHeight="1" x14ac:dyDescent="0.2">
      <c r="A79" s="375"/>
      <c r="B79" s="118" t="s">
        <v>680</v>
      </c>
      <c r="C79" s="371"/>
      <c r="D79" s="372"/>
      <c r="E79" s="320"/>
      <c r="F79" s="320"/>
      <c r="G79" s="320"/>
      <c r="H79" s="371"/>
      <c r="I79" s="372"/>
      <c r="J79" s="320"/>
      <c r="K79" s="320"/>
      <c r="L79" s="320"/>
      <c r="M79" s="371"/>
      <c r="N79" s="417"/>
      <c r="O79" s="121"/>
      <c r="P79" s="327"/>
      <c r="Q79" s="327"/>
      <c r="R79" s="368"/>
      <c r="S79" s="365"/>
      <c r="T79" s="327"/>
      <c r="U79" s="327"/>
      <c r="V79" s="327"/>
      <c r="W79" s="365"/>
      <c r="X79" s="365"/>
      <c r="Y79" s="327"/>
      <c r="Z79" s="327"/>
      <c r="AA79" s="327"/>
      <c r="AB79" s="368"/>
    </row>
    <row r="80" spans="1:28" ht="18" customHeight="1" x14ac:dyDescent="0.2">
      <c r="A80" s="375"/>
      <c r="B80" s="118" t="s">
        <v>681</v>
      </c>
      <c r="C80" s="371"/>
      <c r="D80" s="372"/>
      <c r="E80" s="320"/>
      <c r="F80" s="320"/>
      <c r="G80" s="320"/>
      <c r="H80" s="371"/>
      <c r="I80" s="372"/>
      <c r="J80" s="320"/>
      <c r="K80" s="320"/>
      <c r="L80" s="320"/>
      <c r="M80" s="371"/>
      <c r="N80" s="417"/>
      <c r="O80" s="121"/>
      <c r="P80" s="327"/>
      <c r="Q80" s="327"/>
      <c r="R80" s="368"/>
      <c r="S80" s="365"/>
      <c r="T80" s="327"/>
      <c r="U80" s="327"/>
      <c r="V80" s="327"/>
      <c r="W80" s="365"/>
      <c r="X80" s="365"/>
      <c r="Y80" s="327"/>
      <c r="Z80" s="327"/>
      <c r="AA80" s="327"/>
      <c r="AB80" s="368"/>
    </row>
    <row r="81" spans="1:28" ht="18" customHeight="1" x14ac:dyDescent="0.2">
      <c r="A81" s="375"/>
      <c r="B81" s="118" t="s">
        <v>682</v>
      </c>
      <c r="C81" s="371"/>
      <c r="D81" s="372"/>
      <c r="E81" s="320"/>
      <c r="F81" s="320"/>
      <c r="G81" s="320"/>
      <c r="H81" s="371"/>
      <c r="I81" s="372"/>
      <c r="J81" s="320"/>
      <c r="K81" s="320"/>
      <c r="L81" s="320"/>
      <c r="M81" s="371"/>
      <c r="N81" s="417"/>
      <c r="O81" s="121"/>
      <c r="P81" s="327"/>
      <c r="Q81" s="327"/>
      <c r="R81" s="368"/>
      <c r="S81" s="365"/>
      <c r="T81" s="327"/>
      <c r="U81" s="327"/>
      <c r="V81" s="327"/>
      <c r="W81" s="365"/>
      <c r="X81" s="365"/>
      <c r="Y81" s="327"/>
      <c r="Z81" s="327"/>
      <c r="AA81" s="327"/>
      <c r="AB81" s="368"/>
    </row>
    <row r="82" spans="1:28" ht="18" customHeight="1" x14ac:dyDescent="0.2">
      <c r="A82" s="375"/>
      <c r="B82" s="118" t="s">
        <v>683</v>
      </c>
      <c r="C82" s="371"/>
      <c r="D82" s="372"/>
      <c r="E82" s="320"/>
      <c r="F82" s="320"/>
      <c r="G82" s="320"/>
      <c r="H82" s="371"/>
      <c r="I82" s="372"/>
      <c r="J82" s="320"/>
      <c r="K82" s="320"/>
      <c r="L82" s="320"/>
      <c r="M82" s="371"/>
      <c r="N82" s="417"/>
      <c r="O82" s="121"/>
      <c r="P82" s="327"/>
      <c r="Q82" s="327"/>
      <c r="R82" s="368"/>
      <c r="S82" s="365"/>
      <c r="T82" s="327"/>
      <c r="U82" s="327"/>
      <c r="V82" s="327"/>
      <c r="W82" s="365"/>
      <c r="X82" s="365"/>
      <c r="Y82" s="327"/>
      <c r="Z82" s="327"/>
      <c r="AA82" s="327"/>
      <c r="AB82" s="368"/>
    </row>
    <row r="83" spans="1:28" ht="18" customHeight="1" x14ac:dyDescent="0.2">
      <c r="A83" s="375"/>
      <c r="B83" s="118" t="s">
        <v>684</v>
      </c>
      <c r="C83" s="371"/>
      <c r="D83" s="372"/>
      <c r="E83" s="320"/>
      <c r="F83" s="320"/>
      <c r="G83" s="320"/>
      <c r="H83" s="371"/>
      <c r="I83" s="372"/>
      <c r="J83" s="320"/>
      <c r="K83" s="320"/>
      <c r="L83" s="320"/>
      <c r="M83" s="371"/>
      <c r="N83" s="417"/>
      <c r="O83" s="121"/>
      <c r="P83" s="327"/>
      <c r="Q83" s="327"/>
      <c r="R83" s="368"/>
      <c r="S83" s="365"/>
      <c r="T83" s="327"/>
      <c r="U83" s="327"/>
      <c r="V83" s="327"/>
      <c r="W83" s="365"/>
      <c r="X83" s="365"/>
      <c r="Y83" s="327"/>
      <c r="Z83" s="327"/>
      <c r="AA83" s="327"/>
      <c r="AB83" s="368"/>
    </row>
    <row r="84" spans="1:28" ht="18" customHeight="1" x14ac:dyDescent="0.2">
      <c r="A84" s="375"/>
      <c r="B84" s="118" t="s">
        <v>685</v>
      </c>
      <c r="C84" s="371"/>
      <c r="D84" s="372"/>
      <c r="E84" s="320"/>
      <c r="F84" s="320"/>
      <c r="G84" s="320"/>
      <c r="H84" s="371"/>
      <c r="I84" s="372"/>
      <c r="J84" s="320"/>
      <c r="K84" s="320"/>
      <c r="L84" s="320"/>
      <c r="M84" s="371"/>
      <c r="N84" s="417"/>
      <c r="O84" s="121"/>
      <c r="P84" s="327"/>
      <c r="Q84" s="327"/>
      <c r="R84" s="368"/>
      <c r="S84" s="365"/>
      <c r="T84" s="327"/>
      <c r="U84" s="327"/>
      <c r="V84" s="327"/>
      <c r="W84" s="365"/>
      <c r="X84" s="365"/>
      <c r="Y84" s="327"/>
      <c r="Z84" s="327"/>
      <c r="AA84" s="327"/>
      <c r="AB84" s="368"/>
    </row>
    <row r="85" spans="1:28" ht="18" customHeight="1" x14ac:dyDescent="0.2">
      <c r="A85" s="375"/>
      <c r="B85" s="118" t="s">
        <v>686</v>
      </c>
      <c r="C85" s="371"/>
      <c r="D85" s="372"/>
      <c r="E85" s="320"/>
      <c r="F85" s="320"/>
      <c r="G85" s="320"/>
      <c r="H85" s="371"/>
      <c r="I85" s="372"/>
      <c r="J85" s="320"/>
      <c r="K85" s="320"/>
      <c r="L85" s="320"/>
      <c r="M85" s="371"/>
      <c r="N85" s="417"/>
      <c r="O85" s="121"/>
      <c r="P85" s="327"/>
      <c r="Q85" s="327"/>
      <c r="R85" s="368"/>
      <c r="S85" s="365"/>
      <c r="T85" s="327"/>
      <c r="U85" s="327"/>
      <c r="V85" s="327"/>
      <c r="W85" s="365"/>
      <c r="X85" s="365"/>
      <c r="Y85" s="327"/>
      <c r="Z85" s="327"/>
      <c r="AA85" s="327"/>
      <c r="AB85" s="368"/>
    </row>
    <row r="86" spans="1:28" ht="20.25" customHeight="1" x14ac:dyDescent="0.2">
      <c r="A86" s="375"/>
      <c r="B86" s="118" t="s">
        <v>687</v>
      </c>
      <c r="C86" s="371"/>
      <c r="D86" s="372"/>
      <c r="E86" s="320"/>
      <c r="F86" s="320"/>
      <c r="G86" s="320"/>
      <c r="H86" s="371"/>
      <c r="I86" s="372"/>
      <c r="J86" s="320"/>
      <c r="K86" s="320"/>
      <c r="L86" s="320"/>
      <c r="M86" s="371"/>
      <c r="N86" s="417"/>
      <c r="O86" s="121"/>
      <c r="P86" s="327"/>
      <c r="Q86" s="327"/>
      <c r="R86" s="368"/>
      <c r="S86" s="365"/>
      <c r="T86" s="327"/>
      <c r="U86" s="327"/>
      <c r="V86" s="327"/>
      <c r="W86" s="365"/>
      <c r="X86" s="365"/>
      <c r="Y86" s="327"/>
      <c r="Z86" s="327"/>
      <c r="AA86" s="327"/>
      <c r="AB86" s="368"/>
    </row>
    <row r="87" spans="1:28" ht="18" customHeight="1" x14ac:dyDescent="0.25">
      <c r="A87" s="375"/>
      <c r="B87" s="122" t="s">
        <v>688</v>
      </c>
      <c r="C87" s="371"/>
      <c r="D87" s="372"/>
      <c r="E87" s="320"/>
      <c r="F87" s="320"/>
      <c r="G87" s="320"/>
      <c r="H87" s="371"/>
      <c r="I87" s="372"/>
      <c r="J87" s="320"/>
      <c r="K87" s="320"/>
      <c r="L87" s="320"/>
      <c r="M87" s="371"/>
      <c r="N87" s="417"/>
      <c r="O87" s="121"/>
      <c r="P87" s="327"/>
      <c r="Q87" s="327"/>
      <c r="R87" s="368"/>
      <c r="S87" s="365"/>
      <c r="T87" s="327"/>
      <c r="U87" s="327"/>
      <c r="V87" s="327"/>
      <c r="W87" s="365"/>
      <c r="X87" s="365"/>
      <c r="Y87" s="327"/>
      <c r="Z87" s="327"/>
      <c r="AA87" s="327"/>
      <c r="AB87" s="368"/>
    </row>
    <row r="88" spans="1:28" ht="18" customHeight="1" x14ac:dyDescent="0.2">
      <c r="A88" s="375"/>
      <c r="B88" s="118" t="s">
        <v>689</v>
      </c>
      <c r="C88" s="371"/>
      <c r="D88" s="372"/>
      <c r="E88" s="320"/>
      <c r="F88" s="320"/>
      <c r="G88" s="320"/>
      <c r="H88" s="371"/>
      <c r="I88" s="372"/>
      <c r="J88" s="320"/>
      <c r="K88" s="320"/>
      <c r="L88" s="320"/>
      <c r="M88" s="371"/>
      <c r="N88" s="417"/>
      <c r="O88" s="121"/>
      <c r="P88" s="327"/>
      <c r="Q88" s="327"/>
      <c r="R88" s="368"/>
      <c r="S88" s="365"/>
      <c r="T88" s="327"/>
      <c r="U88" s="327"/>
      <c r="V88" s="327"/>
      <c r="W88" s="365"/>
      <c r="X88" s="365"/>
      <c r="Y88" s="327"/>
      <c r="Z88" s="327"/>
      <c r="AA88" s="327"/>
      <c r="AB88" s="368"/>
    </row>
    <row r="89" spans="1:28" ht="20.25" customHeight="1" x14ac:dyDescent="0.2">
      <c r="A89" s="375"/>
      <c r="B89" s="118" t="s">
        <v>690</v>
      </c>
      <c r="C89" s="371"/>
      <c r="D89" s="372"/>
      <c r="E89" s="320"/>
      <c r="F89" s="320"/>
      <c r="G89" s="320"/>
      <c r="H89" s="371"/>
      <c r="I89" s="372"/>
      <c r="J89" s="320"/>
      <c r="K89" s="320"/>
      <c r="L89" s="320"/>
      <c r="M89" s="371"/>
      <c r="N89" s="417"/>
      <c r="O89" s="121"/>
      <c r="P89" s="327"/>
      <c r="Q89" s="327"/>
      <c r="R89" s="368"/>
      <c r="S89" s="365"/>
      <c r="T89" s="327"/>
      <c r="U89" s="327"/>
      <c r="V89" s="327"/>
      <c r="W89" s="365"/>
      <c r="X89" s="365"/>
      <c r="Y89" s="327"/>
      <c r="Z89" s="327"/>
      <c r="AA89" s="327"/>
      <c r="AB89" s="368"/>
    </row>
    <row r="90" spans="1:28" ht="18" customHeight="1" x14ac:dyDescent="0.2">
      <c r="A90" s="375"/>
      <c r="B90" s="116" t="s">
        <v>360</v>
      </c>
      <c r="C90" s="371"/>
      <c r="D90" s="372"/>
      <c r="E90" s="320"/>
      <c r="F90" s="320"/>
      <c r="G90" s="320"/>
      <c r="H90" s="371"/>
      <c r="I90" s="372"/>
      <c r="J90" s="320"/>
      <c r="K90" s="320"/>
      <c r="L90" s="320"/>
      <c r="M90" s="371"/>
      <c r="N90" s="417"/>
      <c r="O90" s="121"/>
      <c r="P90" s="327"/>
      <c r="Q90" s="327"/>
      <c r="R90" s="368"/>
      <c r="S90" s="365"/>
      <c r="T90" s="327"/>
      <c r="U90" s="327"/>
      <c r="V90" s="327"/>
      <c r="W90" s="365"/>
      <c r="X90" s="365"/>
      <c r="Y90" s="327"/>
      <c r="Z90" s="327"/>
      <c r="AA90" s="327"/>
      <c r="AB90" s="368"/>
    </row>
    <row r="91" spans="1:28" ht="25.5" customHeight="1" x14ac:dyDescent="0.2">
      <c r="A91" s="375"/>
      <c r="B91" s="117" t="s">
        <v>691</v>
      </c>
      <c r="C91" s="371"/>
      <c r="D91" s="372"/>
      <c r="E91" s="320"/>
      <c r="F91" s="320"/>
      <c r="G91" s="320"/>
      <c r="H91" s="371"/>
      <c r="I91" s="372"/>
      <c r="J91" s="320"/>
      <c r="K91" s="320"/>
      <c r="L91" s="320"/>
      <c r="M91" s="371"/>
      <c r="N91" s="417"/>
      <c r="O91" s="121"/>
      <c r="P91" s="327"/>
      <c r="Q91" s="327"/>
      <c r="R91" s="368"/>
      <c r="S91" s="365"/>
      <c r="T91" s="327"/>
      <c r="U91" s="327"/>
      <c r="V91" s="327"/>
      <c r="W91" s="365"/>
      <c r="X91" s="365"/>
      <c r="Y91" s="327"/>
      <c r="Z91" s="327"/>
      <c r="AA91" s="327"/>
      <c r="AB91" s="368"/>
    </row>
    <row r="92" spans="1:28" ht="18" customHeight="1" x14ac:dyDescent="0.2">
      <c r="A92" s="375"/>
      <c r="B92" s="117" t="s">
        <v>692</v>
      </c>
      <c r="C92" s="371"/>
      <c r="D92" s="372"/>
      <c r="E92" s="320"/>
      <c r="F92" s="320"/>
      <c r="G92" s="320"/>
      <c r="H92" s="371"/>
      <c r="I92" s="372"/>
      <c r="J92" s="320"/>
      <c r="K92" s="320"/>
      <c r="L92" s="320"/>
      <c r="M92" s="371"/>
      <c r="N92" s="417"/>
      <c r="O92" s="121"/>
      <c r="P92" s="327"/>
      <c r="Q92" s="327"/>
      <c r="R92" s="368"/>
      <c r="S92" s="365"/>
      <c r="T92" s="327"/>
      <c r="U92" s="327"/>
      <c r="V92" s="327"/>
      <c r="W92" s="365"/>
      <c r="X92" s="365"/>
      <c r="Y92" s="327"/>
      <c r="Z92" s="327"/>
      <c r="AA92" s="327"/>
      <c r="AB92" s="368"/>
    </row>
    <row r="93" spans="1:28" ht="33.75" customHeight="1" x14ac:dyDescent="0.2">
      <c r="A93" s="375"/>
      <c r="B93" s="117" t="s">
        <v>693</v>
      </c>
      <c r="C93" s="371"/>
      <c r="D93" s="372"/>
      <c r="E93" s="320"/>
      <c r="F93" s="320"/>
      <c r="G93" s="320"/>
      <c r="H93" s="371"/>
      <c r="I93" s="372"/>
      <c r="J93" s="320"/>
      <c r="K93" s="320"/>
      <c r="L93" s="320"/>
      <c r="M93" s="371"/>
      <c r="N93" s="417"/>
      <c r="O93" s="121"/>
      <c r="P93" s="327"/>
      <c r="Q93" s="327"/>
      <c r="R93" s="368"/>
      <c r="S93" s="365"/>
      <c r="T93" s="327"/>
      <c r="U93" s="327"/>
      <c r="V93" s="327"/>
      <c r="W93" s="365"/>
      <c r="X93" s="365"/>
      <c r="Y93" s="327"/>
      <c r="Z93" s="327"/>
      <c r="AA93" s="327"/>
      <c r="AB93" s="368"/>
    </row>
    <row r="94" spans="1:28" ht="19.5" customHeight="1" x14ac:dyDescent="0.2">
      <c r="A94" s="375"/>
      <c r="B94" s="117" t="s">
        <v>694</v>
      </c>
      <c r="C94" s="371"/>
      <c r="D94" s="372"/>
      <c r="E94" s="320"/>
      <c r="F94" s="320"/>
      <c r="G94" s="320"/>
      <c r="H94" s="371"/>
      <c r="I94" s="372"/>
      <c r="J94" s="320"/>
      <c r="K94" s="320"/>
      <c r="L94" s="320"/>
      <c r="M94" s="371"/>
      <c r="N94" s="417"/>
      <c r="O94" s="121"/>
      <c r="P94" s="327"/>
      <c r="Q94" s="327"/>
      <c r="R94" s="368"/>
      <c r="S94" s="365"/>
      <c r="T94" s="327"/>
      <c r="U94" s="327"/>
      <c r="V94" s="327"/>
      <c r="W94" s="365"/>
      <c r="X94" s="365"/>
      <c r="Y94" s="327"/>
      <c r="Z94" s="327"/>
      <c r="AA94" s="327"/>
      <c r="AB94" s="368"/>
    </row>
    <row r="95" spans="1:28" ht="19.5" customHeight="1" x14ac:dyDescent="0.2">
      <c r="A95" s="375"/>
      <c r="B95" s="117" t="s">
        <v>695</v>
      </c>
      <c r="C95" s="371"/>
      <c r="D95" s="372"/>
      <c r="E95" s="320"/>
      <c r="F95" s="320"/>
      <c r="G95" s="320"/>
      <c r="H95" s="371"/>
      <c r="I95" s="372"/>
      <c r="J95" s="320"/>
      <c r="K95" s="320"/>
      <c r="L95" s="320"/>
      <c r="M95" s="371"/>
      <c r="N95" s="417"/>
      <c r="O95" s="121"/>
      <c r="P95" s="327"/>
      <c r="Q95" s="327"/>
      <c r="R95" s="368"/>
      <c r="S95" s="365"/>
      <c r="T95" s="327"/>
      <c r="U95" s="327"/>
      <c r="V95" s="327"/>
      <c r="W95" s="365"/>
      <c r="X95" s="365"/>
      <c r="Y95" s="327"/>
      <c r="Z95" s="327"/>
      <c r="AA95" s="327"/>
      <c r="AB95" s="368"/>
    </row>
    <row r="96" spans="1:28" ht="20.25" customHeight="1" x14ac:dyDescent="0.2">
      <c r="A96" s="375"/>
      <c r="B96" s="117" t="s">
        <v>745</v>
      </c>
      <c r="C96" s="371"/>
      <c r="D96" s="372"/>
      <c r="E96" s="320"/>
      <c r="F96" s="320"/>
      <c r="G96" s="320"/>
      <c r="H96" s="371"/>
      <c r="I96" s="372"/>
      <c r="J96" s="320"/>
      <c r="K96" s="320"/>
      <c r="L96" s="320"/>
      <c r="M96" s="371"/>
      <c r="N96" s="417"/>
      <c r="O96" s="121"/>
      <c r="P96" s="327"/>
      <c r="Q96" s="327"/>
      <c r="R96" s="368"/>
      <c r="S96" s="365"/>
      <c r="T96" s="327"/>
      <c r="U96" s="327"/>
      <c r="V96" s="327"/>
      <c r="W96" s="365"/>
      <c r="X96" s="365"/>
      <c r="Y96" s="327"/>
      <c r="Z96" s="327"/>
      <c r="AA96" s="327"/>
      <c r="AB96" s="368"/>
    </row>
    <row r="97" spans="1:28" ht="19.5" customHeight="1" x14ac:dyDescent="0.2">
      <c r="A97" s="375"/>
      <c r="B97" s="118" t="s">
        <v>696</v>
      </c>
      <c r="C97" s="371"/>
      <c r="D97" s="372"/>
      <c r="E97" s="320"/>
      <c r="F97" s="320"/>
      <c r="G97" s="320"/>
      <c r="H97" s="371"/>
      <c r="I97" s="372"/>
      <c r="J97" s="320"/>
      <c r="K97" s="320"/>
      <c r="L97" s="320"/>
      <c r="M97" s="371"/>
      <c r="N97" s="417"/>
      <c r="O97" s="121"/>
      <c r="P97" s="327"/>
      <c r="Q97" s="327"/>
      <c r="R97" s="368"/>
      <c r="S97" s="365"/>
      <c r="T97" s="327"/>
      <c r="U97" s="327"/>
      <c r="V97" s="327"/>
      <c r="W97" s="365"/>
      <c r="X97" s="365"/>
      <c r="Y97" s="327"/>
      <c r="Z97" s="327"/>
      <c r="AA97" s="327"/>
      <c r="AB97" s="368"/>
    </row>
    <row r="98" spans="1:28" ht="19.5" customHeight="1" x14ac:dyDescent="0.2">
      <c r="A98" s="375"/>
      <c r="B98" s="118" t="s">
        <v>697</v>
      </c>
      <c r="C98" s="371"/>
      <c r="D98" s="372"/>
      <c r="E98" s="320"/>
      <c r="F98" s="320"/>
      <c r="G98" s="320"/>
      <c r="H98" s="371"/>
      <c r="I98" s="372"/>
      <c r="J98" s="320"/>
      <c r="K98" s="320"/>
      <c r="L98" s="320"/>
      <c r="M98" s="371"/>
      <c r="N98" s="417"/>
      <c r="O98" s="121"/>
      <c r="P98" s="327"/>
      <c r="Q98" s="327"/>
      <c r="R98" s="368"/>
      <c r="S98" s="365"/>
      <c r="T98" s="327"/>
      <c r="U98" s="327"/>
      <c r="V98" s="327"/>
      <c r="W98" s="365"/>
      <c r="X98" s="365"/>
      <c r="Y98" s="327"/>
      <c r="Z98" s="327"/>
      <c r="AA98" s="327"/>
      <c r="AB98" s="368"/>
    </row>
    <row r="99" spans="1:28" ht="19.5" customHeight="1" x14ac:dyDescent="0.2">
      <c r="A99" s="375"/>
      <c r="B99" s="118" t="s">
        <v>698</v>
      </c>
      <c r="C99" s="371"/>
      <c r="D99" s="372"/>
      <c r="E99" s="320"/>
      <c r="F99" s="320"/>
      <c r="G99" s="320"/>
      <c r="H99" s="371"/>
      <c r="I99" s="372"/>
      <c r="J99" s="320"/>
      <c r="K99" s="320"/>
      <c r="L99" s="320"/>
      <c r="M99" s="371"/>
      <c r="N99" s="417"/>
      <c r="O99" s="121"/>
      <c r="P99" s="327"/>
      <c r="Q99" s="327"/>
      <c r="R99" s="368"/>
      <c r="S99" s="365"/>
      <c r="T99" s="327"/>
      <c r="U99" s="327"/>
      <c r="V99" s="327"/>
      <c r="W99" s="365"/>
      <c r="X99" s="365"/>
      <c r="Y99" s="327"/>
      <c r="Z99" s="327"/>
      <c r="AA99" s="327"/>
      <c r="AB99" s="368"/>
    </row>
    <row r="100" spans="1:28" ht="15" customHeight="1" x14ac:dyDescent="0.2">
      <c r="A100" s="375"/>
      <c r="B100" s="118" t="s">
        <v>699</v>
      </c>
      <c r="C100" s="371"/>
      <c r="D100" s="372"/>
      <c r="E100" s="320"/>
      <c r="F100" s="320"/>
      <c r="G100" s="320"/>
      <c r="H100" s="371"/>
      <c r="I100" s="372"/>
      <c r="J100" s="320"/>
      <c r="K100" s="320"/>
      <c r="L100" s="320"/>
      <c r="M100" s="371"/>
      <c r="N100" s="417"/>
      <c r="O100" s="121"/>
      <c r="P100" s="327"/>
      <c r="Q100" s="327"/>
      <c r="R100" s="368"/>
      <c r="S100" s="365"/>
      <c r="T100" s="327"/>
      <c r="U100" s="327"/>
      <c r="V100" s="327"/>
      <c r="W100" s="365"/>
      <c r="X100" s="365"/>
      <c r="Y100" s="327"/>
      <c r="Z100" s="327"/>
      <c r="AA100" s="327"/>
      <c r="AB100" s="368"/>
    </row>
    <row r="101" spans="1:28" ht="15.75" customHeight="1" x14ac:dyDescent="0.2">
      <c r="A101" s="375"/>
      <c r="B101" s="118" t="s">
        <v>700</v>
      </c>
      <c r="C101" s="371"/>
      <c r="D101" s="372"/>
      <c r="E101" s="320"/>
      <c r="F101" s="320"/>
      <c r="G101" s="320"/>
      <c r="H101" s="371"/>
      <c r="I101" s="372"/>
      <c r="J101" s="320"/>
      <c r="K101" s="320"/>
      <c r="L101" s="320"/>
      <c r="M101" s="371"/>
      <c r="N101" s="417"/>
      <c r="O101" s="121"/>
      <c r="P101" s="327"/>
      <c r="Q101" s="327"/>
      <c r="R101" s="368"/>
      <c r="S101" s="365"/>
      <c r="T101" s="327"/>
      <c r="U101" s="327"/>
      <c r="V101" s="327"/>
      <c r="W101" s="365"/>
      <c r="X101" s="365"/>
      <c r="Y101" s="327"/>
      <c r="Z101" s="327"/>
      <c r="AA101" s="327"/>
      <c r="AB101" s="368"/>
    </row>
    <row r="102" spans="1:28" ht="15.75" customHeight="1" x14ac:dyDescent="0.2">
      <c r="A102" s="375"/>
      <c r="B102" s="118" t="s">
        <v>746</v>
      </c>
      <c r="C102" s="371"/>
      <c r="D102" s="372"/>
      <c r="E102" s="320"/>
      <c r="F102" s="320"/>
      <c r="G102" s="320"/>
      <c r="H102" s="371"/>
      <c r="I102" s="372"/>
      <c r="J102" s="320"/>
      <c r="K102" s="320"/>
      <c r="L102" s="320"/>
      <c r="M102" s="371"/>
      <c r="N102" s="417"/>
      <c r="O102" s="121"/>
      <c r="P102" s="327"/>
      <c r="Q102" s="327"/>
      <c r="R102" s="368"/>
      <c r="S102" s="365"/>
      <c r="T102" s="327"/>
      <c r="U102" s="327"/>
      <c r="V102" s="327"/>
      <c r="W102" s="365"/>
      <c r="X102" s="365"/>
      <c r="Y102" s="327"/>
      <c r="Z102" s="327"/>
      <c r="AA102" s="327"/>
      <c r="AB102" s="368"/>
    </row>
    <row r="103" spans="1:28" ht="19.5" customHeight="1" x14ac:dyDescent="0.2">
      <c r="A103" s="375"/>
      <c r="B103" s="118" t="s">
        <v>747</v>
      </c>
      <c r="C103" s="371"/>
      <c r="D103" s="372"/>
      <c r="E103" s="320"/>
      <c r="F103" s="320"/>
      <c r="G103" s="320"/>
      <c r="H103" s="371"/>
      <c r="I103" s="372"/>
      <c r="J103" s="320"/>
      <c r="K103" s="320"/>
      <c r="L103" s="320"/>
      <c r="M103" s="371"/>
      <c r="N103" s="417"/>
      <c r="O103" s="121"/>
      <c r="P103" s="327"/>
      <c r="Q103" s="327"/>
      <c r="R103" s="368"/>
      <c r="S103" s="365"/>
      <c r="T103" s="327"/>
      <c r="U103" s="327"/>
      <c r="V103" s="327"/>
      <c r="W103" s="365"/>
      <c r="X103" s="365"/>
      <c r="Y103" s="327"/>
      <c r="Z103" s="327"/>
      <c r="AA103" s="327"/>
      <c r="AB103" s="368"/>
    </row>
    <row r="104" spans="1:28" ht="19.5" customHeight="1" x14ac:dyDescent="0.2">
      <c r="A104" s="375"/>
      <c r="B104" s="118" t="s">
        <v>701</v>
      </c>
      <c r="C104" s="371"/>
      <c r="D104" s="372"/>
      <c r="E104" s="320"/>
      <c r="F104" s="320"/>
      <c r="G104" s="320"/>
      <c r="H104" s="371"/>
      <c r="I104" s="372"/>
      <c r="J104" s="320"/>
      <c r="K104" s="320"/>
      <c r="L104" s="320"/>
      <c r="M104" s="371"/>
      <c r="N104" s="417"/>
      <c r="O104" s="121"/>
      <c r="P104" s="327"/>
      <c r="Q104" s="327"/>
      <c r="R104" s="368"/>
      <c r="S104" s="365"/>
      <c r="T104" s="327"/>
      <c r="U104" s="327"/>
      <c r="V104" s="327"/>
      <c r="W104" s="365"/>
      <c r="X104" s="365"/>
      <c r="Y104" s="327"/>
      <c r="Z104" s="327"/>
      <c r="AA104" s="327"/>
      <c r="AB104" s="368"/>
    </row>
    <row r="105" spans="1:28" ht="21.75" customHeight="1" x14ac:dyDescent="0.2">
      <c r="A105" s="375"/>
      <c r="B105" s="118" t="s">
        <v>702</v>
      </c>
      <c r="C105" s="371"/>
      <c r="D105" s="372"/>
      <c r="E105" s="320"/>
      <c r="F105" s="320"/>
      <c r="G105" s="320"/>
      <c r="H105" s="371"/>
      <c r="I105" s="372"/>
      <c r="J105" s="320"/>
      <c r="K105" s="320"/>
      <c r="L105" s="320"/>
      <c r="M105" s="371"/>
      <c r="N105" s="417"/>
      <c r="O105" s="121"/>
      <c r="P105" s="327"/>
      <c r="Q105" s="327"/>
      <c r="R105" s="368"/>
      <c r="S105" s="365"/>
      <c r="T105" s="327"/>
      <c r="U105" s="327"/>
      <c r="V105" s="327"/>
      <c r="W105" s="365"/>
      <c r="X105" s="365"/>
      <c r="Y105" s="327"/>
      <c r="Z105" s="327"/>
      <c r="AA105" s="327"/>
      <c r="AB105" s="368"/>
    </row>
    <row r="106" spans="1:28" ht="21.75" customHeight="1" x14ac:dyDescent="0.2">
      <c r="A106" s="375"/>
      <c r="B106" s="118" t="s">
        <v>703</v>
      </c>
      <c r="C106" s="371"/>
      <c r="D106" s="372"/>
      <c r="E106" s="320"/>
      <c r="F106" s="320"/>
      <c r="G106" s="320"/>
      <c r="H106" s="371"/>
      <c r="I106" s="372"/>
      <c r="J106" s="320"/>
      <c r="K106" s="320"/>
      <c r="L106" s="320"/>
      <c r="M106" s="371"/>
      <c r="N106" s="417"/>
      <c r="O106" s="121"/>
      <c r="P106" s="327"/>
      <c r="Q106" s="327"/>
      <c r="R106" s="368"/>
      <c r="S106" s="365"/>
      <c r="T106" s="327"/>
      <c r="U106" s="327"/>
      <c r="V106" s="327"/>
      <c r="W106" s="365"/>
      <c r="X106" s="365"/>
      <c r="Y106" s="327"/>
      <c r="Z106" s="327"/>
      <c r="AA106" s="327"/>
      <c r="AB106" s="368"/>
    </row>
    <row r="107" spans="1:28" ht="21.75" customHeight="1" x14ac:dyDescent="0.2">
      <c r="A107" s="375"/>
      <c r="B107" s="118" t="s">
        <v>704</v>
      </c>
      <c r="C107" s="371"/>
      <c r="D107" s="372"/>
      <c r="E107" s="320"/>
      <c r="F107" s="320"/>
      <c r="G107" s="320"/>
      <c r="H107" s="371"/>
      <c r="I107" s="372"/>
      <c r="J107" s="320"/>
      <c r="K107" s="320"/>
      <c r="L107" s="320"/>
      <c r="M107" s="371"/>
      <c r="N107" s="417"/>
      <c r="O107" s="121"/>
      <c r="P107" s="327"/>
      <c r="Q107" s="327"/>
      <c r="R107" s="368"/>
      <c r="S107" s="365"/>
      <c r="T107" s="327"/>
      <c r="U107" s="327"/>
      <c r="V107" s="327"/>
      <c r="W107" s="365"/>
      <c r="X107" s="365"/>
      <c r="Y107" s="327"/>
      <c r="Z107" s="327"/>
      <c r="AA107" s="327"/>
      <c r="AB107" s="368"/>
    </row>
    <row r="108" spans="1:28" ht="17.25" customHeight="1" x14ac:dyDescent="0.2">
      <c r="A108" s="375"/>
      <c r="B108" s="118" t="s">
        <v>705</v>
      </c>
      <c r="C108" s="371"/>
      <c r="D108" s="372"/>
      <c r="E108" s="320"/>
      <c r="F108" s="320"/>
      <c r="G108" s="320"/>
      <c r="H108" s="371"/>
      <c r="I108" s="372"/>
      <c r="J108" s="320"/>
      <c r="K108" s="320"/>
      <c r="L108" s="320"/>
      <c r="M108" s="371"/>
      <c r="N108" s="417"/>
      <c r="O108" s="121"/>
      <c r="P108" s="327"/>
      <c r="Q108" s="327"/>
      <c r="R108" s="368"/>
      <c r="S108" s="365"/>
      <c r="T108" s="327"/>
      <c r="U108" s="327"/>
      <c r="V108" s="327"/>
      <c r="W108" s="365"/>
      <c r="X108" s="365"/>
      <c r="Y108" s="327"/>
      <c r="Z108" s="327"/>
      <c r="AA108" s="327"/>
      <c r="AB108" s="368"/>
    </row>
    <row r="109" spans="1:28" ht="18" customHeight="1" x14ac:dyDescent="0.2">
      <c r="A109" s="375"/>
      <c r="B109" s="118" t="s">
        <v>706</v>
      </c>
      <c r="C109" s="371"/>
      <c r="D109" s="372"/>
      <c r="E109" s="320"/>
      <c r="F109" s="320"/>
      <c r="G109" s="320"/>
      <c r="H109" s="371"/>
      <c r="I109" s="372"/>
      <c r="J109" s="320"/>
      <c r="K109" s="320"/>
      <c r="L109" s="320"/>
      <c r="M109" s="371"/>
      <c r="N109" s="417"/>
      <c r="O109" s="121"/>
      <c r="P109" s="327"/>
      <c r="Q109" s="327"/>
      <c r="R109" s="368"/>
      <c r="S109" s="365"/>
      <c r="T109" s="327"/>
      <c r="U109" s="327"/>
      <c r="V109" s="327"/>
      <c r="W109" s="365"/>
      <c r="X109" s="365"/>
      <c r="Y109" s="327"/>
      <c r="Z109" s="327"/>
      <c r="AA109" s="327"/>
      <c r="AB109" s="368"/>
    </row>
    <row r="110" spans="1:28" ht="18" customHeight="1" x14ac:dyDescent="0.2">
      <c r="A110" s="375"/>
      <c r="B110" s="118" t="s">
        <v>707</v>
      </c>
      <c r="C110" s="371"/>
      <c r="D110" s="372"/>
      <c r="E110" s="320"/>
      <c r="F110" s="320"/>
      <c r="G110" s="320"/>
      <c r="H110" s="371"/>
      <c r="I110" s="372"/>
      <c r="J110" s="320"/>
      <c r="K110" s="320"/>
      <c r="L110" s="320"/>
      <c r="M110" s="371"/>
      <c r="N110" s="417"/>
      <c r="O110" s="121"/>
      <c r="P110" s="327"/>
      <c r="Q110" s="327"/>
      <c r="R110" s="368"/>
      <c r="S110" s="365"/>
      <c r="T110" s="327"/>
      <c r="U110" s="327"/>
      <c r="V110" s="327"/>
      <c r="W110" s="365"/>
      <c r="X110" s="365"/>
      <c r="Y110" s="327"/>
      <c r="Z110" s="327"/>
      <c r="AA110" s="327"/>
      <c r="AB110" s="368"/>
    </row>
    <row r="111" spans="1:28" ht="16.5" customHeight="1" x14ac:dyDescent="0.2">
      <c r="A111" s="375"/>
      <c r="B111" s="118" t="s">
        <v>708</v>
      </c>
      <c r="C111" s="371"/>
      <c r="D111" s="372"/>
      <c r="E111" s="320"/>
      <c r="F111" s="320"/>
      <c r="G111" s="320"/>
      <c r="H111" s="371"/>
      <c r="I111" s="372"/>
      <c r="J111" s="320"/>
      <c r="K111" s="320"/>
      <c r="L111" s="320"/>
      <c r="M111" s="371"/>
      <c r="N111" s="417"/>
      <c r="O111" s="121"/>
      <c r="P111" s="327"/>
      <c r="Q111" s="327"/>
      <c r="R111" s="368"/>
      <c r="S111" s="365"/>
      <c r="T111" s="327"/>
      <c r="U111" s="327"/>
      <c r="V111" s="327"/>
      <c r="W111" s="365"/>
      <c r="X111" s="365"/>
      <c r="Y111" s="327"/>
      <c r="Z111" s="327"/>
      <c r="AA111" s="327"/>
      <c r="AB111" s="368"/>
    </row>
    <row r="112" spans="1:28" ht="16.5" customHeight="1" x14ac:dyDescent="0.2">
      <c r="A112" s="375"/>
      <c r="B112" s="118" t="s">
        <v>709</v>
      </c>
      <c r="C112" s="371"/>
      <c r="D112" s="372"/>
      <c r="E112" s="320"/>
      <c r="F112" s="320"/>
      <c r="G112" s="320"/>
      <c r="H112" s="371"/>
      <c r="I112" s="372"/>
      <c r="J112" s="320"/>
      <c r="K112" s="320"/>
      <c r="L112" s="320"/>
      <c r="M112" s="371"/>
      <c r="N112" s="417"/>
      <c r="O112" s="121"/>
      <c r="P112" s="327"/>
      <c r="Q112" s="327"/>
      <c r="R112" s="368"/>
      <c r="S112" s="365"/>
      <c r="T112" s="327"/>
      <c r="U112" s="327"/>
      <c r="V112" s="327"/>
      <c r="W112" s="365"/>
      <c r="X112" s="365"/>
      <c r="Y112" s="327"/>
      <c r="Z112" s="327"/>
      <c r="AA112" s="327"/>
      <c r="AB112" s="368"/>
    </row>
    <row r="113" spans="1:28" ht="18.75" customHeight="1" x14ac:dyDescent="0.2">
      <c r="A113" s="375"/>
      <c r="B113" s="118" t="s">
        <v>710</v>
      </c>
      <c r="C113" s="371"/>
      <c r="D113" s="372"/>
      <c r="E113" s="320"/>
      <c r="F113" s="320"/>
      <c r="G113" s="320"/>
      <c r="H113" s="371"/>
      <c r="I113" s="372"/>
      <c r="J113" s="320"/>
      <c r="K113" s="320"/>
      <c r="L113" s="320"/>
      <c r="M113" s="371"/>
      <c r="N113" s="417"/>
      <c r="O113" s="121"/>
      <c r="P113" s="327"/>
      <c r="Q113" s="327"/>
      <c r="R113" s="368"/>
      <c r="S113" s="365"/>
      <c r="T113" s="327"/>
      <c r="U113" s="327"/>
      <c r="V113" s="327"/>
      <c r="W113" s="365"/>
      <c r="X113" s="365"/>
      <c r="Y113" s="327"/>
      <c r="Z113" s="327"/>
      <c r="AA113" s="327"/>
      <c r="AB113" s="368"/>
    </row>
    <row r="114" spans="1:28" ht="18.75" customHeight="1" x14ac:dyDescent="0.2">
      <c r="A114" s="375"/>
      <c r="B114" s="118" t="s">
        <v>711</v>
      </c>
      <c r="C114" s="371"/>
      <c r="D114" s="372"/>
      <c r="E114" s="320"/>
      <c r="F114" s="320"/>
      <c r="G114" s="320"/>
      <c r="H114" s="371"/>
      <c r="I114" s="372"/>
      <c r="J114" s="320"/>
      <c r="K114" s="320"/>
      <c r="L114" s="320"/>
      <c r="M114" s="371"/>
      <c r="N114" s="417"/>
      <c r="O114" s="121"/>
      <c r="P114" s="327"/>
      <c r="Q114" s="327"/>
      <c r="R114" s="368"/>
      <c r="S114" s="365"/>
      <c r="T114" s="327"/>
      <c r="U114" s="327"/>
      <c r="V114" s="327"/>
      <c r="W114" s="365"/>
      <c r="X114" s="365"/>
      <c r="Y114" s="327"/>
      <c r="Z114" s="327"/>
      <c r="AA114" s="327"/>
      <c r="AB114" s="368"/>
    </row>
    <row r="115" spans="1:28" ht="20.25" customHeight="1" x14ac:dyDescent="0.2">
      <c r="A115" s="375"/>
      <c r="B115" s="118" t="s">
        <v>712</v>
      </c>
      <c r="C115" s="371"/>
      <c r="D115" s="372"/>
      <c r="E115" s="320"/>
      <c r="F115" s="320"/>
      <c r="G115" s="320"/>
      <c r="H115" s="371"/>
      <c r="I115" s="372"/>
      <c r="J115" s="320"/>
      <c r="K115" s="320"/>
      <c r="L115" s="320"/>
      <c r="M115" s="371"/>
      <c r="N115" s="417"/>
      <c r="O115" s="121"/>
      <c r="P115" s="327"/>
      <c r="Q115" s="327"/>
      <c r="R115" s="368"/>
      <c r="S115" s="365"/>
      <c r="T115" s="327"/>
      <c r="U115" s="327"/>
      <c r="V115" s="327"/>
      <c r="W115" s="365"/>
      <c r="X115" s="365"/>
      <c r="Y115" s="327"/>
      <c r="Z115" s="327"/>
      <c r="AA115" s="327"/>
      <c r="AB115" s="368"/>
    </row>
    <row r="116" spans="1:28" ht="18" customHeight="1" x14ac:dyDescent="0.2">
      <c r="A116" s="375"/>
      <c r="B116" s="116" t="s">
        <v>397</v>
      </c>
      <c r="C116" s="371"/>
      <c r="D116" s="372"/>
      <c r="E116" s="320"/>
      <c r="F116" s="320"/>
      <c r="G116" s="320"/>
      <c r="H116" s="371"/>
      <c r="I116" s="372"/>
      <c r="J116" s="320"/>
      <c r="K116" s="320"/>
      <c r="L116" s="320"/>
      <c r="M116" s="371"/>
      <c r="N116" s="372"/>
      <c r="O116" s="121"/>
      <c r="P116" s="327"/>
      <c r="Q116" s="327"/>
      <c r="R116" s="368"/>
      <c r="S116" s="365"/>
      <c r="T116" s="327"/>
      <c r="U116" s="327"/>
      <c r="V116" s="327"/>
      <c r="W116" s="365"/>
      <c r="X116" s="365"/>
      <c r="Y116" s="327"/>
      <c r="Z116" s="327"/>
      <c r="AA116" s="327"/>
      <c r="AB116" s="368"/>
    </row>
    <row r="117" spans="1:28" ht="18" customHeight="1" x14ac:dyDescent="0.2">
      <c r="A117" s="375"/>
      <c r="B117" s="525" t="s">
        <v>1503</v>
      </c>
      <c r="C117" s="371"/>
      <c r="D117" s="372"/>
      <c r="E117" s="320"/>
      <c r="F117" s="320"/>
      <c r="G117" s="320"/>
      <c r="H117" s="371"/>
      <c r="I117" s="372"/>
      <c r="J117" s="320"/>
      <c r="K117" s="320"/>
      <c r="L117" s="320"/>
      <c r="M117" s="371"/>
      <c r="N117" s="372"/>
      <c r="O117" s="121"/>
      <c r="P117" s="327"/>
      <c r="Q117" s="327"/>
      <c r="R117" s="368"/>
      <c r="S117" s="365"/>
      <c r="T117" s="327"/>
      <c r="U117" s="327"/>
      <c r="V117" s="327"/>
      <c r="W117" s="365"/>
      <c r="X117" s="365"/>
      <c r="Y117" s="327"/>
      <c r="Z117" s="327"/>
      <c r="AA117" s="327"/>
      <c r="AB117" s="368"/>
    </row>
    <row r="118" spans="1:28" ht="18" customHeight="1" x14ac:dyDescent="0.2">
      <c r="A118" s="375"/>
      <c r="B118" s="525" t="s">
        <v>1504</v>
      </c>
      <c r="C118" s="371"/>
      <c r="D118" s="372"/>
      <c r="E118" s="320"/>
      <c r="F118" s="320"/>
      <c r="G118" s="320"/>
      <c r="H118" s="371"/>
      <c r="I118" s="372"/>
      <c r="J118" s="320"/>
      <c r="K118" s="320"/>
      <c r="L118" s="320"/>
      <c r="M118" s="371"/>
      <c r="N118" s="372"/>
      <c r="O118" s="121"/>
      <c r="P118" s="327"/>
      <c r="Q118" s="327"/>
      <c r="R118" s="368"/>
      <c r="S118" s="365"/>
      <c r="T118" s="327"/>
      <c r="U118" s="327"/>
      <c r="V118" s="327"/>
      <c r="W118" s="365"/>
      <c r="X118" s="365"/>
      <c r="Y118" s="327"/>
      <c r="Z118" s="327"/>
      <c r="AA118" s="327"/>
      <c r="AB118" s="368"/>
    </row>
    <row r="119" spans="1:28" ht="18" customHeight="1" x14ac:dyDescent="0.2">
      <c r="A119" s="375"/>
      <c r="B119" s="525" t="s">
        <v>1505</v>
      </c>
      <c r="C119" s="371"/>
      <c r="D119" s="372"/>
      <c r="E119" s="320"/>
      <c r="F119" s="320"/>
      <c r="G119" s="320"/>
      <c r="H119" s="371"/>
      <c r="I119" s="372"/>
      <c r="J119" s="320"/>
      <c r="K119" s="320"/>
      <c r="L119" s="320"/>
      <c r="M119" s="371"/>
      <c r="N119" s="372"/>
      <c r="O119" s="121"/>
      <c r="P119" s="327"/>
      <c r="Q119" s="327"/>
      <c r="R119" s="368"/>
      <c r="S119" s="365"/>
      <c r="T119" s="327"/>
      <c r="U119" s="327"/>
      <c r="V119" s="327"/>
      <c r="W119" s="365"/>
      <c r="X119" s="365"/>
      <c r="Y119" s="327"/>
      <c r="Z119" s="327"/>
      <c r="AA119" s="327"/>
      <c r="AB119" s="368"/>
    </row>
    <row r="120" spans="1:28" ht="18" customHeight="1" x14ac:dyDescent="0.2">
      <c r="A120" s="375"/>
      <c r="B120" s="525" t="s">
        <v>1506</v>
      </c>
      <c r="C120" s="371"/>
      <c r="D120" s="372"/>
      <c r="E120" s="320"/>
      <c r="F120" s="320"/>
      <c r="G120" s="320"/>
      <c r="H120" s="371"/>
      <c r="I120" s="372"/>
      <c r="J120" s="320"/>
      <c r="K120" s="320"/>
      <c r="L120" s="320"/>
      <c r="M120" s="371"/>
      <c r="N120" s="372"/>
      <c r="O120" s="121"/>
      <c r="P120" s="327"/>
      <c r="Q120" s="327"/>
      <c r="R120" s="368"/>
      <c r="S120" s="365"/>
      <c r="T120" s="327"/>
      <c r="U120" s="327"/>
      <c r="V120" s="327"/>
      <c r="W120" s="365"/>
      <c r="X120" s="365"/>
      <c r="Y120" s="327"/>
      <c r="Z120" s="327"/>
      <c r="AA120" s="327"/>
      <c r="AB120" s="368"/>
    </row>
    <row r="121" spans="1:28" ht="18" customHeight="1" x14ac:dyDescent="0.2">
      <c r="A121" s="375"/>
      <c r="B121" s="525" t="s">
        <v>1507</v>
      </c>
      <c r="C121" s="371"/>
      <c r="D121" s="372"/>
      <c r="E121" s="320"/>
      <c r="F121" s="320"/>
      <c r="G121" s="320"/>
      <c r="H121" s="371"/>
      <c r="I121" s="372"/>
      <c r="J121" s="320"/>
      <c r="K121" s="320"/>
      <c r="L121" s="320"/>
      <c r="M121" s="371"/>
      <c r="N121" s="372"/>
      <c r="O121" s="121"/>
      <c r="P121" s="327"/>
      <c r="Q121" s="327"/>
      <c r="R121" s="368"/>
      <c r="S121" s="365"/>
      <c r="T121" s="327"/>
      <c r="U121" s="327"/>
      <c r="V121" s="327"/>
      <c r="W121" s="365"/>
      <c r="X121" s="365"/>
      <c r="Y121" s="327"/>
      <c r="Z121" s="327"/>
      <c r="AA121" s="327"/>
      <c r="AB121" s="368"/>
    </row>
    <row r="122" spans="1:28" ht="18" customHeight="1" x14ac:dyDescent="0.2">
      <c r="A122" s="375"/>
      <c r="B122" s="525" t="s">
        <v>1508</v>
      </c>
      <c r="C122" s="371"/>
      <c r="D122" s="372"/>
      <c r="E122" s="320"/>
      <c r="F122" s="320"/>
      <c r="G122" s="320"/>
      <c r="H122" s="371"/>
      <c r="I122" s="372"/>
      <c r="J122" s="320"/>
      <c r="K122" s="320"/>
      <c r="L122" s="320"/>
      <c r="M122" s="371"/>
      <c r="N122" s="372"/>
      <c r="O122" s="121"/>
      <c r="P122" s="327"/>
      <c r="Q122" s="327"/>
      <c r="R122" s="368"/>
      <c r="S122" s="365"/>
      <c r="T122" s="327"/>
      <c r="U122" s="327"/>
      <c r="V122" s="327"/>
      <c r="W122" s="365"/>
      <c r="X122" s="365"/>
      <c r="Y122" s="327"/>
      <c r="Z122" s="327"/>
      <c r="AA122" s="327"/>
      <c r="AB122" s="368"/>
    </row>
    <row r="123" spans="1:28" ht="18" customHeight="1" x14ac:dyDescent="0.2">
      <c r="A123" s="375"/>
      <c r="B123" s="525" t="s">
        <v>1509</v>
      </c>
      <c r="C123" s="371"/>
      <c r="D123" s="372"/>
      <c r="E123" s="320"/>
      <c r="F123" s="320"/>
      <c r="G123" s="320"/>
      <c r="H123" s="371"/>
      <c r="I123" s="372"/>
      <c r="J123" s="320"/>
      <c r="K123" s="320"/>
      <c r="L123" s="320"/>
      <c r="M123" s="371"/>
      <c r="N123" s="372"/>
      <c r="O123" s="121"/>
      <c r="P123" s="327"/>
      <c r="Q123" s="327"/>
      <c r="R123" s="368"/>
      <c r="S123" s="365"/>
      <c r="T123" s="327"/>
      <c r="U123" s="327"/>
      <c r="V123" s="327"/>
      <c r="W123" s="365"/>
      <c r="X123" s="365"/>
      <c r="Y123" s="327"/>
      <c r="Z123" s="327"/>
      <c r="AA123" s="327"/>
      <c r="AB123" s="368"/>
    </row>
    <row r="124" spans="1:28" ht="18" customHeight="1" x14ac:dyDescent="0.2">
      <c r="A124" s="375"/>
      <c r="B124" s="525" t="s">
        <v>1510</v>
      </c>
      <c r="C124" s="371"/>
      <c r="D124" s="372"/>
      <c r="E124" s="320"/>
      <c r="F124" s="320"/>
      <c r="G124" s="320"/>
      <c r="H124" s="371"/>
      <c r="I124" s="372"/>
      <c r="J124" s="320"/>
      <c r="K124" s="320"/>
      <c r="L124" s="320"/>
      <c r="M124" s="371"/>
      <c r="N124" s="372"/>
      <c r="O124" s="121"/>
      <c r="P124" s="327"/>
      <c r="Q124" s="327"/>
      <c r="R124" s="368"/>
      <c r="S124" s="365"/>
      <c r="T124" s="327"/>
      <c r="U124" s="327"/>
      <c r="V124" s="327"/>
      <c r="W124" s="365"/>
      <c r="X124" s="365"/>
      <c r="Y124" s="327"/>
      <c r="Z124" s="327"/>
      <c r="AA124" s="327"/>
      <c r="AB124" s="368"/>
    </row>
    <row r="125" spans="1:28" ht="18" customHeight="1" x14ac:dyDescent="0.2">
      <c r="A125" s="375"/>
      <c r="B125" s="525" t="s">
        <v>1511</v>
      </c>
      <c r="C125" s="371"/>
      <c r="D125" s="372"/>
      <c r="E125" s="320"/>
      <c r="F125" s="320"/>
      <c r="G125" s="320"/>
      <c r="H125" s="371"/>
      <c r="I125" s="372"/>
      <c r="J125" s="320"/>
      <c r="K125" s="320"/>
      <c r="L125" s="320"/>
      <c r="M125" s="371"/>
      <c r="N125" s="372"/>
      <c r="O125" s="121"/>
      <c r="P125" s="327"/>
      <c r="Q125" s="327"/>
      <c r="R125" s="368"/>
      <c r="S125" s="365"/>
      <c r="T125" s="327"/>
      <c r="U125" s="327"/>
      <c r="V125" s="327"/>
      <c r="W125" s="365"/>
      <c r="X125" s="365"/>
      <c r="Y125" s="327"/>
      <c r="Z125" s="327"/>
      <c r="AA125" s="327"/>
      <c r="AB125" s="368"/>
    </row>
    <row r="126" spans="1:28" ht="18" customHeight="1" x14ac:dyDescent="0.2">
      <c r="A126" s="375"/>
      <c r="B126" s="525" t="s">
        <v>1512</v>
      </c>
      <c r="C126" s="371"/>
      <c r="D126" s="372"/>
      <c r="E126" s="320"/>
      <c r="F126" s="320"/>
      <c r="G126" s="320"/>
      <c r="H126" s="371"/>
      <c r="I126" s="372"/>
      <c r="J126" s="320"/>
      <c r="K126" s="320"/>
      <c r="L126" s="320"/>
      <c r="M126" s="371"/>
      <c r="N126" s="372"/>
      <c r="O126" s="121"/>
      <c r="P126" s="327"/>
      <c r="Q126" s="327"/>
      <c r="R126" s="368"/>
      <c r="S126" s="365"/>
      <c r="T126" s="327"/>
      <c r="U126" s="327"/>
      <c r="V126" s="327"/>
      <c r="W126" s="365"/>
      <c r="X126" s="365"/>
      <c r="Y126" s="327"/>
      <c r="Z126" s="327"/>
      <c r="AA126" s="327"/>
      <c r="AB126" s="368"/>
    </row>
    <row r="127" spans="1:28" ht="18" customHeight="1" x14ac:dyDescent="0.2">
      <c r="A127" s="375"/>
      <c r="B127" s="525" t="s">
        <v>1513</v>
      </c>
      <c r="C127" s="371"/>
      <c r="D127" s="372"/>
      <c r="E127" s="320"/>
      <c r="F127" s="320"/>
      <c r="G127" s="320"/>
      <c r="H127" s="371"/>
      <c r="I127" s="372"/>
      <c r="J127" s="320"/>
      <c r="K127" s="320"/>
      <c r="L127" s="320"/>
      <c r="M127" s="371"/>
      <c r="N127" s="372"/>
      <c r="O127" s="121"/>
      <c r="P127" s="327"/>
      <c r="Q127" s="327"/>
      <c r="R127" s="368"/>
      <c r="S127" s="365"/>
      <c r="T127" s="327"/>
      <c r="U127" s="327"/>
      <c r="V127" s="327"/>
      <c r="W127" s="365"/>
      <c r="X127" s="365"/>
      <c r="Y127" s="327"/>
      <c r="Z127" s="327"/>
      <c r="AA127" s="327"/>
      <c r="AB127" s="368"/>
    </row>
    <row r="128" spans="1:28" ht="18" customHeight="1" x14ac:dyDescent="0.2">
      <c r="A128" s="375"/>
      <c r="B128" s="525" t="s">
        <v>1514</v>
      </c>
      <c r="C128" s="371"/>
      <c r="D128" s="372"/>
      <c r="E128" s="320"/>
      <c r="F128" s="320"/>
      <c r="G128" s="320"/>
      <c r="H128" s="371"/>
      <c r="I128" s="372"/>
      <c r="J128" s="320"/>
      <c r="K128" s="320"/>
      <c r="L128" s="320"/>
      <c r="M128" s="371"/>
      <c r="N128" s="372"/>
      <c r="O128" s="121"/>
      <c r="P128" s="327"/>
      <c r="Q128" s="327"/>
      <c r="R128" s="368"/>
      <c r="S128" s="365"/>
      <c r="T128" s="327"/>
      <c r="U128" s="327"/>
      <c r="V128" s="327"/>
      <c r="W128" s="365"/>
      <c r="X128" s="365"/>
      <c r="Y128" s="327"/>
      <c r="Z128" s="327"/>
      <c r="AA128" s="327"/>
      <c r="AB128" s="368"/>
    </row>
    <row r="129" spans="1:28" ht="18" customHeight="1" x14ac:dyDescent="0.2">
      <c r="A129" s="375"/>
      <c r="B129" s="525" t="s">
        <v>1515</v>
      </c>
      <c r="C129" s="371"/>
      <c r="D129" s="372"/>
      <c r="E129" s="320"/>
      <c r="F129" s="320"/>
      <c r="G129" s="320"/>
      <c r="H129" s="371"/>
      <c r="I129" s="372"/>
      <c r="J129" s="320"/>
      <c r="K129" s="320"/>
      <c r="L129" s="320"/>
      <c r="M129" s="371"/>
      <c r="N129" s="372"/>
      <c r="O129" s="121"/>
      <c r="P129" s="327"/>
      <c r="Q129" s="327"/>
      <c r="R129" s="368"/>
      <c r="S129" s="365"/>
      <c r="T129" s="327"/>
      <c r="U129" s="327"/>
      <c r="V129" s="327"/>
      <c r="W129" s="365"/>
      <c r="X129" s="365"/>
      <c r="Y129" s="327"/>
      <c r="Z129" s="327"/>
      <c r="AA129" s="327"/>
      <c r="AB129" s="368"/>
    </row>
    <row r="130" spans="1:28" ht="18" customHeight="1" x14ac:dyDescent="0.2">
      <c r="A130" s="375"/>
      <c r="B130" s="525" t="s">
        <v>1516</v>
      </c>
      <c r="C130" s="371"/>
      <c r="D130" s="372"/>
      <c r="E130" s="320"/>
      <c r="F130" s="320"/>
      <c r="G130" s="320"/>
      <c r="H130" s="371"/>
      <c r="I130" s="372"/>
      <c r="J130" s="320"/>
      <c r="K130" s="320"/>
      <c r="L130" s="320"/>
      <c r="M130" s="371"/>
      <c r="N130" s="372"/>
      <c r="O130" s="121"/>
      <c r="P130" s="327"/>
      <c r="Q130" s="327"/>
      <c r="R130" s="368"/>
      <c r="S130" s="365"/>
      <c r="T130" s="327"/>
      <c r="U130" s="327"/>
      <c r="V130" s="327"/>
      <c r="W130" s="365"/>
      <c r="X130" s="365"/>
      <c r="Y130" s="327"/>
      <c r="Z130" s="327"/>
      <c r="AA130" s="327"/>
      <c r="AB130" s="368"/>
    </row>
    <row r="131" spans="1:28" ht="18" customHeight="1" x14ac:dyDescent="0.2">
      <c r="A131" s="375"/>
      <c r="B131" s="525" t="s">
        <v>1517</v>
      </c>
      <c r="C131" s="371"/>
      <c r="D131" s="372"/>
      <c r="E131" s="320"/>
      <c r="F131" s="320"/>
      <c r="G131" s="320"/>
      <c r="H131" s="371"/>
      <c r="I131" s="372"/>
      <c r="J131" s="320"/>
      <c r="K131" s="320"/>
      <c r="L131" s="320"/>
      <c r="M131" s="371"/>
      <c r="N131" s="372"/>
      <c r="O131" s="121"/>
      <c r="P131" s="327"/>
      <c r="Q131" s="327"/>
      <c r="R131" s="368"/>
      <c r="S131" s="365"/>
      <c r="T131" s="327"/>
      <c r="U131" s="327"/>
      <c r="V131" s="327"/>
      <c r="W131" s="365"/>
      <c r="X131" s="365"/>
      <c r="Y131" s="327"/>
      <c r="Z131" s="327"/>
      <c r="AA131" s="327"/>
      <c r="AB131" s="368"/>
    </row>
    <row r="132" spans="1:28" ht="18" customHeight="1" x14ac:dyDescent="0.2">
      <c r="A132" s="375"/>
      <c r="B132" s="525" t="s">
        <v>1518</v>
      </c>
      <c r="C132" s="371"/>
      <c r="D132" s="372"/>
      <c r="E132" s="320"/>
      <c r="F132" s="320"/>
      <c r="G132" s="320"/>
      <c r="H132" s="371"/>
      <c r="I132" s="372"/>
      <c r="J132" s="320"/>
      <c r="K132" s="320"/>
      <c r="L132" s="320"/>
      <c r="M132" s="371"/>
      <c r="N132" s="372"/>
      <c r="O132" s="121"/>
      <c r="P132" s="327"/>
      <c r="Q132" s="327"/>
      <c r="R132" s="368"/>
      <c r="S132" s="365"/>
      <c r="T132" s="327"/>
      <c r="U132" s="327"/>
      <c r="V132" s="327"/>
      <c r="W132" s="365"/>
      <c r="X132" s="365"/>
      <c r="Y132" s="327"/>
      <c r="Z132" s="327"/>
      <c r="AA132" s="327"/>
      <c r="AB132" s="368"/>
    </row>
    <row r="133" spans="1:28" ht="18" customHeight="1" x14ac:dyDescent="0.2">
      <c r="A133" s="375"/>
      <c r="B133" s="525" t="s">
        <v>1519</v>
      </c>
      <c r="C133" s="371"/>
      <c r="D133" s="372"/>
      <c r="E133" s="320"/>
      <c r="F133" s="320"/>
      <c r="G133" s="320"/>
      <c r="H133" s="371"/>
      <c r="I133" s="372"/>
      <c r="J133" s="320"/>
      <c r="K133" s="320"/>
      <c r="L133" s="320"/>
      <c r="M133" s="371"/>
      <c r="N133" s="372"/>
      <c r="O133" s="121"/>
      <c r="P133" s="327"/>
      <c r="Q133" s="327"/>
      <c r="R133" s="368"/>
      <c r="S133" s="365"/>
      <c r="T133" s="327"/>
      <c r="U133" s="327"/>
      <c r="V133" s="327"/>
      <c r="W133" s="365"/>
      <c r="X133" s="365"/>
      <c r="Y133" s="327"/>
      <c r="Z133" s="327"/>
      <c r="AA133" s="327"/>
      <c r="AB133" s="368"/>
    </row>
    <row r="134" spans="1:28" ht="18" customHeight="1" x14ac:dyDescent="0.2">
      <c r="A134" s="375"/>
      <c r="B134" s="525" t="s">
        <v>1520</v>
      </c>
      <c r="C134" s="371"/>
      <c r="D134" s="372"/>
      <c r="E134" s="320"/>
      <c r="F134" s="320"/>
      <c r="G134" s="320"/>
      <c r="H134" s="371"/>
      <c r="I134" s="372"/>
      <c r="J134" s="320"/>
      <c r="K134" s="320"/>
      <c r="L134" s="320"/>
      <c r="M134" s="371"/>
      <c r="N134" s="372"/>
      <c r="O134" s="121"/>
      <c r="P134" s="327"/>
      <c r="Q134" s="327"/>
      <c r="R134" s="368"/>
      <c r="S134" s="365"/>
      <c r="T134" s="327"/>
      <c r="U134" s="327"/>
      <c r="V134" s="327"/>
      <c r="W134" s="365"/>
      <c r="X134" s="365"/>
      <c r="Y134" s="327"/>
      <c r="Z134" s="327"/>
      <c r="AA134" s="327"/>
      <c r="AB134" s="368"/>
    </row>
    <row r="135" spans="1:28" ht="18" customHeight="1" x14ac:dyDescent="0.2">
      <c r="A135" s="375"/>
      <c r="B135" s="525" t="s">
        <v>1521</v>
      </c>
      <c r="C135" s="371"/>
      <c r="D135" s="372"/>
      <c r="E135" s="320"/>
      <c r="F135" s="320"/>
      <c r="G135" s="320"/>
      <c r="H135" s="371"/>
      <c r="I135" s="372"/>
      <c r="J135" s="320"/>
      <c r="K135" s="320"/>
      <c r="L135" s="320"/>
      <c r="M135" s="371"/>
      <c r="N135" s="372"/>
      <c r="O135" s="121"/>
      <c r="P135" s="327"/>
      <c r="Q135" s="327"/>
      <c r="R135" s="368"/>
      <c r="S135" s="365"/>
      <c r="T135" s="327"/>
      <c r="U135" s="327"/>
      <c r="V135" s="327"/>
      <c r="W135" s="365"/>
      <c r="X135" s="365"/>
      <c r="Y135" s="327"/>
      <c r="Z135" s="327"/>
      <c r="AA135" s="327"/>
      <c r="AB135" s="368"/>
    </row>
    <row r="136" spans="1:28" ht="15" customHeight="1" x14ac:dyDescent="0.2">
      <c r="A136" s="376" t="s">
        <v>440</v>
      </c>
      <c r="B136" s="115" t="s">
        <v>392</v>
      </c>
      <c r="C136" s="370">
        <f>D136+E136+F136+G136</f>
        <v>1020</v>
      </c>
      <c r="D136" s="373">
        <v>1020</v>
      </c>
      <c r="E136" s="320">
        <v>0</v>
      </c>
      <c r="F136" s="320">
        <v>0</v>
      </c>
      <c r="G136" s="320">
        <v>0</v>
      </c>
      <c r="H136" s="370">
        <f>I136</f>
        <v>1570</v>
      </c>
      <c r="I136" s="373">
        <f>1286+283+1</f>
        <v>1570</v>
      </c>
      <c r="J136" s="320">
        <v>0</v>
      </c>
      <c r="K136" s="320">
        <v>0</v>
      </c>
      <c r="L136" s="320">
        <v>0</v>
      </c>
      <c r="M136" s="370">
        <f>N136</f>
        <v>838</v>
      </c>
      <c r="N136" s="373">
        <f>94+838-94</f>
        <v>838</v>
      </c>
      <c r="O136" s="327">
        <v>0</v>
      </c>
      <c r="P136" s="327">
        <v>0</v>
      </c>
      <c r="Q136" s="327">
        <v>0</v>
      </c>
      <c r="R136" s="370">
        <f>S136</f>
        <v>6082</v>
      </c>
      <c r="S136" s="373">
        <f>14338+ 5164-14339+283+1848-289-180-606-137</f>
        <v>6082</v>
      </c>
      <c r="T136" s="320">
        <v>0</v>
      </c>
      <c r="U136" s="320">
        <v>0</v>
      </c>
      <c r="V136" s="320">
        <v>0</v>
      </c>
      <c r="W136" s="370">
        <f>X136</f>
        <v>5068</v>
      </c>
      <c r="X136" s="373">
        <f>632+230+3086+1169-332+283</f>
        <v>5068</v>
      </c>
      <c r="Y136" s="320">
        <v>0</v>
      </c>
      <c r="Z136" s="320">
        <v>0</v>
      </c>
      <c r="AA136" s="320">
        <v>0</v>
      </c>
      <c r="AB136" s="370">
        <f>C136+H136+M136+R136+W136</f>
        <v>14578</v>
      </c>
    </row>
    <row r="137" spans="1:28" ht="21" customHeight="1" x14ac:dyDescent="0.2">
      <c r="A137" s="377"/>
      <c r="B137" s="119" t="s">
        <v>387</v>
      </c>
      <c r="C137" s="371"/>
      <c r="D137" s="372"/>
      <c r="E137" s="320"/>
      <c r="F137" s="320"/>
      <c r="G137" s="320"/>
      <c r="H137" s="371"/>
      <c r="I137" s="372"/>
      <c r="J137" s="320"/>
      <c r="K137" s="320"/>
      <c r="L137" s="320"/>
      <c r="M137" s="371"/>
      <c r="N137" s="372"/>
      <c r="O137" s="327"/>
      <c r="P137" s="327"/>
      <c r="Q137" s="327"/>
      <c r="R137" s="371"/>
      <c r="S137" s="372"/>
      <c r="T137" s="320"/>
      <c r="U137" s="320"/>
      <c r="V137" s="320"/>
      <c r="W137" s="371"/>
      <c r="X137" s="372"/>
      <c r="Y137" s="320"/>
      <c r="Z137" s="320"/>
      <c r="AA137" s="320"/>
      <c r="AB137" s="371"/>
    </row>
    <row r="138" spans="1:28" ht="16.5" customHeight="1" x14ac:dyDescent="0.2">
      <c r="A138" s="377"/>
      <c r="B138" s="118" t="s">
        <v>713</v>
      </c>
      <c r="C138" s="371"/>
      <c r="D138" s="372"/>
      <c r="E138" s="320"/>
      <c r="F138" s="320"/>
      <c r="G138" s="320"/>
      <c r="H138" s="371"/>
      <c r="I138" s="372"/>
      <c r="J138" s="320"/>
      <c r="K138" s="320"/>
      <c r="L138" s="320"/>
      <c r="M138" s="371"/>
      <c r="N138" s="372"/>
      <c r="O138" s="327"/>
      <c r="P138" s="327"/>
      <c r="Q138" s="327"/>
      <c r="R138" s="371"/>
      <c r="S138" s="372"/>
      <c r="T138" s="320"/>
      <c r="U138" s="320"/>
      <c r="V138" s="320"/>
      <c r="W138" s="371"/>
      <c r="X138" s="372"/>
      <c r="Y138" s="320"/>
      <c r="Z138" s="320"/>
      <c r="AA138" s="320"/>
      <c r="AB138" s="371"/>
    </row>
    <row r="139" spans="1:28" ht="16.5" customHeight="1" x14ac:dyDescent="0.2">
      <c r="A139" s="377"/>
      <c r="B139" s="117" t="s">
        <v>714</v>
      </c>
      <c r="C139" s="371"/>
      <c r="D139" s="372"/>
      <c r="E139" s="320"/>
      <c r="F139" s="320"/>
      <c r="G139" s="320"/>
      <c r="H139" s="371"/>
      <c r="I139" s="372"/>
      <c r="J139" s="320"/>
      <c r="K139" s="320"/>
      <c r="L139" s="320"/>
      <c r="M139" s="371"/>
      <c r="N139" s="372"/>
      <c r="O139" s="327"/>
      <c r="P139" s="327"/>
      <c r="Q139" s="327"/>
      <c r="R139" s="371"/>
      <c r="S139" s="372"/>
      <c r="T139" s="320"/>
      <c r="U139" s="320"/>
      <c r="V139" s="320"/>
      <c r="W139" s="371"/>
      <c r="X139" s="372"/>
      <c r="Y139" s="320"/>
      <c r="Z139" s="320"/>
      <c r="AA139" s="320"/>
      <c r="AB139" s="371"/>
    </row>
    <row r="140" spans="1:28" ht="18" customHeight="1" x14ac:dyDescent="0.2">
      <c r="A140" s="377"/>
      <c r="B140" s="118" t="s">
        <v>651</v>
      </c>
      <c r="C140" s="371"/>
      <c r="D140" s="372"/>
      <c r="E140" s="313"/>
      <c r="F140" s="313"/>
      <c r="G140" s="313"/>
      <c r="H140" s="371"/>
      <c r="I140" s="372"/>
      <c r="J140" s="313"/>
      <c r="K140" s="313"/>
      <c r="L140" s="313"/>
      <c r="M140" s="371"/>
      <c r="N140" s="372"/>
      <c r="O140" s="316"/>
      <c r="P140" s="316"/>
      <c r="Q140" s="316"/>
      <c r="R140" s="371"/>
      <c r="S140" s="372"/>
      <c r="T140" s="313"/>
      <c r="U140" s="313"/>
      <c r="V140" s="313"/>
      <c r="W140" s="371"/>
      <c r="X140" s="372"/>
      <c r="Y140" s="313"/>
      <c r="Z140" s="313"/>
      <c r="AA140" s="313"/>
      <c r="AB140" s="371"/>
    </row>
    <row r="141" spans="1:28" ht="18" customHeight="1" x14ac:dyDescent="0.2">
      <c r="A141" s="377"/>
      <c r="B141" s="119" t="s">
        <v>311</v>
      </c>
      <c r="C141" s="371"/>
      <c r="D141" s="372"/>
      <c r="E141" s="320"/>
      <c r="F141" s="320"/>
      <c r="G141" s="320"/>
      <c r="H141" s="371"/>
      <c r="I141" s="372"/>
      <c r="J141" s="320"/>
      <c r="K141" s="320"/>
      <c r="L141" s="320"/>
      <c r="M141" s="371"/>
      <c r="N141" s="372"/>
      <c r="O141" s="327"/>
      <c r="P141" s="327"/>
      <c r="Q141" s="327"/>
      <c r="R141" s="371"/>
      <c r="S141" s="372"/>
      <c r="T141" s="320"/>
      <c r="U141" s="320"/>
      <c r="V141" s="320"/>
      <c r="W141" s="371"/>
      <c r="X141" s="372"/>
      <c r="Y141" s="320"/>
      <c r="Z141" s="320"/>
      <c r="AA141" s="320"/>
      <c r="AB141" s="371"/>
    </row>
    <row r="142" spans="1:28" ht="18" customHeight="1" x14ac:dyDescent="0.2">
      <c r="A142" s="377"/>
      <c r="B142" s="118" t="s">
        <v>714</v>
      </c>
      <c r="C142" s="371"/>
      <c r="D142" s="372"/>
      <c r="E142" s="320"/>
      <c r="F142" s="320"/>
      <c r="G142" s="320"/>
      <c r="H142" s="371"/>
      <c r="I142" s="372"/>
      <c r="J142" s="320"/>
      <c r="K142" s="320"/>
      <c r="L142" s="320"/>
      <c r="M142" s="371"/>
      <c r="N142" s="372"/>
      <c r="O142" s="327"/>
      <c r="P142" s="327"/>
      <c r="Q142" s="327"/>
      <c r="R142" s="371"/>
      <c r="S142" s="372"/>
      <c r="T142" s="320"/>
      <c r="U142" s="320"/>
      <c r="V142" s="320"/>
      <c r="W142" s="371"/>
      <c r="X142" s="372"/>
      <c r="Y142" s="320"/>
      <c r="Z142" s="320"/>
      <c r="AA142" s="320"/>
      <c r="AB142" s="371"/>
    </row>
    <row r="143" spans="1:28" ht="18" customHeight="1" x14ac:dyDescent="0.2">
      <c r="A143" s="377"/>
      <c r="B143" s="118" t="s">
        <v>651</v>
      </c>
      <c r="C143" s="371"/>
      <c r="D143" s="372"/>
      <c r="E143" s="320"/>
      <c r="F143" s="320"/>
      <c r="G143" s="320"/>
      <c r="H143" s="371"/>
      <c r="I143" s="372"/>
      <c r="J143" s="320"/>
      <c r="K143" s="320"/>
      <c r="L143" s="320"/>
      <c r="M143" s="371"/>
      <c r="N143" s="372"/>
      <c r="O143" s="327"/>
      <c r="P143" s="327"/>
      <c r="Q143" s="327"/>
      <c r="R143" s="371"/>
      <c r="S143" s="372"/>
      <c r="T143" s="320"/>
      <c r="U143" s="320"/>
      <c r="V143" s="320"/>
      <c r="W143" s="371"/>
      <c r="X143" s="372"/>
      <c r="Y143" s="320"/>
      <c r="Z143" s="320"/>
      <c r="AA143" s="320"/>
      <c r="AB143" s="371"/>
    </row>
    <row r="144" spans="1:28" ht="18" customHeight="1" x14ac:dyDescent="0.2">
      <c r="A144" s="377"/>
      <c r="B144" s="119" t="s">
        <v>360</v>
      </c>
      <c r="C144" s="371"/>
      <c r="D144" s="372"/>
      <c r="E144" s="320"/>
      <c r="F144" s="320"/>
      <c r="G144" s="320"/>
      <c r="H144" s="371"/>
      <c r="I144" s="372"/>
      <c r="J144" s="320"/>
      <c r="K144" s="320"/>
      <c r="L144" s="320"/>
      <c r="M144" s="371"/>
      <c r="N144" s="372"/>
      <c r="O144" s="327"/>
      <c r="P144" s="327"/>
      <c r="Q144" s="327"/>
      <c r="R144" s="371"/>
      <c r="S144" s="372"/>
      <c r="T144" s="320"/>
      <c r="U144" s="320"/>
      <c r="V144" s="320"/>
      <c r="W144" s="371"/>
      <c r="X144" s="372"/>
      <c r="Y144" s="320"/>
      <c r="Z144" s="320"/>
      <c r="AA144" s="320"/>
      <c r="AB144" s="371"/>
    </row>
    <row r="145" spans="1:28" ht="18" customHeight="1" x14ac:dyDescent="0.2">
      <c r="A145" s="383"/>
      <c r="B145" s="123" t="s">
        <v>714</v>
      </c>
      <c r="C145" s="416"/>
      <c r="D145" s="372"/>
      <c r="E145" s="320"/>
      <c r="F145" s="320"/>
      <c r="G145" s="320"/>
      <c r="H145" s="371"/>
      <c r="I145" s="372"/>
      <c r="J145" s="320"/>
      <c r="K145" s="320"/>
      <c r="L145" s="320"/>
      <c r="M145" s="371"/>
      <c r="N145" s="372"/>
      <c r="O145" s="327"/>
      <c r="P145" s="327"/>
      <c r="Q145" s="327"/>
      <c r="R145" s="371"/>
      <c r="S145" s="372"/>
      <c r="T145" s="320"/>
      <c r="U145" s="320"/>
      <c r="V145" s="320"/>
      <c r="W145" s="371"/>
      <c r="X145" s="372"/>
      <c r="Y145" s="320"/>
      <c r="Z145" s="320"/>
      <c r="AA145" s="320"/>
      <c r="AB145" s="371"/>
    </row>
    <row r="146" spans="1:28" ht="18" customHeight="1" x14ac:dyDescent="0.2">
      <c r="A146" s="383"/>
      <c r="B146" s="117" t="s">
        <v>715</v>
      </c>
      <c r="C146" s="416"/>
      <c r="D146" s="372"/>
      <c r="E146" s="320"/>
      <c r="F146" s="320"/>
      <c r="G146" s="320"/>
      <c r="H146" s="371"/>
      <c r="I146" s="372"/>
      <c r="J146" s="320"/>
      <c r="K146" s="320"/>
      <c r="L146" s="320"/>
      <c r="M146" s="371"/>
      <c r="N146" s="372"/>
      <c r="O146" s="327"/>
      <c r="P146" s="327"/>
      <c r="Q146" s="327"/>
      <c r="R146" s="371"/>
      <c r="S146" s="372"/>
      <c r="T146" s="320"/>
      <c r="U146" s="320"/>
      <c r="V146" s="320"/>
      <c r="W146" s="371"/>
      <c r="X146" s="372"/>
      <c r="Y146" s="320"/>
      <c r="Z146" s="320"/>
      <c r="AA146" s="320"/>
      <c r="AB146" s="371"/>
    </row>
    <row r="147" spans="1:28" ht="18" customHeight="1" x14ac:dyDescent="0.2">
      <c r="A147" s="383"/>
      <c r="B147" s="117" t="s">
        <v>716</v>
      </c>
      <c r="C147" s="371"/>
      <c r="D147" s="372"/>
      <c r="E147" s="320"/>
      <c r="F147" s="320"/>
      <c r="G147" s="320"/>
      <c r="H147" s="371"/>
      <c r="I147" s="372"/>
      <c r="J147" s="320"/>
      <c r="K147" s="320"/>
      <c r="L147" s="320"/>
      <c r="M147" s="371"/>
      <c r="N147" s="372"/>
      <c r="O147" s="327"/>
      <c r="P147" s="327"/>
      <c r="Q147" s="327"/>
      <c r="R147" s="371"/>
      <c r="S147" s="372"/>
      <c r="T147" s="320"/>
      <c r="U147" s="320"/>
      <c r="V147" s="320"/>
      <c r="W147" s="371"/>
      <c r="X147" s="372"/>
      <c r="Y147" s="320"/>
      <c r="Z147" s="320"/>
      <c r="AA147" s="320"/>
      <c r="AB147" s="371"/>
    </row>
    <row r="148" spans="1:28" ht="18" customHeight="1" x14ac:dyDescent="0.2">
      <c r="A148" s="377"/>
      <c r="B148" s="119" t="s">
        <v>397</v>
      </c>
      <c r="C148" s="371"/>
      <c r="D148" s="372"/>
      <c r="E148" s="320"/>
      <c r="F148" s="320"/>
      <c r="G148" s="320"/>
      <c r="H148" s="371"/>
      <c r="I148" s="372"/>
      <c r="J148" s="320"/>
      <c r="K148" s="320"/>
      <c r="L148" s="320"/>
      <c r="M148" s="371"/>
      <c r="N148" s="372"/>
      <c r="O148" s="327"/>
      <c r="P148" s="327"/>
      <c r="Q148" s="327"/>
      <c r="R148" s="371"/>
      <c r="S148" s="372"/>
      <c r="T148" s="320"/>
      <c r="U148" s="320"/>
      <c r="V148" s="320"/>
      <c r="W148" s="371"/>
      <c r="X148" s="372"/>
      <c r="Y148" s="320"/>
      <c r="Z148" s="320"/>
      <c r="AA148" s="320"/>
      <c r="AB148" s="371"/>
    </row>
    <row r="149" spans="1:28" ht="27.75" customHeight="1" x14ac:dyDescent="0.2">
      <c r="A149" s="377"/>
      <c r="B149" s="123" t="s">
        <v>1404</v>
      </c>
      <c r="C149" s="371"/>
      <c r="D149" s="372"/>
      <c r="E149" s="320"/>
      <c r="F149" s="320"/>
      <c r="G149" s="320"/>
      <c r="H149" s="371"/>
      <c r="I149" s="372"/>
      <c r="J149" s="320"/>
      <c r="K149" s="320"/>
      <c r="L149" s="320"/>
      <c r="M149" s="371"/>
      <c r="N149" s="372"/>
      <c r="O149" s="327"/>
      <c r="P149" s="327"/>
      <c r="Q149" s="327"/>
      <c r="R149" s="371"/>
      <c r="S149" s="372"/>
      <c r="T149" s="320"/>
      <c r="U149" s="320"/>
      <c r="V149" s="320"/>
      <c r="W149" s="371"/>
      <c r="X149" s="372"/>
      <c r="Y149" s="320"/>
      <c r="Z149" s="320"/>
      <c r="AA149" s="320"/>
      <c r="AB149" s="371"/>
    </row>
    <row r="150" spans="1:28" ht="18" customHeight="1" x14ac:dyDescent="0.2">
      <c r="A150" s="377"/>
      <c r="B150" s="118" t="s">
        <v>1406</v>
      </c>
      <c r="C150" s="371"/>
      <c r="D150" s="372"/>
      <c r="E150" s="320"/>
      <c r="F150" s="320"/>
      <c r="G150" s="320"/>
      <c r="H150" s="371"/>
      <c r="I150" s="372"/>
      <c r="J150" s="320"/>
      <c r="K150" s="320"/>
      <c r="L150" s="320"/>
      <c r="M150" s="371"/>
      <c r="N150" s="372"/>
      <c r="O150" s="327"/>
      <c r="P150" s="327"/>
      <c r="Q150" s="327"/>
      <c r="R150" s="371"/>
      <c r="S150" s="372"/>
      <c r="T150" s="320"/>
      <c r="U150" s="320"/>
      <c r="V150" s="320"/>
      <c r="W150" s="371"/>
      <c r="X150" s="372"/>
      <c r="Y150" s="320"/>
      <c r="Z150" s="320"/>
      <c r="AA150" s="320"/>
      <c r="AB150" s="371"/>
    </row>
    <row r="151" spans="1:28" ht="18" customHeight="1" x14ac:dyDescent="0.2">
      <c r="A151" s="377"/>
      <c r="B151" s="118" t="s">
        <v>717</v>
      </c>
      <c r="C151" s="371"/>
      <c r="D151" s="372"/>
      <c r="E151" s="320"/>
      <c r="F151" s="320"/>
      <c r="G151" s="320"/>
      <c r="H151" s="371"/>
      <c r="I151" s="372"/>
      <c r="J151" s="320"/>
      <c r="K151" s="320"/>
      <c r="L151" s="320"/>
      <c r="M151" s="371"/>
      <c r="N151" s="372"/>
      <c r="O151" s="327"/>
      <c r="P151" s="327"/>
      <c r="Q151" s="327"/>
      <c r="R151" s="371"/>
      <c r="S151" s="372"/>
      <c r="T151" s="320"/>
      <c r="U151" s="320"/>
      <c r="V151" s="320"/>
      <c r="W151" s="371"/>
      <c r="X151" s="372"/>
      <c r="Y151" s="320"/>
      <c r="Z151" s="320"/>
      <c r="AA151" s="320"/>
      <c r="AB151" s="371"/>
    </row>
    <row r="152" spans="1:28" ht="18" customHeight="1" x14ac:dyDescent="0.2">
      <c r="A152" s="377"/>
      <c r="B152" s="118" t="s">
        <v>1501</v>
      </c>
      <c r="C152" s="371"/>
      <c r="D152" s="372"/>
      <c r="E152" s="320"/>
      <c r="F152" s="320"/>
      <c r="G152" s="320"/>
      <c r="H152" s="371"/>
      <c r="I152" s="372"/>
      <c r="J152" s="320"/>
      <c r="K152" s="320"/>
      <c r="L152" s="320"/>
      <c r="M152" s="371"/>
      <c r="N152" s="372"/>
      <c r="O152" s="327"/>
      <c r="P152" s="327"/>
      <c r="Q152" s="327"/>
      <c r="R152" s="371"/>
      <c r="S152" s="372"/>
      <c r="T152" s="320"/>
      <c r="U152" s="320"/>
      <c r="V152" s="320"/>
      <c r="W152" s="371"/>
      <c r="X152" s="372"/>
      <c r="Y152" s="320"/>
      <c r="Z152" s="320"/>
      <c r="AA152" s="320"/>
      <c r="AB152" s="371"/>
    </row>
    <row r="153" spans="1:28" ht="18" customHeight="1" x14ac:dyDescent="0.2">
      <c r="A153" s="322"/>
      <c r="B153" s="123" t="s">
        <v>1502</v>
      </c>
      <c r="C153" s="310"/>
      <c r="D153" s="312"/>
      <c r="E153" s="320"/>
      <c r="F153" s="320"/>
      <c r="G153" s="320"/>
      <c r="H153" s="310"/>
      <c r="I153" s="312"/>
      <c r="J153" s="320"/>
      <c r="K153" s="320"/>
      <c r="L153" s="320"/>
      <c r="M153" s="310"/>
      <c r="N153" s="312"/>
      <c r="O153" s="327"/>
      <c r="P153" s="327"/>
      <c r="Q153" s="327"/>
      <c r="R153" s="310"/>
      <c r="S153" s="312"/>
      <c r="T153" s="320"/>
      <c r="U153" s="320"/>
      <c r="V153" s="320"/>
      <c r="W153" s="310"/>
      <c r="X153" s="312"/>
      <c r="Y153" s="320"/>
      <c r="Z153" s="320"/>
      <c r="AA153" s="320"/>
      <c r="AB153" s="310"/>
    </row>
    <row r="154" spans="1:28" ht="15" customHeight="1" x14ac:dyDescent="0.2">
      <c r="A154" s="376" t="s">
        <v>441</v>
      </c>
      <c r="B154" s="115" t="s">
        <v>144</v>
      </c>
      <c r="C154" s="370">
        <f>D154+E154+F154+G154</f>
        <v>8411</v>
      </c>
      <c r="D154" s="373">
        <v>8411</v>
      </c>
      <c r="E154" s="320">
        <v>0</v>
      </c>
      <c r="F154" s="320">
        <v>0</v>
      </c>
      <c r="G154" s="320">
        <v>0</v>
      </c>
      <c r="H154" s="370">
        <f>I154+J154+K154+L154</f>
        <v>3081</v>
      </c>
      <c r="I154" s="373">
        <f>7310-5219+841+153-4</f>
        <v>3081</v>
      </c>
      <c r="J154" s="320">
        <v>0</v>
      </c>
      <c r="K154" s="320">
        <v>0</v>
      </c>
      <c r="L154" s="320">
        <v>0</v>
      </c>
      <c r="M154" s="370">
        <f>N154</f>
        <v>4934</v>
      </c>
      <c r="N154" s="373">
        <f>8219-6307+105+772-157-71+3259-1234+348</f>
        <v>4934</v>
      </c>
      <c r="O154" s="327">
        <v>0</v>
      </c>
      <c r="P154" s="327">
        <v>0</v>
      </c>
      <c r="Q154" s="327">
        <v>0</v>
      </c>
      <c r="R154" s="370">
        <f>S154</f>
        <v>10726</v>
      </c>
      <c r="S154" s="373">
        <f>4085+4159+70+1617+1168-373</f>
        <v>10726</v>
      </c>
      <c r="T154" s="320">
        <v>0</v>
      </c>
      <c r="U154" s="320">
        <v>0</v>
      </c>
      <c r="V154" s="320">
        <v>0</v>
      </c>
      <c r="W154" s="373">
        <f>X154</f>
        <v>16516</v>
      </c>
      <c r="X154" s="373">
        <f>9782+15692-1169-17210-11+9432</f>
        <v>16516</v>
      </c>
      <c r="Y154" s="320">
        <v>0</v>
      </c>
      <c r="Z154" s="320">
        <v>0</v>
      </c>
      <c r="AA154" s="320">
        <v>0</v>
      </c>
      <c r="AB154" s="370">
        <f>C154+H154+M154+R154+W154</f>
        <v>43668</v>
      </c>
    </row>
    <row r="155" spans="1:28" ht="15" customHeight="1" x14ac:dyDescent="0.2">
      <c r="A155" s="377"/>
      <c r="B155" s="124" t="s">
        <v>138</v>
      </c>
      <c r="C155" s="371"/>
      <c r="D155" s="372"/>
      <c r="E155" s="320"/>
      <c r="F155" s="320"/>
      <c r="G155" s="320"/>
      <c r="H155" s="371"/>
      <c r="I155" s="372"/>
      <c r="J155" s="320"/>
      <c r="K155" s="320"/>
      <c r="L155" s="320"/>
      <c r="M155" s="371"/>
      <c r="N155" s="372"/>
      <c r="O155" s="327"/>
      <c r="P155" s="327"/>
      <c r="Q155" s="327"/>
      <c r="R155" s="371"/>
      <c r="S155" s="372"/>
      <c r="T155" s="320"/>
      <c r="U155" s="320"/>
      <c r="V155" s="320"/>
      <c r="W155" s="372"/>
      <c r="X155" s="372"/>
      <c r="Y155" s="320"/>
      <c r="Z155" s="320"/>
      <c r="AA155" s="320"/>
      <c r="AB155" s="371"/>
    </row>
    <row r="156" spans="1:28" ht="15" customHeight="1" x14ac:dyDescent="0.2">
      <c r="A156" s="377"/>
      <c r="B156" s="123" t="s">
        <v>718</v>
      </c>
      <c r="C156" s="371"/>
      <c r="D156" s="372"/>
      <c r="E156" s="320"/>
      <c r="F156" s="320"/>
      <c r="G156" s="320"/>
      <c r="H156" s="371"/>
      <c r="I156" s="372"/>
      <c r="J156" s="320"/>
      <c r="K156" s="320"/>
      <c r="L156" s="320"/>
      <c r="M156" s="371"/>
      <c r="N156" s="372"/>
      <c r="O156" s="327"/>
      <c r="P156" s="327"/>
      <c r="Q156" s="327"/>
      <c r="R156" s="371"/>
      <c r="S156" s="372"/>
      <c r="T156" s="320"/>
      <c r="U156" s="320"/>
      <c r="V156" s="320"/>
      <c r="W156" s="372"/>
      <c r="X156" s="372"/>
      <c r="Y156" s="320"/>
      <c r="Z156" s="320"/>
      <c r="AA156" s="320"/>
      <c r="AB156" s="371"/>
    </row>
    <row r="157" spans="1:28" ht="15" customHeight="1" x14ac:dyDescent="0.2">
      <c r="A157" s="377"/>
      <c r="B157" s="123" t="s">
        <v>151</v>
      </c>
      <c r="C157" s="371"/>
      <c r="D157" s="372"/>
      <c r="E157" s="320"/>
      <c r="F157" s="320"/>
      <c r="G157" s="320"/>
      <c r="H157" s="371"/>
      <c r="I157" s="372"/>
      <c r="J157" s="320"/>
      <c r="K157" s="320"/>
      <c r="L157" s="320"/>
      <c r="M157" s="371"/>
      <c r="N157" s="372"/>
      <c r="O157" s="327"/>
      <c r="P157" s="327"/>
      <c r="Q157" s="327"/>
      <c r="R157" s="371"/>
      <c r="S157" s="372"/>
      <c r="T157" s="320"/>
      <c r="U157" s="320"/>
      <c r="V157" s="320"/>
      <c r="W157" s="372"/>
      <c r="X157" s="372"/>
      <c r="Y157" s="320"/>
      <c r="Z157" s="320"/>
      <c r="AA157" s="320"/>
      <c r="AB157" s="371"/>
    </row>
    <row r="158" spans="1:28" ht="15" customHeight="1" x14ac:dyDescent="0.2">
      <c r="A158" s="377"/>
      <c r="B158" s="123" t="s">
        <v>719</v>
      </c>
      <c r="C158" s="371"/>
      <c r="D158" s="372"/>
      <c r="E158" s="320"/>
      <c r="F158" s="320"/>
      <c r="G158" s="320"/>
      <c r="H158" s="371"/>
      <c r="I158" s="372"/>
      <c r="J158" s="320"/>
      <c r="K158" s="320"/>
      <c r="L158" s="320"/>
      <c r="M158" s="371"/>
      <c r="N158" s="372"/>
      <c r="O158" s="327"/>
      <c r="P158" s="327"/>
      <c r="Q158" s="327"/>
      <c r="R158" s="371"/>
      <c r="S158" s="372"/>
      <c r="T158" s="320"/>
      <c r="U158" s="320"/>
      <c r="V158" s="320"/>
      <c r="W158" s="372"/>
      <c r="X158" s="372"/>
      <c r="Y158" s="320"/>
      <c r="Z158" s="320"/>
      <c r="AA158" s="320"/>
      <c r="AB158" s="371"/>
    </row>
    <row r="159" spans="1:28" ht="15" customHeight="1" x14ac:dyDescent="0.2">
      <c r="A159" s="377"/>
      <c r="B159" s="123" t="s">
        <v>720</v>
      </c>
      <c r="C159" s="371"/>
      <c r="D159" s="372"/>
      <c r="E159" s="320"/>
      <c r="F159" s="320"/>
      <c r="G159" s="320"/>
      <c r="H159" s="371"/>
      <c r="I159" s="372"/>
      <c r="J159" s="320"/>
      <c r="K159" s="320"/>
      <c r="L159" s="320"/>
      <c r="M159" s="371"/>
      <c r="N159" s="372"/>
      <c r="O159" s="327"/>
      <c r="P159" s="327"/>
      <c r="Q159" s="327"/>
      <c r="R159" s="371"/>
      <c r="S159" s="372"/>
      <c r="T159" s="320"/>
      <c r="U159" s="320"/>
      <c r="V159" s="320"/>
      <c r="W159" s="372"/>
      <c r="X159" s="372"/>
      <c r="Y159" s="320"/>
      <c r="Z159" s="320"/>
      <c r="AA159" s="320"/>
      <c r="AB159" s="371"/>
    </row>
    <row r="160" spans="1:28" ht="15" customHeight="1" x14ac:dyDescent="0.2">
      <c r="A160" s="377"/>
      <c r="B160" s="123" t="s">
        <v>153</v>
      </c>
      <c r="C160" s="371"/>
      <c r="D160" s="372"/>
      <c r="E160" s="320"/>
      <c r="F160" s="320"/>
      <c r="G160" s="320"/>
      <c r="H160" s="371"/>
      <c r="I160" s="372"/>
      <c r="J160" s="320"/>
      <c r="K160" s="320"/>
      <c r="L160" s="320"/>
      <c r="M160" s="371"/>
      <c r="N160" s="372"/>
      <c r="O160" s="327"/>
      <c r="P160" s="327"/>
      <c r="Q160" s="327"/>
      <c r="R160" s="371"/>
      <c r="S160" s="372"/>
      <c r="T160" s="320"/>
      <c r="U160" s="320"/>
      <c r="V160" s="320"/>
      <c r="W160" s="372"/>
      <c r="X160" s="372"/>
      <c r="Y160" s="320"/>
      <c r="Z160" s="320"/>
      <c r="AA160" s="320"/>
      <c r="AB160" s="371"/>
    </row>
    <row r="161" spans="1:28" ht="15" customHeight="1" x14ac:dyDescent="0.2">
      <c r="A161" s="377"/>
      <c r="B161" s="123" t="s">
        <v>152</v>
      </c>
      <c r="C161" s="371"/>
      <c r="D161" s="372"/>
      <c r="E161" s="320"/>
      <c r="F161" s="320"/>
      <c r="G161" s="320"/>
      <c r="H161" s="371"/>
      <c r="I161" s="372"/>
      <c r="J161" s="320"/>
      <c r="K161" s="320"/>
      <c r="L161" s="320"/>
      <c r="M161" s="371"/>
      <c r="N161" s="372"/>
      <c r="O161" s="327"/>
      <c r="P161" s="327"/>
      <c r="Q161" s="327"/>
      <c r="R161" s="371"/>
      <c r="S161" s="372"/>
      <c r="T161" s="320"/>
      <c r="U161" s="320"/>
      <c r="V161" s="320"/>
      <c r="W161" s="372"/>
      <c r="X161" s="372"/>
      <c r="Y161" s="320"/>
      <c r="Z161" s="320"/>
      <c r="AA161" s="320"/>
      <c r="AB161" s="371"/>
    </row>
    <row r="162" spans="1:28" ht="15" customHeight="1" x14ac:dyDescent="0.2">
      <c r="A162" s="377"/>
      <c r="B162" s="123" t="s">
        <v>154</v>
      </c>
      <c r="C162" s="371"/>
      <c r="D162" s="372"/>
      <c r="E162" s="320"/>
      <c r="F162" s="320"/>
      <c r="G162" s="320"/>
      <c r="H162" s="371"/>
      <c r="I162" s="372"/>
      <c r="J162" s="320"/>
      <c r="K162" s="320"/>
      <c r="L162" s="320"/>
      <c r="M162" s="371"/>
      <c r="N162" s="372"/>
      <c r="O162" s="327"/>
      <c r="P162" s="327"/>
      <c r="Q162" s="327"/>
      <c r="R162" s="371"/>
      <c r="S162" s="372"/>
      <c r="T162" s="311"/>
      <c r="U162" s="311"/>
      <c r="V162" s="311"/>
      <c r="W162" s="372"/>
      <c r="X162" s="372"/>
      <c r="Y162" s="311"/>
      <c r="Z162" s="311"/>
      <c r="AA162" s="311"/>
      <c r="AB162" s="371"/>
    </row>
    <row r="163" spans="1:28" ht="15" customHeight="1" x14ac:dyDescent="0.2">
      <c r="A163" s="375"/>
      <c r="B163" s="123" t="s">
        <v>145</v>
      </c>
      <c r="C163" s="371"/>
      <c r="D163" s="372"/>
      <c r="E163" s="320"/>
      <c r="F163" s="320"/>
      <c r="G163" s="320"/>
      <c r="H163" s="371"/>
      <c r="I163" s="372"/>
      <c r="J163" s="320"/>
      <c r="K163" s="320"/>
      <c r="L163" s="320"/>
      <c r="M163" s="371"/>
      <c r="N163" s="372"/>
      <c r="O163" s="327"/>
      <c r="P163" s="327"/>
      <c r="Q163" s="327"/>
      <c r="R163" s="368"/>
      <c r="S163" s="365"/>
      <c r="T163" s="328"/>
      <c r="U163" s="328"/>
      <c r="V163" s="328"/>
      <c r="W163" s="365"/>
      <c r="X163" s="365"/>
      <c r="Y163" s="314"/>
      <c r="Z163" s="314"/>
      <c r="AA163" s="314"/>
      <c r="AB163" s="368"/>
    </row>
    <row r="164" spans="1:28" ht="15" customHeight="1" x14ac:dyDescent="0.2">
      <c r="A164" s="375"/>
      <c r="B164" s="123" t="s">
        <v>721</v>
      </c>
      <c r="C164" s="371"/>
      <c r="D164" s="372"/>
      <c r="E164" s="320"/>
      <c r="F164" s="320"/>
      <c r="G164" s="320"/>
      <c r="H164" s="371"/>
      <c r="I164" s="372"/>
      <c r="J164" s="320"/>
      <c r="K164" s="320"/>
      <c r="L164" s="320"/>
      <c r="M164" s="371"/>
      <c r="N164" s="372"/>
      <c r="O164" s="327"/>
      <c r="P164" s="327"/>
      <c r="Q164" s="327"/>
      <c r="R164" s="368"/>
      <c r="S164" s="365"/>
      <c r="T164" s="314"/>
      <c r="U164" s="314"/>
      <c r="V164" s="314"/>
      <c r="W164" s="365"/>
      <c r="X164" s="365"/>
      <c r="Y164" s="314"/>
      <c r="Z164" s="314"/>
      <c r="AA164" s="314"/>
      <c r="AB164" s="368"/>
    </row>
    <row r="165" spans="1:28" ht="15" customHeight="1" x14ac:dyDescent="0.2">
      <c r="A165" s="375"/>
      <c r="B165" s="123" t="s">
        <v>722</v>
      </c>
      <c r="C165" s="371"/>
      <c r="D165" s="372"/>
      <c r="E165" s="320"/>
      <c r="F165" s="320"/>
      <c r="G165" s="320"/>
      <c r="H165" s="371"/>
      <c r="I165" s="372"/>
      <c r="J165" s="320"/>
      <c r="K165" s="320"/>
      <c r="L165" s="320"/>
      <c r="M165" s="371"/>
      <c r="N165" s="372"/>
      <c r="O165" s="327"/>
      <c r="P165" s="327"/>
      <c r="Q165" s="327"/>
      <c r="R165" s="368"/>
      <c r="S165" s="365"/>
      <c r="T165" s="314"/>
      <c r="U165" s="314"/>
      <c r="V165" s="314"/>
      <c r="W165" s="365"/>
      <c r="X165" s="365"/>
      <c r="Y165" s="314"/>
      <c r="Z165" s="314"/>
      <c r="AA165" s="314"/>
      <c r="AB165" s="368"/>
    </row>
    <row r="166" spans="1:28" ht="15" customHeight="1" x14ac:dyDescent="0.2">
      <c r="A166" s="375"/>
      <c r="B166" s="123" t="s">
        <v>723</v>
      </c>
      <c r="C166" s="371"/>
      <c r="D166" s="372"/>
      <c r="E166" s="320"/>
      <c r="F166" s="320"/>
      <c r="G166" s="320"/>
      <c r="H166" s="371"/>
      <c r="I166" s="372"/>
      <c r="J166" s="320"/>
      <c r="K166" s="320"/>
      <c r="L166" s="320"/>
      <c r="M166" s="371"/>
      <c r="N166" s="372"/>
      <c r="O166" s="327"/>
      <c r="P166" s="327"/>
      <c r="Q166" s="327"/>
      <c r="R166" s="368"/>
      <c r="S166" s="365"/>
      <c r="T166" s="314"/>
      <c r="U166" s="314"/>
      <c r="V166" s="314"/>
      <c r="W166" s="365"/>
      <c r="X166" s="365"/>
      <c r="Y166" s="314"/>
      <c r="Z166" s="314"/>
      <c r="AA166" s="314"/>
      <c r="AB166" s="368"/>
    </row>
    <row r="167" spans="1:28" ht="31.5" x14ac:dyDescent="0.2">
      <c r="A167" s="375"/>
      <c r="B167" s="123" t="s">
        <v>724</v>
      </c>
      <c r="C167" s="371"/>
      <c r="D167" s="372"/>
      <c r="E167" s="320"/>
      <c r="F167" s="320"/>
      <c r="G167" s="320"/>
      <c r="H167" s="371"/>
      <c r="I167" s="372"/>
      <c r="J167" s="320"/>
      <c r="K167" s="320"/>
      <c r="L167" s="320"/>
      <c r="M167" s="371"/>
      <c r="N167" s="372"/>
      <c r="O167" s="327"/>
      <c r="P167" s="327"/>
      <c r="Q167" s="327"/>
      <c r="R167" s="368"/>
      <c r="S167" s="365"/>
      <c r="T167" s="314"/>
      <c r="U167" s="314"/>
      <c r="V167" s="314"/>
      <c r="W167" s="365"/>
      <c r="X167" s="365"/>
      <c r="Y167" s="314"/>
      <c r="Z167" s="314"/>
      <c r="AA167" s="314"/>
      <c r="AB167" s="368"/>
    </row>
    <row r="168" spans="1:28" ht="15" customHeight="1" x14ac:dyDescent="0.2">
      <c r="A168" s="375"/>
      <c r="B168" s="124" t="s">
        <v>139</v>
      </c>
      <c r="C168" s="371"/>
      <c r="D168" s="372"/>
      <c r="E168" s="320"/>
      <c r="F168" s="320"/>
      <c r="G168" s="320"/>
      <c r="H168" s="371"/>
      <c r="I168" s="372"/>
      <c r="J168" s="320"/>
      <c r="K168" s="320"/>
      <c r="L168" s="320"/>
      <c r="M168" s="371"/>
      <c r="N168" s="372"/>
      <c r="O168" s="327"/>
      <c r="P168" s="327"/>
      <c r="Q168" s="327"/>
      <c r="R168" s="368"/>
      <c r="S168" s="365"/>
      <c r="T168" s="314"/>
      <c r="U168" s="314"/>
      <c r="V168" s="314"/>
      <c r="W168" s="365"/>
      <c r="X168" s="365"/>
      <c r="Y168" s="314"/>
      <c r="Z168" s="314"/>
      <c r="AA168" s="314"/>
      <c r="AB168" s="368"/>
    </row>
    <row r="169" spans="1:28" ht="15" customHeight="1" x14ac:dyDescent="0.2">
      <c r="A169" s="375"/>
      <c r="B169" s="123" t="s">
        <v>725</v>
      </c>
      <c r="C169" s="371"/>
      <c r="D169" s="372"/>
      <c r="E169" s="320"/>
      <c r="F169" s="320"/>
      <c r="G169" s="320"/>
      <c r="H169" s="371"/>
      <c r="I169" s="372"/>
      <c r="J169" s="320"/>
      <c r="K169" s="320"/>
      <c r="L169" s="320"/>
      <c r="M169" s="371"/>
      <c r="N169" s="372"/>
      <c r="O169" s="327"/>
      <c r="P169" s="327"/>
      <c r="Q169" s="327"/>
      <c r="R169" s="368"/>
      <c r="S169" s="365"/>
      <c r="T169" s="314"/>
      <c r="U169" s="314"/>
      <c r="V169" s="314"/>
      <c r="W169" s="365"/>
      <c r="X169" s="365"/>
      <c r="Y169" s="314"/>
      <c r="Z169" s="314"/>
      <c r="AA169" s="314"/>
      <c r="AB169" s="368"/>
    </row>
    <row r="170" spans="1:28" ht="15" customHeight="1" x14ac:dyDescent="0.2">
      <c r="A170" s="375"/>
      <c r="B170" s="123" t="s">
        <v>726</v>
      </c>
      <c r="C170" s="371"/>
      <c r="D170" s="372"/>
      <c r="E170" s="320"/>
      <c r="F170" s="320"/>
      <c r="G170" s="320"/>
      <c r="H170" s="371"/>
      <c r="I170" s="372"/>
      <c r="J170" s="320"/>
      <c r="K170" s="320"/>
      <c r="L170" s="320"/>
      <c r="M170" s="371"/>
      <c r="N170" s="372"/>
      <c r="O170" s="327"/>
      <c r="P170" s="327"/>
      <c r="Q170" s="327"/>
      <c r="R170" s="368"/>
      <c r="S170" s="365"/>
      <c r="T170" s="314"/>
      <c r="U170" s="314"/>
      <c r="V170" s="314"/>
      <c r="W170" s="365"/>
      <c r="X170" s="365"/>
      <c r="Y170" s="314"/>
      <c r="Z170" s="314"/>
      <c r="AA170" s="314"/>
      <c r="AB170" s="368"/>
    </row>
    <row r="171" spans="1:28" ht="18" customHeight="1" x14ac:dyDescent="0.2">
      <c r="A171" s="375"/>
      <c r="B171" s="124" t="s">
        <v>311</v>
      </c>
      <c r="C171" s="371"/>
      <c r="D171" s="372"/>
      <c r="E171" s="320"/>
      <c r="F171" s="320"/>
      <c r="G171" s="320"/>
      <c r="H171" s="371"/>
      <c r="I171" s="372"/>
      <c r="J171" s="320"/>
      <c r="K171" s="320"/>
      <c r="L171" s="320"/>
      <c r="M171" s="371"/>
      <c r="N171" s="372"/>
      <c r="O171" s="327"/>
      <c r="P171" s="327"/>
      <c r="Q171" s="327"/>
      <c r="R171" s="368"/>
      <c r="S171" s="365"/>
      <c r="T171" s="314"/>
      <c r="U171" s="314"/>
      <c r="V171" s="314"/>
      <c r="W171" s="365"/>
      <c r="X171" s="365"/>
      <c r="Y171" s="314"/>
      <c r="Z171" s="314"/>
      <c r="AA171" s="314"/>
      <c r="AB171" s="368"/>
    </row>
    <row r="172" spans="1:28" ht="18" customHeight="1" x14ac:dyDescent="0.2">
      <c r="A172" s="375"/>
      <c r="B172" s="123" t="s">
        <v>713</v>
      </c>
      <c r="C172" s="371"/>
      <c r="D172" s="372"/>
      <c r="E172" s="320"/>
      <c r="F172" s="320"/>
      <c r="G172" s="320"/>
      <c r="H172" s="371"/>
      <c r="I172" s="372"/>
      <c r="J172" s="320"/>
      <c r="K172" s="320"/>
      <c r="L172" s="320"/>
      <c r="M172" s="371"/>
      <c r="N172" s="372"/>
      <c r="O172" s="327"/>
      <c r="P172" s="327"/>
      <c r="Q172" s="327"/>
      <c r="R172" s="368"/>
      <c r="S172" s="365"/>
      <c r="T172" s="314"/>
      <c r="U172" s="314"/>
      <c r="V172" s="314"/>
      <c r="W172" s="365"/>
      <c r="X172" s="365"/>
      <c r="Y172" s="314"/>
      <c r="Z172" s="314"/>
      <c r="AA172" s="314"/>
      <c r="AB172" s="368"/>
    </row>
    <row r="173" spans="1:28" ht="18" customHeight="1" x14ac:dyDescent="0.2">
      <c r="A173" s="375"/>
      <c r="B173" s="123" t="s">
        <v>727</v>
      </c>
      <c r="C173" s="371"/>
      <c r="D173" s="372"/>
      <c r="E173" s="311"/>
      <c r="F173" s="311"/>
      <c r="G173" s="311"/>
      <c r="H173" s="371"/>
      <c r="I173" s="372"/>
      <c r="J173" s="311"/>
      <c r="K173" s="311"/>
      <c r="L173" s="311"/>
      <c r="M173" s="371"/>
      <c r="N173" s="372"/>
      <c r="O173" s="328"/>
      <c r="P173" s="328"/>
      <c r="Q173" s="328"/>
      <c r="R173" s="368"/>
      <c r="S173" s="365"/>
      <c r="T173" s="314"/>
      <c r="U173" s="314"/>
      <c r="V173" s="314"/>
      <c r="W173" s="365"/>
      <c r="X173" s="365"/>
      <c r="Y173" s="314"/>
      <c r="Z173" s="314"/>
      <c r="AA173" s="314"/>
      <c r="AB173" s="368"/>
    </row>
    <row r="174" spans="1:28" ht="20.25" customHeight="1" x14ac:dyDescent="0.2">
      <c r="A174" s="375"/>
      <c r="B174" s="123" t="s">
        <v>728</v>
      </c>
      <c r="C174" s="371"/>
      <c r="D174" s="372"/>
      <c r="E174" s="311"/>
      <c r="F174" s="311"/>
      <c r="G174" s="311"/>
      <c r="H174" s="371"/>
      <c r="I174" s="372"/>
      <c r="J174" s="311"/>
      <c r="K174" s="311"/>
      <c r="L174" s="311"/>
      <c r="M174" s="371"/>
      <c r="N174" s="372"/>
      <c r="O174" s="328"/>
      <c r="P174" s="328"/>
      <c r="Q174" s="328"/>
      <c r="R174" s="368"/>
      <c r="S174" s="365"/>
      <c r="T174" s="314"/>
      <c r="U174" s="314"/>
      <c r="V174" s="314"/>
      <c r="W174" s="365"/>
      <c r="X174" s="365"/>
      <c r="Y174" s="314"/>
      <c r="Z174" s="314"/>
      <c r="AA174" s="314"/>
      <c r="AB174" s="368"/>
    </row>
    <row r="175" spans="1:28" ht="33.75" customHeight="1" x14ac:dyDescent="0.2">
      <c r="A175" s="375"/>
      <c r="B175" s="123" t="s">
        <v>729</v>
      </c>
      <c r="C175" s="371"/>
      <c r="D175" s="372"/>
      <c r="E175" s="311"/>
      <c r="F175" s="311"/>
      <c r="G175" s="311"/>
      <c r="H175" s="371"/>
      <c r="I175" s="372"/>
      <c r="J175" s="311"/>
      <c r="K175" s="311"/>
      <c r="L175" s="311"/>
      <c r="M175" s="371"/>
      <c r="N175" s="372"/>
      <c r="O175" s="328"/>
      <c r="P175" s="328"/>
      <c r="Q175" s="328"/>
      <c r="R175" s="368"/>
      <c r="S175" s="365"/>
      <c r="T175" s="314"/>
      <c r="U175" s="314"/>
      <c r="V175" s="314"/>
      <c r="W175" s="365"/>
      <c r="X175" s="365"/>
      <c r="Y175" s="314"/>
      <c r="Z175" s="314"/>
      <c r="AA175" s="314"/>
      <c r="AB175" s="368"/>
    </row>
    <row r="176" spans="1:28" ht="33" customHeight="1" x14ac:dyDescent="0.2">
      <c r="A176" s="375"/>
      <c r="B176" s="123" t="s">
        <v>730</v>
      </c>
      <c r="C176" s="371"/>
      <c r="D176" s="372"/>
      <c r="E176" s="311"/>
      <c r="F176" s="311"/>
      <c r="G176" s="311"/>
      <c r="H176" s="371"/>
      <c r="I176" s="372"/>
      <c r="J176" s="311"/>
      <c r="K176" s="311"/>
      <c r="L176" s="311"/>
      <c r="M176" s="371"/>
      <c r="N176" s="372"/>
      <c r="O176" s="328"/>
      <c r="P176" s="328"/>
      <c r="Q176" s="328"/>
      <c r="R176" s="368"/>
      <c r="S176" s="365"/>
      <c r="T176" s="314"/>
      <c r="U176" s="314"/>
      <c r="V176" s="314"/>
      <c r="W176" s="365"/>
      <c r="X176" s="365"/>
      <c r="Y176" s="314"/>
      <c r="Z176" s="314"/>
      <c r="AA176" s="314"/>
      <c r="AB176" s="368"/>
    </row>
    <row r="177" spans="1:28" ht="18.75" customHeight="1" x14ac:dyDescent="0.2">
      <c r="A177" s="375"/>
      <c r="B177" s="123" t="s">
        <v>731</v>
      </c>
      <c r="C177" s="371"/>
      <c r="D177" s="372"/>
      <c r="E177" s="311"/>
      <c r="F177" s="311"/>
      <c r="G177" s="311"/>
      <c r="H177" s="371"/>
      <c r="I177" s="372"/>
      <c r="J177" s="311"/>
      <c r="K177" s="311"/>
      <c r="L177" s="311"/>
      <c r="M177" s="371"/>
      <c r="N177" s="372"/>
      <c r="O177" s="328"/>
      <c r="P177" s="328"/>
      <c r="Q177" s="328"/>
      <c r="R177" s="368"/>
      <c r="S177" s="365"/>
      <c r="T177" s="314"/>
      <c r="U177" s="314"/>
      <c r="V177" s="314"/>
      <c r="W177" s="365"/>
      <c r="X177" s="365"/>
      <c r="Y177" s="314"/>
      <c r="Z177" s="314"/>
      <c r="AA177" s="314"/>
      <c r="AB177" s="368"/>
    </row>
    <row r="178" spans="1:28" ht="18.75" customHeight="1" x14ac:dyDescent="0.2">
      <c r="A178" s="125"/>
      <c r="B178" s="124" t="s">
        <v>360</v>
      </c>
      <c r="C178" s="310"/>
      <c r="D178" s="312"/>
      <c r="E178" s="312"/>
      <c r="F178" s="312"/>
      <c r="G178" s="312"/>
      <c r="H178" s="310"/>
      <c r="I178" s="312"/>
      <c r="J178" s="312"/>
      <c r="K178" s="312"/>
      <c r="L178" s="312"/>
      <c r="M178" s="310"/>
      <c r="N178" s="312"/>
      <c r="O178" s="328"/>
      <c r="P178" s="328"/>
      <c r="Q178" s="328"/>
      <c r="R178" s="315"/>
      <c r="S178" s="314"/>
      <c r="T178" s="314"/>
      <c r="U178" s="314"/>
      <c r="V178" s="314"/>
      <c r="W178" s="314"/>
      <c r="X178" s="314"/>
      <c r="Y178" s="314"/>
      <c r="Z178" s="314"/>
      <c r="AA178" s="314"/>
      <c r="AB178" s="315"/>
    </row>
    <row r="179" spans="1:28" ht="18.75" customHeight="1" x14ac:dyDescent="0.2">
      <c r="A179" s="321"/>
      <c r="B179" s="123" t="s">
        <v>732</v>
      </c>
      <c r="C179" s="310"/>
      <c r="D179" s="312"/>
      <c r="E179" s="311"/>
      <c r="F179" s="311"/>
      <c r="G179" s="311"/>
      <c r="H179" s="310"/>
      <c r="I179" s="312"/>
      <c r="J179" s="311"/>
      <c r="K179" s="311"/>
      <c r="L179" s="311"/>
      <c r="M179" s="310"/>
      <c r="N179" s="312"/>
      <c r="O179" s="328"/>
      <c r="P179" s="328"/>
      <c r="Q179" s="328"/>
      <c r="R179" s="315"/>
      <c r="S179" s="314"/>
      <c r="T179" s="328"/>
      <c r="U179" s="328"/>
      <c r="V179" s="328"/>
      <c r="W179" s="314"/>
      <c r="X179" s="314"/>
      <c r="Y179" s="328"/>
      <c r="Z179" s="328"/>
      <c r="AA179" s="328"/>
      <c r="AB179" s="315"/>
    </row>
    <row r="180" spans="1:28" ht="18.75" customHeight="1" x14ac:dyDescent="0.2">
      <c r="A180" s="321"/>
      <c r="B180" s="123" t="s">
        <v>733</v>
      </c>
      <c r="C180" s="310"/>
      <c r="D180" s="312"/>
      <c r="E180" s="311"/>
      <c r="F180" s="311"/>
      <c r="G180" s="311"/>
      <c r="H180" s="310"/>
      <c r="I180" s="312"/>
      <c r="J180" s="311"/>
      <c r="K180" s="311"/>
      <c r="L180" s="311"/>
      <c r="M180" s="310"/>
      <c r="N180" s="312"/>
      <c r="O180" s="328"/>
      <c r="P180" s="328"/>
      <c r="Q180" s="328"/>
      <c r="R180" s="315"/>
      <c r="S180" s="314"/>
      <c r="T180" s="328"/>
      <c r="U180" s="328"/>
      <c r="V180" s="328"/>
      <c r="W180" s="314"/>
      <c r="X180" s="314"/>
      <c r="Y180" s="328"/>
      <c r="Z180" s="328"/>
      <c r="AA180" s="328"/>
      <c r="AB180" s="315"/>
    </row>
    <row r="181" spans="1:28" ht="18.75" customHeight="1" x14ac:dyDescent="0.2">
      <c r="A181" s="321"/>
      <c r="B181" s="117" t="s">
        <v>695</v>
      </c>
      <c r="C181" s="310"/>
      <c r="D181" s="312"/>
      <c r="E181" s="311"/>
      <c r="F181" s="311"/>
      <c r="G181" s="311"/>
      <c r="H181" s="310"/>
      <c r="I181" s="312"/>
      <c r="J181" s="311"/>
      <c r="K181" s="311"/>
      <c r="L181" s="311"/>
      <c r="M181" s="310"/>
      <c r="N181" s="312"/>
      <c r="O181" s="328"/>
      <c r="P181" s="328"/>
      <c r="Q181" s="328"/>
      <c r="R181" s="315"/>
      <c r="S181" s="314"/>
      <c r="T181" s="328"/>
      <c r="U181" s="328"/>
      <c r="V181" s="328"/>
      <c r="W181" s="314"/>
      <c r="X181" s="314"/>
      <c r="Y181" s="328"/>
      <c r="Z181" s="328"/>
      <c r="AA181" s="328"/>
      <c r="AB181" s="315"/>
    </row>
    <row r="182" spans="1:28" ht="18.75" customHeight="1" x14ac:dyDescent="0.2">
      <c r="A182" s="321"/>
      <c r="B182" s="117" t="s">
        <v>745</v>
      </c>
      <c r="C182" s="310"/>
      <c r="D182" s="312"/>
      <c r="E182" s="311"/>
      <c r="F182" s="311"/>
      <c r="G182" s="311"/>
      <c r="H182" s="310"/>
      <c r="I182" s="312"/>
      <c r="J182" s="311"/>
      <c r="K182" s="311"/>
      <c r="L182" s="311"/>
      <c r="M182" s="310"/>
      <c r="N182" s="312"/>
      <c r="O182" s="328"/>
      <c r="P182" s="328"/>
      <c r="Q182" s="328"/>
      <c r="R182" s="315"/>
      <c r="S182" s="314"/>
      <c r="T182" s="328"/>
      <c r="U182" s="328"/>
      <c r="V182" s="328"/>
      <c r="W182" s="314"/>
      <c r="X182" s="314"/>
      <c r="Y182" s="328"/>
      <c r="Z182" s="328"/>
      <c r="AA182" s="328"/>
      <c r="AB182" s="315"/>
    </row>
    <row r="183" spans="1:28" ht="18.75" customHeight="1" x14ac:dyDescent="0.2">
      <c r="A183" s="321"/>
      <c r="B183" s="118" t="s">
        <v>734</v>
      </c>
      <c r="C183" s="310"/>
      <c r="D183" s="312"/>
      <c r="E183" s="311"/>
      <c r="F183" s="311"/>
      <c r="G183" s="311"/>
      <c r="H183" s="310"/>
      <c r="I183" s="312"/>
      <c r="J183" s="311"/>
      <c r="K183" s="311"/>
      <c r="L183" s="311"/>
      <c r="M183" s="310"/>
      <c r="N183" s="312"/>
      <c r="O183" s="328"/>
      <c r="P183" s="328"/>
      <c r="Q183" s="328"/>
      <c r="R183" s="315"/>
      <c r="S183" s="314"/>
      <c r="T183" s="328"/>
      <c r="U183" s="328"/>
      <c r="V183" s="328"/>
      <c r="W183" s="314"/>
      <c r="X183" s="314"/>
      <c r="Y183" s="328"/>
      <c r="Z183" s="328"/>
      <c r="AA183" s="328"/>
      <c r="AB183" s="315"/>
    </row>
    <row r="184" spans="1:28" ht="18.75" customHeight="1" x14ac:dyDescent="0.2">
      <c r="A184" s="321"/>
      <c r="B184" s="118" t="s">
        <v>735</v>
      </c>
      <c r="C184" s="310"/>
      <c r="D184" s="312"/>
      <c r="E184" s="311"/>
      <c r="F184" s="311"/>
      <c r="G184" s="311"/>
      <c r="H184" s="310"/>
      <c r="I184" s="312"/>
      <c r="J184" s="311"/>
      <c r="K184" s="311"/>
      <c r="L184" s="311"/>
      <c r="M184" s="310"/>
      <c r="N184" s="312"/>
      <c r="O184" s="328"/>
      <c r="P184" s="328"/>
      <c r="Q184" s="328"/>
      <c r="R184" s="315"/>
      <c r="S184" s="314"/>
      <c r="T184" s="328"/>
      <c r="U184" s="328"/>
      <c r="V184" s="328"/>
      <c r="W184" s="314"/>
      <c r="X184" s="314"/>
      <c r="Y184" s="328"/>
      <c r="Z184" s="328"/>
      <c r="AA184" s="328"/>
      <c r="AB184" s="315"/>
    </row>
    <row r="185" spans="1:28" ht="18.75" customHeight="1" x14ac:dyDescent="0.2">
      <c r="A185" s="321"/>
      <c r="B185" s="118" t="s">
        <v>736</v>
      </c>
      <c r="C185" s="310"/>
      <c r="D185" s="312"/>
      <c r="E185" s="311"/>
      <c r="F185" s="311"/>
      <c r="G185" s="311"/>
      <c r="H185" s="310"/>
      <c r="I185" s="312"/>
      <c r="J185" s="311"/>
      <c r="K185" s="311"/>
      <c r="L185" s="311"/>
      <c r="M185" s="310"/>
      <c r="N185" s="312"/>
      <c r="O185" s="328"/>
      <c r="P185" s="328"/>
      <c r="Q185" s="328"/>
      <c r="R185" s="315"/>
      <c r="S185" s="314"/>
      <c r="T185" s="328"/>
      <c r="U185" s="328"/>
      <c r="V185" s="328"/>
      <c r="W185" s="314"/>
      <c r="X185" s="314"/>
      <c r="Y185" s="328"/>
      <c r="Z185" s="328"/>
      <c r="AA185" s="328"/>
      <c r="AB185" s="315"/>
    </row>
    <row r="186" spans="1:28" ht="18.75" customHeight="1" x14ac:dyDescent="0.2">
      <c r="A186" s="321"/>
      <c r="B186" s="118" t="s">
        <v>1327</v>
      </c>
      <c r="C186" s="310"/>
      <c r="D186" s="312"/>
      <c r="E186" s="311"/>
      <c r="F186" s="311"/>
      <c r="G186" s="311"/>
      <c r="H186" s="310"/>
      <c r="I186" s="312"/>
      <c r="J186" s="311"/>
      <c r="K186" s="311"/>
      <c r="L186" s="311"/>
      <c r="M186" s="310"/>
      <c r="N186" s="312"/>
      <c r="O186" s="328"/>
      <c r="P186" s="328"/>
      <c r="Q186" s="328"/>
      <c r="R186" s="315"/>
      <c r="S186" s="314"/>
      <c r="T186" s="328"/>
      <c r="U186" s="328"/>
      <c r="V186" s="328"/>
      <c r="W186" s="314"/>
      <c r="X186" s="314"/>
      <c r="Y186" s="328"/>
      <c r="Z186" s="328"/>
      <c r="AA186" s="328"/>
      <c r="AB186" s="315"/>
    </row>
    <row r="187" spans="1:28" ht="18.75" customHeight="1" x14ac:dyDescent="0.2">
      <c r="A187" s="321"/>
      <c r="B187" s="118" t="s">
        <v>1328</v>
      </c>
      <c r="C187" s="310"/>
      <c r="D187" s="312"/>
      <c r="E187" s="311"/>
      <c r="F187" s="311"/>
      <c r="G187" s="311"/>
      <c r="H187" s="310"/>
      <c r="I187" s="312"/>
      <c r="J187" s="311"/>
      <c r="K187" s="311"/>
      <c r="L187" s="311"/>
      <c r="M187" s="310"/>
      <c r="N187" s="312"/>
      <c r="O187" s="328"/>
      <c r="P187" s="328"/>
      <c r="Q187" s="328"/>
      <c r="R187" s="315"/>
      <c r="S187" s="314"/>
      <c r="T187" s="328"/>
      <c r="U187" s="328"/>
      <c r="V187" s="328"/>
      <c r="W187" s="314"/>
      <c r="X187" s="314"/>
      <c r="Y187" s="328"/>
      <c r="Z187" s="328"/>
      <c r="AA187" s="328"/>
      <c r="AB187" s="315"/>
    </row>
    <row r="188" spans="1:28" ht="18.75" customHeight="1" x14ac:dyDescent="0.2">
      <c r="A188" s="321"/>
      <c r="B188" s="118" t="s">
        <v>1329</v>
      </c>
      <c r="C188" s="310"/>
      <c r="D188" s="312"/>
      <c r="E188" s="311"/>
      <c r="F188" s="311"/>
      <c r="G188" s="311"/>
      <c r="H188" s="310"/>
      <c r="I188" s="312"/>
      <c r="J188" s="311"/>
      <c r="K188" s="311"/>
      <c r="L188" s="311"/>
      <c r="M188" s="310"/>
      <c r="N188" s="312"/>
      <c r="O188" s="328"/>
      <c r="P188" s="328"/>
      <c r="Q188" s="328"/>
      <c r="R188" s="315"/>
      <c r="S188" s="314"/>
      <c r="T188" s="328"/>
      <c r="U188" s="328"/>
      <c r="V188" s="328"/>
      <c r="W188" s="314"/>
      <c r="X188" s="314"/>
      <c r="Y188" s="328"/>
      <c r="Z188" s="328"/>
      <c r="AA188" s="328"/>
      <c r="AB188" s="315"/>
    </row>
    <row r="189" spans="1:28" ht="18.75" customHeight="1" x14ac:dyDescent="0.2">
      <c r="A189" s="321"/>
      <c r="B189" s="126" t="s">
        <v>1330</v>
      </c>
      <c r="C189" s="310"/>
      <c r="D189" s="312"/>
      <c r="E189" s="311"/>
      <c r="F189" s="311"/>
      <c r="G189" s="311"/>
      <c r="H189" s="310"/>
      <c r="I189" s="312"/>
      <c r="J189" s="311"/>
      <c r="K189" s="311"/>
      <c r="L189" s="311"/>
      <c r="M189" s="310"/>
      <c r="N189" s="312"/>
      <c r="O189" s="328"/>
      <c r="P189" s="328"/>
      <c r="Q189" s="328"/>
      <c r="R189" s="315"/>
      <c r="S189" s="314"/>
      <c r="T189" s="328"/>
      <c r="U189" s="328"/>
      <c r="V189" s="328"/>
      <c r="W189" s="314"/>
      <c r="X189" s="314"/>
      <c r="Y189" s="328"/>
      <c r="Z189" s="328"/>
      <c r="AA189" s="328"/>
      <c r="AB189" s="315"/>
    </row>
    <row r="190" spans="1:28" ht="18.75" customHeight="1" x14ac:dyDescent="0.2">
      <c r="A190" s="321"/>
      <c r="B190" s="124" t="s">
        <v>584</v>
      </c>
      <c r="C190" s="310"/>
      <c r="D190" s="312"/>
      <c r="E190" s="311"/>
      <c r="F190" s="311"/>
      <c r="G190" s="311"/>
      <c r="H190" s="310"/>
      <c r="I190" s="312"/>
      <c r="J190" s="311"/>
      <c r="K190" s="311"/>
      <c r="L190" s="311"/>
      <c r="M190" s="310"/>
      <c r="N190" s="312"/>
      <c r="O190" s="328"/>
      <c r="P190" s="328"/>
      <c r="Q190" s="328"/>
      <c r="R190" s="315"/>
      <c r="S190" s="314"/>
      <c r="T190" s="328"/>
      <c r="U190" s="328"/>
      <c r="V190" s="328"/>
      <c r="W190" s="314"/>
      <c r="X190" s="314"/>
      <c r="Y190" s="328"/>
      <c r="Z190" s="328"/>
      <c r="AA190" s="328"/>
      <c r="AB190" s="315"/>
    </row>
    <row r="191" spans="1:28" ht="22.5" customHeight="1" x14ac:dyDescent="0.2">
      <c r="A191" s="321"/>
      <c r="B191" s="123" t="s">
        <v>1404</v>
      </c>
      <c r="C191" s="310"/>
      <c r="D191" s="312"/>
      <c r="E191" s="311"/>
      <c r="F191" s="311"/>
      <c r="G191" s="311"/>
      <c r="H191" s="310"/>
      <c r="I191" s="312"/>
      <c r="J191" s="311"/>
      <c r="K191" s="311"/>
      <c r="L191" s="311"/>
      <c r="M191" s="310"/>
      <c r="N191" s="312"/>
      <c r="O191" s="328"/>
      <c r="P191" s="328"/>
      <c r="Q191" s="328"/>
      <c r="R191" s="315"/>
      <c r="S191" s="314"/>
      <c r="T191" s="328"/>
      <c r="U191" s="328"/>
      <c r="V191" s="328"/>
      <c r="W191" s="314"/>
      <c r="X191" s="314"/>
      <c r="Y191" s="328"/>
      <c r="Z191" s="328"/>
      <c r="AA191" s="328"/>
      <c r="AB191" s="315"/>
    </row>
    <row r="192" spans="1:28" ht="18.75" customHeight="1" x14ac:dyDescent="0.2">
      <c r="A192" s="321"/>
      <c r="B192" s="123" t="s">
        <v>1405</v>
      </c>
      <c r="C192" s="310"/>
      <c r="D192" s="312"/>
      <c r="E192" s="311"/>
      <c r="F192" s="311"/>
      <c r="G192" s="311"/>
      <c r="H192" s="310"/>
      <c r="I192" s="312"/>
      <c r="J192" s="311"/>
      <c r="K192" s="311"/>
      <c r="L192" s="311"/>
      <c r="M192" s="310"/>
      <c r="N192" s="312"/>
      <c r="O192" s="328"/>
      <c r="P192" s="328"/>
      <c r="Q192" s="328"/>
      <c r="R192" s="315"/>
      <c r="S192" s="314"/>
      <c r="T192" s="328"/>
      <c r="U192" s="328"/>
      <c r="V192" s="328"/>
      <c r="W192" s="314"/>
      <c r="X192" s="314"/>
      <c r="Y192" s="328"/>
      <c r="Z192" s="328"/>
      <c r="AA192" s="328"/>
      <c r="AB192" s="315"/>
    </row>
    <row r="193" spans="1:28" ht="18.75" customHeight="1" x14ac:dyDescent="0.2">
      <c r="A193" s="321"/>
      <c r="B193" s="123" t="s">
        <v>1502</v>
      </c>
      <c r="C193" s="310"/>
      <c r="D193" s="312"/>
      <c r="E193" s="311"/>
      <c r="F193" s="311"/>
      <c r="G193" s="311"/>
      <c r="H193" s="310"/>
      <c r="I193" s="312"/>
      <c r="J193" s="311"/>
      <c r="K193" s="311"/>
      <c r="L193" s="311"/>
      <c r="M193" s="310"/>
      <c r="N193" s="312"/>
      <c r="O193" s="328"/>
      <c r="P193" s="328"/>
      <c r="Q193" s="328"/>
      <c r="R193" s="315"/>
      <c r="S193" s="314"/>
      <c r="T193" s="328"/>
      <c r="U193" s="328"/>
      <c r="V193" s="328"/>
      <c r="W193" s="314"/>
      <c r="X193" s="314"/>
      <c r="Y193" s="328"/>
      <c r="Z193" s="328"/>
      <c r="AA193" s="328"/>
      <c r="AB193" s="315"/>
    </row>
    <row r="194" spans="1:28" ht="18.75" customHeight="1" x14ac:dyDescent="0.2">
      <c r="A194" s="309"/>
      <c r="B194" s="127" t="s">
        <v>556</v>
      </c>
      <c r="C194" s="326" t="s">
        <v>97</v>
      </c>
      <c r="D194" s="327" t="s">
        <v>97</v>
      </c>
      <c r="E194" s="327"/>
      <c r="F194" s="327"/>
      <c r="G194" s="327"/>
      <c r="H194" s="326" t="s">
        <v>97</v>
      </c>
      <c r="I194" s="327" t="s">
        <v>97</v>
      </c>
      <c r="J194" s="327"/>
      <c r="K194" s="327"/>
      <c r="L194" s="327"/>
      <c r="M194" s="326">
        <f>N194</f>
        <v>3417</v>
      </c>
      <c r="N194" s="327">
        <v>3417</v>
      </c>
      <c r="O194" s="327"/>
      <c r="P194" s="327"/>
      <c r="Q194" s="327"/>
      <c r="R194" s="326">
        <v>0</v>
      </c>
      <c r="S194" s="327">
        <v>0</v>
      </c>
      <c r="T194" s="327"/>
      <c r="U194" s="327"/>
      <c r="V194" s="327"/>
      <c r="W194" s="326">
        <v>0</v>
      </c>
      <c r="X194" s="327">
        <v>0</v>
      </c>
      <c r="Y194" s="327"/>
      <c r="Z194" s="327"/>
      <c r="AA194" s="327"/>
      <c r="AB194" s="326">
        <v>3417</v>
      </c>
    </row>
    <row r="195" spans="1:28" ht="20.25" customHeight="1" x14ac:dyDescent="0.2">
      <c r="A195" s="376" t="s">
        <v>442</v>
      </c>
      <c r="B195" s="115" t="s">
        <v>391</v>
      </c>
      <c r="C195" s="370">
        <f>D195</f>
        <v>817</v>
      </c>
      <c r="D195" s="373">
        <v>817</v>
      </c>
      <c r="E195" s="128"/>
      <c r="F195" s="128"/>
      <c r="G195" s="128"/>
      <c r="H195" s="370">
        <f>I195</f>
        <v>2512</v>
      </c>
      <c r="I195" s="373">
        <f>1695+817</f>
        <v>2512</v>
      </c>
      <c r="J195" s="128"/>
      <c r="K195" s="128"/>
      <c r="L195" s="128"/>
      <c r="M195" s="370">
        <f>N195</f>
        <v>4617</v>
      </c>
      <c r="N195" s="373">
        <f>615+578+1853+2512-486-423-32</f>
        <v>4617</v>
      </c>
      <c r="O195" s="129"/>
      <c r="P195" s="129"/>
      <c r="Q195" s="129"/>
      <c r="R195" s="370">
        <f>S195</f>
        <v>8504</v>
      </c>
      <c r="S195" s="373">
        <f>3573+4915+817-119-71-20-355-79-104-53</f>
        <v>8504</v>
      </c>
      <c r="T195" s="128"/>
      <c r="U195" s="128"/>
      <c r="V195" s="128"/>
      <c r="W195" s="370">
        <f>X195</f>
        <v>15923</v>
      </c>
      <c r="X195" s="373">
        <f>10355+5568</f>
        <v>15923</v>
      </c>
      <c r="Y195" s="128"/>
      <c r="Z195" s="128"/>
      <c r="AA195" s="128"/>
      <c r="AB195" s="370">
        <f>C195+H195+M195+R195+W195</f>
        <v>32373</v>
      </c>
    </row>
    <row r="196" spans="1:28" ht="15" customHeight="1" x14ac:dyDescent="0.2">
      <c r="A196" s="377"/>
      <c r="B196" s="116" t="s">
        <v>387</v>
      </c>
      <c r="C196" s="371"/>
      <c r="D196" s="372"/>
      <c r="E196" s="130"/>
      <c r="F196" s="130"/>
      <c r="G196" s="130"/>
      <c r="H196" s="371"/>
      <c r="I196" s="372"/>
      <c r="J196" s="130"/>
      <c r="K196" s="130"/>
      <c r="L196" s="130"/>
      <c r="M196" s="371"/>
      <c r="N196" s="372"/>
      <c r="O196" s="131"/>
      <c r="P196" s="131"/>
      <c r="Q196" s="131"/>
      <c r="R196" s="371"/>
      <c r="S196" s="372"/>
      <c r="T196" s="130"/>
      <c r="U196" s="130"/>
      <c r="V196" s="130"/>
      <c r="W196" s="371"/>
      <c r="X196" s="372"/>
      <c r="Y196" s="130"/>
      <c r="Z196" s="130"/>
      <c r="AA196" s="130"/>
      <c r="AB196" s="371"/>
    </row>
    <row r="197" spans="1:28" ht="15" customHeight="1" x14ac:dyDescent="0.2">
      <c r="A197" s="377"/>
      <c r="B197" s="117" t="s">
        <v>737</v>
      </c>
      <c r="C197" s="371"/>
      <c r="D197" s="372"/>
      <c r="E197" s="132"/>
      <c r="F197" s="132"/>
      <c r="G197" s="132"/>
      <c r="H197" s="371"/>
      <c r="I197" s="372"/>
      <c r="J197" s="132"/>
      <c r="K197" s="132"/>
      <c r="L197" s="132"/>
      <c r="M197" s="371"/>
      <c r="N197" s="372"/>
      <c r="O197" s="133"/>
      <c r="P197" s="133"/>
      <c r="Q197" s="133"/>
      <c r="R197" s="371"/>
      <c r="S197" s="372"/>
      <c r="T197" s="132"/>
      <c r="U197" s="132"/>
      <c r="V197" s="132"/>
      <c r="W197" s="371"/>
      <c r="X197" s="372"/>
      <c r="Y197" s="132"/>
      <c r="Z197" s="132"/>
      <c r="AA197" s="132"/>
      <c r="AB197" s="371"/>
    </row>
    <row r="198" spans="1:28" ht="15" customHeight="1" x14ac:dyDescent="0.2">
      <c r="A198" s="377"/>
      <c r="B198" s="117" t="s">
        <v>651</v>
      </c>
      <c r="C198" s="371"/>
      <c r="D198" s="372"/>
      <c r="E198" s="134"/>
      <c r="F198" s="134"/>
      <c r="G198" s="134"/>
      <c r="H198" s="371"/>
      <c r="I198" s="372"/>
      <c r="J198" s="134"/>
      <c r="K198" s="134"/>
      <c r="L198" s="134"/>
      <c r="M198" s="371"/>
      <c r="N198" s="372"/>
      <c r="O198" s="135"/>
      <c r="P198" s="135"/>
      <c r="Q198" s="135"/>
      <c r="R198" s="371"/>
      <c r="S198" s="372"/>
      <c r="T198" s="134"/>
      <c r="U198" s="134"/>
      <c r="V198" s="134"/>
      <c r="W198" s="371"/>
      <c r="X198" s="372"/>
      <c r="Y198" s="134"/>
      <c r="Z198" s="134"/>
      <c r="AA198" s="134"/>
      <c r="AB198" s="371"/>
    </row>
    <row r="199" spans="1:28" ht="18.75" customHeight="1" x14ac:dyDescent="0.2">
      <c r="A199" s="377"/>
      <c r="B199" s="116" t="s">
        <v>311</v>
      </c>
      <c r="C199" s="371"/>
      <c r="D199" s="372"/>
      <c r="E199" s="134"/>
      <c r="F199" s="134"/>
      <c r="G199" s="134"/>
      <c r="H199" s="371"/>
      <c r="I199" s="372"/>
      <c r="J199" s="134"/>
      <c r="K199" s="134"/>
      <c r="L199" s="134"/>
      <c r="M199" s="371"/>
      <c r="N199" s="372"/>
      <c r="O199" s="135"/>
      <c r="P199" s="135"/>
      <c r="Q199" s="135"/>
      <c r="R199" s="371"/>
      <c r="S199" s="372"/>
      <c r="T199" s="134"/>
      <c r="U199" s="134"/>
      <c r="V199" s="134"/>
      <c r="W199" s="371"/>
      <c r="X199" s="372"/>
      <c r="Y199" s="134"/>
      <c r="Z199" s="134"/>
      <c r="AA199" s="134"/>
      <c r="AB199" s="371"/>
    </row>
    <row r="200" spans="1:28" ht="18.75" customHeight="1" x14ac:dyDescent="0.2">
      <c r="A200" s="377"/>
      <c r="B200" s="117" t="s">
        <v>738</v>
      </c>
      <c r="C200" s="371"/>
      <c r="D200" s="372"/>
      <c r="E200" s="134"/>
      <c r="F200" s="134"/>
      <c r="G200" s="134"/>
      <c r="H200" s="371"/>
      <c r="I200" s="372"/>
      <c r="J200" s="134"/>
      <c r="K200" s="134"/>
      <c r="L200" s="134"/>
      <c r="M200" s="371"/>
      <c r="N200" s="372"/>
      <c r="O200" s="135"/>
      <c r="P200" s="135"/>
      <c r="Q200" s="135"/>
      <c r="R200" s="371"/>
      <c r="S200" s="372"/>
      <c r="T200" s="134"/>
      <c r="U200" s="134"/>
      <c r="V200" s="134"/>
      <c r="W200" s="371"/>
      <c r="X200" s="372"/>
      <c r="Y200" s="134"/>
      <c r="Z200" s="134"/>
      <c r="AA200" s="134"/>
      <c r="AB200" s="371"/>
    </row>
    <row r="201" spans="1:28" ht="18.75" customHeight="1" x14ac:dyDescent="0.2">
      <c r="A201" s="377"/>
      <c r="B201" s="117" t="s">
        <v>739</v>
      </c>
      <c r="C201" s="371"/>
      <c r="D201" s="372"/>
      <c r="E201" s="134"/>
      <c r="F201" s="134"/>
      <c r="G201" s="134"/>
      <c r="H201" s="371"/>
      <c r="I201" s="372"/>
      <c r="J201" s="134"/>
      <c r="K201" s="134"/>
      <c r="L201" s="134"/>
      <c r="M201" s="371"/>
      <c r="N201" s="372"/>
      <c r="O201" s="135"/>
      <c r="P201" s="135"/>
      <c r="Q201" s="135"/>
      <c r="R201" s="371"/>
      <c r="S201" s="372"/>
      <c r="T201" s="134"/>
      <c r="U201" s="134"/>
      <c r="V201" s="134"/>
      <c r="W201" s="371"/>
      <c r="X201" s="372"/>
      <c r="Y201" s="134"/>
      <c r="Z201" s="134"/>
      <c r="AA201" s="134"/>
      <c r="AB201" s="371"/>
    </row>
    <row r="202" spans="1:28" ht="17.25" customHeight="1" x14ac:dyDescent="0.2">
      <c r="A202" s="377"/>
      <c r="B202" s="117" t="s">
        <v>740</v>
      </c>
      <c r="C202" s="371"/>
      <c r="D202" s="372"/>
      <c r="E202" s="134"/>
      <c r="F202" s="134"/>
      <c r="G202" s="134"/>
      <c r="H202" s="371"/>
      <c r="I202" s="372"/>
      <c r="J202" s="134"/>
      <c r="K202" s="134"/>
      <c r="L202" s="134"/>
      <c r="M202" s="371"/>
      <c r="N202" s="372"/>
      <c r="O202" s="135"/>
      <c r="P202" s="135"/>
      <c r="Q202" s="135"/>
      <c r="R202" s="371"/>
      <c r="S202" s="372"/>
      <c r="T202" s="134"/>
      <c r="U202" s="134"/>
      <c r="V202" s="134"/>
      <c r="W202" s="371"/>
      <c r="X202" s="372"/>
      <c r="Y202" s="134"/>
      <c r="Z202" s="134"/>
      <c r="AA202" s="134"/>
      <c r="AB202" s="371"/>
    </row>
    <row r="203" spans="1:28" ht="18.75" customHeight="1" x14ac:dyDescent="0.2">
      <c r="A203" s="377"/>
      <c r="B203" s="117" t="s">
        <v>741</v>
      </c>
      <c r="C203" s="371"/>
      <c r="D203" s="372"/>
      <c r="E203" s="134"/>
      <c r="F203" s="134"/>
      <c r="G203" s="134"/>
      <c r="H203" s="371"/>
      <c r="I203" s="372"/>
      <c r="J203" s="134"/>
      <c r="K203" s="134"/>
      <c r="L203" s="134"/>
      <c r="M203" s="371"/>
      <c r="N203" s="372"/>
      <c r="O203" s="135"/>
      <c r="P203" s="135"/>
      <c r="Q203" s="135"/>
      <c r="R203" s="371"/>
      <c r="S203" s="372"/>
      <c r="T203" s="134"/>
      <c r="U203" s="134"/>
      <c r="V203" s="134"/>
      <c r="W203" s="371"/>
      <c r="X203" s="372"/>
      <c r="Y203" s="134"/>
      <c r="Z203" s="134"/>
      <c r="AA203" s="134"/>
      <c r="AB203" s="371"/>
    </row>
    <row r="204" spans="1:28" ht="18.75" customHeight="1" x14ac:dyDescent="0.2">
      <c r="A204" s="377"/>
      <c r="B204" s="117" t="s">
        <v>737</v>
      </c>
      <c r="C204" s="371"/>
      <c r="D204" s="372"/>
      <c r="E204" s="134"/>
      <c r="F204" s="134"/>
      <c r="G204" s="134"/>
      <c r="H204" s="371"/>
      <c r="I204" s="372"/>
      <c r="J204" s="134"/>
      <c r="K204" s="134"/>
      <c r="L204" s="134"/>
      <c r="M204" s="371"/>
      <c r="N204" s="372"/>
      <c r="O204" s="135"/>
      <c r="P204" s="135"/>
      <c r="Q204" s="135"/>
      <c r="R204" s="371"/>
      <c r="S204" s="372"/>
      <c r="T204" s="134"/>
      <c r="U204" s="134"/>
      <c r="V204" s="134"/>
      <c r="W204" s="371"/>
      <c r="X204" s="372"/>
      <c r="Y204" s="134"/>
      <c r="Z204" s="134"/>
      <c r="AA204" s="134"/>
      <c r="AB204" s="371"/>
    </row>
    <row r="205" spans="1:28" ht="18.75" customHeight="1" x14ac:dyDescent="0.2">
      <c r="A205" s="377"/>
      <c r="B205" s="117" t="s">
        <v>651</v>
      </c>
      <c r="C205" s="371"/>
      <c r="D205" s="372"/>
      <c r="E205" s="134"/>
      <c r="F205" s="134"/>
      <c r="G205" s="134"/>
      <c r="H205" s="371"/>
      <c r="I205" s="372"/>
      <c r="J205" s="134"/>
      <c r="K205" s="134"/>
      <c r="L205" s="134"/>
      <c r="M205" s="371"/>
      <c r="N205" s="372"/>
      <c r="O205" s="135"/>
      <c r="P205" s="135"/>
      <c r="Q205" s="135"/>
      <c r="R205" s="371"/>
      <c r="S205" s="372"/>
      <c r="T205" s="134"/>
      <c r="U205" s="134"/>
      <c r="V205" s="134"/>
      <c r="W205" s="371"/>
      <c r="X205" s="372"/>
      <c r="Y205" s="134"/>
      <c r="Z205" s="134"/>
      <c r="AA205" s="134"/>
      <c r="AB205" s="371"/>
    </row>
    <row r="206" spans="1:28" ht="15.75" x14ac:dyDescent="0.2">
      <c r="A206" s="377"/>
      <c r="B206" s="116" t="s">
        <v>360</v>
      </c>
      <c r="C206" s="371"/>
      <c r="D206" s="372"/>
      <c r="E206" s="134"/>
      <c r="F206" s="134"/>
      <c r="G206" s="134"/>
      <c r="H206" s="371"/>
      <c r="I206" s="372"/>
      <c r="J206" s="134"/>
      <c r="K206" s="134"/>
      <c r="L206" s="134"/>
      <c r="M206" s="371"/>
      <c r="N206" s="372"/>
      <c r="O206" s="135"/>
      <c r="P206" s="135"/>
      <c r="Q206" s="135"/>
      <c r="R206" s="371"/>
      <c r="S206" s="372"/>
      <c r="T206" s="134"/>
      <c r="U206" s="134"/>
      <c r="V206" s="134"/>
      <c r="W206" s="371"/>
      <c r="X206" s="372"/>
      <c r="Y206" s="134"/>
      <c r="Z206" s="134"/>
      <c r="AA206" s="134"/>
      <c r="AB206" s="371"/>
    </row>
    <row r="207" spans="1:28" ht="15.75" x14ac:dyDescent="0.2">
      <c r="A207" s="377"/>
      <c r="B207" s="117" t="s">
        <v>737</v>
      </c>
      <c r="C207" s="371"/>
      <c r="D207" s="372"/>
      <c r="E207" s="134"/>
      <c r="F207" s="134"/>
      <c r="G207" s="134"/>
      <c r="H207" s="371"/>
      <c r="I207" s="372"/>
      <c r="J207" s="134"/>
      <c r="K207" s="134"/>
      <c r="L207" s="134"/>
      <c r="M207" s="371"/>
      <c r="N207" s="372"/>
      <c r="O207" s="135"/>
      <c r="P207" s="135"/>
      <c r="Q207" s="135"/>
      <c r="R207" s="371"/>
      <c r="S207" s="372"/>
      <c r="T207" s="134"/>
      <c r="U207" s="134"/>
      <c r="V207" s="134"/>
      <c r="W207" s="371"/>
      <c r="X207" s="372"/>
      <c r="Y207" s="134"/>
      <c r="Z207" s="134"/>
      <c r="AA207" s="134"/>
      <c r="AB207" s="371"/>
    </row>
    <row r="208" spans="1:28" ht="15.75" x14ac:dyDescent="0.2">
      <c r="A208" s="377"/>
      <c r="B208" s="117" t="s">
        <v>742</v>
      </c>
      <c r="C208" s="371"/>
      <c r="D208" s="372"/>
      <c r="E208" s="134"/>
      <c r="F208" s="134"/>
      <c r="G208" s="134"/>
      <c r="H208" s="371"/>
      <c r="I208" s="372"/>
      <c r="J208" s="134"/>
      <c r="K208" s="134"/>
      <c r="L208" s="134"/>
      <c r="M208" s="371"/>
      <c r="N208" s="372"/>
      <c r="O208" s="135"/>
      <c r="P208" s="135"/>
      <c r="Q208" s="135"/>
      <c r="R208" s="371"/>
      <c r="S208" s="372"/>
      <c r="T208" s="134"/>
      <c r="U208" s="134"/>
      <c r="V208" s="134"/>
      <c r="W208" s="371"/>
      <c r="X208" s="372"/>
      <c r="Y208" s="134"/>
      <c r="Z208" s="134"/>
      <c r="AA208" s="134"/>
      <c r="AB208" s="371"/>
    </row>
    <row r="209" spans="1:28" ht="15.75" x14ac:dyDescent="0.2">
      <c r="A209" s="377"/>
      <c r="B209" s="117" t="s">
        <v>743</v>
      </c>
      <c r="C209" s="371"/>
      <c r="D209" s="372"/>
      <c r="E209" s="134"/>
      <c r="F209" s="134"/>
      <c r="G209" s="134"/>
      <c r="H209" s="371"/>
      <c r="I209" s="372"/>
      <c r="J209" s="134"/>
      <c r="K209" s="134"/>
      <c r="L209" s="134"/>
      <c r="M209" s="371"/>
      <c r="N209" s="372"/>
      <c r="O209" s="135"/>
      <c r="P209" s="135"/>
      <c r="Q209" s="135"/>
      <c r="R209" s="371"/>
      <c r="S209" s="372"/>
      <c r="T209" s="134"/>
      <c r="U209" s="134"/>
      <c r="V209" s="134"/>
      <c r="W209" s="371"/>
      <c r="X209" s="372"/>
      <c r="Y209" s="134"/>
      <c r="Z209" s="134"/>
      <c r="AA209" s="134"/>
      <c r="AB209" s="371"/>
    </row>
    <row r="210" spans="1:28" ht="31.5" x14ac:dyDescent="0.2">
      <c r="A210" s="377"/>
      <c r="B210" s="118" t="s">
        <v>744</v>
      </c>
      <c r="C210" s="371"/>
      <c r="D210" s="372"/>
      <c r="E210" s="134"/>
      <c r="F210" s="134"/>
      <c r="G210" s="134"/>
      <c r="H210" s="371"/>
      <c r="I210" s="372"/>
      <c r="J210" s="134"/>
      <c r="K210" s="134"/>
      <c r="L210" s="134"/>
      <c r="M210" s="371"/>
      <c r="N210" s="372"/>
      <c r="O210" s="135"/>
      <c r="P210" s="135"/>
      <c r="Q210" s="135"/>
      <c r="R210" s="371"/>
      <c r="S210" s="372"/>
      <c r="T210" s="134"/>
      <c r="U210" s="134"/>
      <c r="V210" s="134"/>
      <c r="W210" s="371"/>
      <c r="X210" s="372"/>
      <c r="Y210" s="134"/>
      <c r="Z210" s="134"/>
      <c r="AA210" s="134"/>
      <c r="AB210" s="371"/>
    </row>
    <row r="211" spans="1:28" ht="15.75" x14ac:dyDescent="0.2">
      <c r="A211" s="377"/>
      <c r="B211" s="118" t="s">
        <v>1317</v>
      </c>
      <c r="C211" s="371"/>
      <c r="D211" s="372"/>
      <c r="E211" s="134"/>
      <c r="F211" s="134"/>
      <c r="G211" s="134"/>
      <c r="H211" s="371"/>
      <c r="I211" s="372"/>
      <c r="J211" s="134"/>
      <c r="K211" s="134"/>
      <c r="L211" s="134"/>
      <c r="M211" s="371"/>
      <c r="N211" s="372"/>
      <c r="O211" s="135"/>
      <c r="P211" s="135"/>
      <c r="Q211" s="135"/>
      <c r="R211" s="371"/>
      <c r="S211" s="372"/>
      <c r="T211" s="134"/>
      <c r="U211" s="134"/>
      <c r="V211" s="134"/>
      <c r="W211" s="371"/>
      <c r="X211" s="372"/>
      <c r="Y211" s="134"/>
      <c r="Z211" s="134"/>
      <c r="AA211" s="134"/>
      <c r="AB211" s="371"/>
    </row>
    <row r="212" spans="1:28" ht="15.75" x14ac:dyDescent="0.2">
      <c r="A212" s="377"/>
      <c r="B212" s="126" t="s">
        <v>569</v>
      </c>
      <c r="C212" s="371"/>
      <c r="D212" s="372"/>
      <c r="E212" s="134"/>
      <c r="F212" s="134"/>
      <c r="G212" s="134"/>
      <c r="H212" s="371"/>
      <c r="I212" s="372"/>
      <c r="J212" s="134"/>
      <c r="K212" s="134"/>
      <c r="L212" s="134"/>
      <c r="M212" s="371"/>
      <c r="N212" s="372"/>
      <c r="O212" s="135"/>
      <c r="P212" s="135"/>
      <c r="Q212" s="135"/>
      <c r="R212" s="371"/>
      <c r="S212" s="372"/>
      <c r="T212" s="134"/>
      <c r="U212" s="134"/>
      <c r="V212" s="134"/>
      <c r="W212" s="371"/>
      <c r="X212" s="372"/>
      <c r="Y212" s="134"/>
      <c r="Z212" s="134"/>
      <c r="AA212" s="134"/>
      <c r="AB212" s="371"/>
    </row>
    <row r="213" spans="1:28" ht="15.75" x14ac:dyDescent="0.2">
      <c r="A213" s="322"/>
      <c r="B213" s="116" t="s">
        <v>397</v>
      </c>
      <c r="C213" s="310"/>
      <c r="D213" s="312"/>
      <c r="E213" s="134"/>
      <c r="F213" s="134"/>
      <c r="G213" s="134"/>
      <c r="H213" s="310"/>
      <c r="I213" s="312"/>
      <c r="J213" s="134"/>
      <c r="K213" s="134"/>
      <c r="L213" s="134"/>
      <c r="M213" s="310"/>
      <c r="N213" s="312"/>
      <c r="O213" s="135"/>
      <c r="P213" s="135"/>
      <c r="Q213" s="135"/>
      <c r="R213" s="310"/>
      <c r="S213" s="312"/>
      <c r="T213" s="134"/>
      <c r="U213" s="134"/>
      <c r="V213" s="134"/>
      <c r="W213" s="310"/>
      <c r="X213" s="312"/>
      <c r="Y213" s="134"/>
      <c r="Z213" s="134"/>
      <c r="AA213" s="134"/>
      <c r="AB213" s="310"/>
    </row>
    <row r="214" spans="1:28" ht="15.75" x14ac:dyDescent="0.2">
      <c r="A214" s="322"/>
      <c r="B214" s="126" t="s">
        <v>1408</v>
      </c>
      <c r="C214" s="310"/>
      <c r="D214" s="312"/>
      <c r="E214" s="134"/>
      <c r="F214" s="134"/>
      <c r="G214" s="134"/>
      <c r="H214" s="310"/>
      <c r="I214" s="312"/>
      <c r="J214" s="134"/>
      <c r="K214" s="134"/>
      <c r="L214" s="134"/>
      <c r="M214" s="310"/>
      <c r="N214" s="312"/>
      <c r="O214" s="135"/>
      <c r="P214" s="135"/>
      <c r="Q214" s="135"/>
      <c r="R214" s="310"/>
      <c r="S214" s="312"/>
      <c r="T214" s="134"/>
      <c r="U214" s="134"/>
      <c r="V214" s="134"/>
      <c r="W214" s="310"/>
      <c r="X214" s="312"/>
      <c r="Y214" s="134"/>
      <c r="Z214" s="134"/>
      <c r="AA214" s="134"/>
      <c r="AB214" s="310"/>
    </row>
    <row r="215" spans="1:28" ht="31.5" x14ac:dyDescent="0.2">
      <c r="A215" s="322"/>
      <c r="B215" s="118" t="s">
        <v>1407</v>
      </c>
      <c r="C215" s="310"/>
      <c r="D215" s="312"/>
      <c r="E215" s="134"/>
      <c r="F215" s="134"/>
      <c r="G215" s="134"/>
      <c r="H215" s="310"/>
      <c r="I215" s="312"/>
      <c r="J215" s="134"/>
      <c r="K215" s="134"/>
      <c r="L215" s="134"/>
      <c r="M215" s="310"/>
      <c r="N215" s="312"/>
      <c r="O215" s="135"/>
      <c r="P215" s="135"/>
      <c r="Q215" s="135"/>
      <c r="R215" s="310"/>
      <c r="S215" s="312"/>
      <c r="T215" s="134"/>
      <c r="U215" s="134"/>
      <c r="V215" s="134"/>
      <c r="W215" s="310"/>
      <c r="X215" s="312"/>
      <c r="Y215" s="134"/>
      <c r="Z215" s="134"/>
      <c r="AA215" s="134"/>
      <c r="AB215" s="310"/>
    </row>
    <row r="216" spans="1:28" ht="15.75" x14ac:dyDescent="0.2">
      <c r="A216" s="322"/>
      <c r="B216" s="126" t="s">
        <v>1409</v>
      </c>
      <c r="C216" s="310"/>
      <c r="D216" s="312"/>
      <c r="E216" s="134"/>
      <c r="F216" s="134"/>
      <c r="G216" s="134"/>
      <c r="H216" s="310"/>
      <c r="I216" s="312"/>
      <c r="J216" s="134"/>
      <c r="K216" s="134"/>
      <c r="L216" s="134"/>
      <c r="M216" s="310"/>
      <c r="N216" s="312"/>
      <c r="O216" s="135"/>
      <c r="P216" s="135"/>
      <c r="Q216" s="135"/>
      <c r="R216" s="310"/>
      <c r="S216" s="312"/>
      <c r="T216" s="134"/>
      <c r="U216" s="134"/>
      <c r="V216" s="134"/>
      <c r="W216" s="310"/>
      <c r="X216" s="312"/>
      <c r="Y216" s="134"/>
      <c r="Z216" s="134"/>
      <c r="AA216" s="134"/>
      <c r="AB216" s="310"/>
    </row>
    <row r="217" spans="1:28" ht="31.5" x14ac:dyDescent="0.2">
      <c r="A217" s="322"/>
      <c r="B217" s="118" t="s">
        <v>1410</v>
      </c>
      <c r="C217" s="310"/>
      <c r="D217" s="312"/>
      <c r="E217" s="134"/>
      <c r="F217" s="134"/>
      <c r="G217" s="134"/>
      <c r="H217" s="310"/>
      <c r="I217" s="312"/>
      <c r="J217" s="134"/>
      <c r="K217" s="134"/>
      <c r="L217" s="134"/>
      <c r="M217" s="310"/>
      <c r="N217" s="312"/>
      <c r="O217" s="135"/>
      <c r="P217" s="135"/>
      <c r="Q217" s="135"/>
      <c r="R217" s="310"/>
      <c r="S217" s="312"/>
      <c r="T217" s="134"/>
      <c r="U217" s="134"/>
      <c r="V217" s="134"/>
      <c r="W217" s="310"/>
      <c r="X217" s="312"/>
      <c r="Y217" s="134"/>
      <c r="Z217" s="134"/>
      <c r="AA217" s="134"/>
      <c r="AB217" s="310"/>
    </row>
    <row r="218" spans="1:28" ht="15.75" x14ac:dyDescent="0.2">
      <c r="A218" s="322"/>
      <c r="B218" s="118" t="s">
        <v>1524</v>
      </c>
      <c r="C218" s="310"/>
      <c r="D218" s="312"/>
      <c r="E218" s="134"/>
      <c r="F218" s="134"/>
      <c r="G218" s="134"/>
      <c r="H218" s="310"/>
      <c r="I218" s="312"/>
      <c r="J218" s="134"/>
      <c r="K218" s="134"/>
      <c r="L218" s="134"/>
      <c r="M218" s="310"/>
      <c r="N218" s="312"/>
      <c r="O218" s="135"/>
      <c r="P218" s="135"/>
      <c r="Q218" s="135"/>
      <c r="R218" s="310"/>
      <c r="S218" s="312"/>
      <c r="T218" s="134"/>
      <c r="U218" s="134"/>
      <c r="V218" s="134"/>
      <c r="W218" s="310"/>
      <c r="X218" s="312"/>
      <c r="Y218" s="134"/>
      <c r="Z218" s="134"/>
      <c r="AA218" s="134"/>
      <c r="AB218" s="310"/>
    </row>
    <row r="219" spans="1:28" ht="15" x14ac:dyDescent="0.2">
      <c r="A219" s="322"/>
      <c r="B219" s="28" t="s">
        <v>1523</v>
      </c>
      <c r="C219" s="310"/>
      <c r="D219" s="312"/>
      <c r="E219" s="134"/>
      <c r="F219" s="134"/>
      <c r="G219" s="134"/>
      <c r="H219" s="310"/>
      <c r="I219" s="312"/>
      <c r="J219" s="134"/>
      <c r="K219" s="134"/>
      <c r="L219" s="134"/>
      <c r="M219" s="310"/>
      <c r="N219" s="312"/>
      <c r="O219" s="135"/>
      <c r="P219" s="135"/>
      <c r="Q219" s="135"/>
      <c r="R219" s="310"/>
      <c r="S219" s="312"/>
      <c r="T219" s="134"/>
      <c r="U219" s="134"/>
      <c r="V219" s="134"/>
      <c r="W219" s="310"/>
      <c r="X219" s="312"/>
      <c r="Y219" s="134"/>
      <c r="Z219" s="134"/>
      <c r="AA219" s="134"/>
      <c r="AB219" s="310"/>
    </row>
    <row r="220" spans="1:28" ht="15.75" x14ac:dyDescent="0.2">
      <c r="A220" s="322"/>
      <c r="B220" s="118" t="s">
        <v>1522</v>
      </c>
      <c r="C220" s="310"/>
      <c r="D220" s="312"/>
      <c r="E220" s="134"/>
      <c r="F220" s="134"/>
      <c r="G220" s="134"/>
      <c r="H220" s="310"/>
      <c r="I220" s="312"/>
      <c r="J220" s="134"/>
      <c r="K220" s="134"/>
      <c r="L220" s="134"/>
      <c r="M220" s="310"/>
      <c r="N220" s="312"/>
      <c r="O220" s="135"/>
      <c r="P220" s="135"/>
      <c r="Q220" s="135"/>
      <c r="R220" s="310"/>
      <c r="S220" s="312"/>
      <c r="T220" s="134"/>
      <c r="U220" s="134"/>
      <c r="V220" s="134"/>
      <c r="W220" s="310"/>
      <c r="X220" s="312"/>
      <c r="Y220" s="134"/>
      <c r="Z220" s="134"/>
      <c r="AA220" s="134"/>
      <c r="AB220" s="310"/>
    </row>
    <row r="221" spans="1:28" ht="15.75" x14ac:dyDescent="0.2">
      <c r="A221" s="322"/>
      <c r="B221" s="123" t="s">
        <v>1502</v>
      </c>
      <c r="C221" s="310"/>
      <c r="D221" s="312"/>
      <c r="E221" s="134"/>
      <c r="F221" s="134"/>
      <c r="G221" s="134"/>
      <c r="H221" s="310"/>
      <c r="I221" s="312"/>
      <c r="J221" s="134"/>
      <c r="K221" s="134"/>
      <c r="L221" s="134"/>
      <c r="M221" s="310"/>
      <c r="N221" s="312"/>
      <c r="O221" s="135"/>
      <c r="P221" s="135"/>
      <c r="Q221" s="135"/>
      <c r="R221" s="310"/>
      <c r="S221" s="312"/>
      <c r="T221" s="134"/>
      <c r="U221" s="134"/>
      <c r="V221" s="134"/>
      <c r="W221" s="310"/>
      <c r="X221" s="312"/>
      <c r="Y221" s="134"/>
      <c r="Z221" s="134"/>
      <c r="AA221" s="134"/>
      <c r="AB221" s="310"/>
    </row>
    <row r="222" spans="1:28" ht="18" customHeight="1" x14ac:dyDescent="0.2">
      <c r="A222" s="136" t="s">
        <v>443</v>
      </c>
      <c r="B222" s="127" t="s">
        <v>353</v>
      </c>
      <c r="C222" s="329">
        <f>D222</f>
        <v>0</v>
      </c>
      <c r="D222" s="328">
        <v>0</v>
      </c>
      <c r="E222" s="137"/>
      <c r="F222" s="137"/>
      <c r="G222" s="137"/>
      <c r="H222" s="329">
        <f>I222</f>
        <v>0</v>
      </c>
      <c r="I222" s="328">
        <v>0</v>
      </c>
      <c r="J222" s="137"/>
      <c r="K222" s="137"/>
      <c r="L222" s="137"/>
      <c r="M222" s="329">
        <f>N222</f>
        <v>10733</v>
      </c>
      <c r="N222" s="328">
        <v>10733</v>
      </c>
      <c r="O222" s="137"/>
      <c r="P222" s="137"/>
      <c r="Q222" s="137"/>
      <c r="R222" s="329">
        <f>S222</f>
        <v>0</v>
      </c>
      <c r="S222" s="328">
        <v>0</v>
      </c>
      <c r="T222" s="137"/>
      <c r="U222" s="137"/>
      <c r="V222" s="137"/>
      <c r="W222" s="329">
        <f>X222</f>
        <v>0</v>
      </c>
      <c r="X222" s="328">
        <v>0</v>
      </c>
      <c r="Y222" s="137"/>
      <c r="Z222" s="137"/>
      <c r="AA222" s="137"/>
      <c r="AB222" s="329">
        <f>C222+H222+M222+R222+W222</f>
        <v>10733</v>
      </c>
    </row>
    <row r="223" spans="1:28" ht="15.75" x14ac:dyDescent="0.2">
      <c r="A223" s="363" t="s">
        <v>533</v>
      </c>
      <c r="B223" s="118" t="s">
        <v>539</v>
      </c>
      <c r="C223" s="390">
        <f>D223</f>
        <v>0</v>
      </c>
      <c r="D223" s="399">
        <v>0</v>
      </c>
      <c r="E223" s="138"/>
      <c r="F223" s="138"/>
      <c r="G223" s="138"/>
      <c r="H223" s="390">
        <f>I223</f>
        <v>0</v>
      </c>
      <c r="I223" s="399">
        <v>0</v>
      </c>
      <c r="J223" s="138"/>
      <c r="K223" s="138"/>
      <c r="L223" s="138"/>
      <c r="M223" s="390">
        <f>N223</f>
        <v>296</v>
      </c>
      <c r="N223" s="399">
        <f>486-190</f>
        <v>296</v>
      </c>
      <c r="O223" s="138"/>
      <c r="P223" s="138"/>
      <c r="Q223" s="138"/>
      <c r="R223" s="390">
        <f>S223</f>
        <v>0</v>
      </c>
      <c r="S223" s="399">
        <v>0</v>
      </c>
      <c r="T223" s="138"/>
      <c r="U223" s="138"/>
      <c r="V223" s="138"/>
      <c r="W223" s="390">
        <f>X223</f>
        <v>0</v>
      </c>
      <c r="X223" s="399">
        <v>0</v>
      </c>
      <c r="Y223" s="138"/>
      <c r="Z223" s="138"/>
      <c r="AA223" s="138"/>
      <c r="AB223" s="390">
        <f>C223+H223+M223+R223+W223</f>
        <v>296</v>
      </c>
    </row>
    <row r="224" spans="1:28" ht="15.75" x14ac:dyDescent="0.2">
      <c r="A224" s="363"/>
      <c r="B224" s="119" t="s">
        <v>311</v>
      </c>
      <c r="C224" s="390"/>
      <c r="D224" s="399"/>
      <c r="E224" s="138"/>
      <c r="F224" s="138"/>
      <c r="G224" s="138"/>
      <c r="H224" s="390"/>
      <c r="I224" s="399"/>
      <c r="J224" s="138"/>
      <c r="K224" s="138"/>
      <c r="L224" s="138"/>
      <c r="M224" s="390"/>
      <c r="N224" s="399"/>
      <c r="O224" s="138"/>
      <c r="P224" s="138"/>
      <c r="Q224" s="138"/>
      <c r="R224" s="390"/>
      <c r="S224" s="399"/>
      <c r="T224" s="138"/>
      <c r="U224" s="138"/>
      <c r="V224" s="138"/>
      <c r="W224" s="390"/>
      <c r="X224" s="399"/>
      <c r="Y224" s="138"/>
      <c r="Z224" s="138"/>
      <c r="AA224" s="138"/>
      <c r="AB224" s="390"/>
    </row>
    <row r="225" spans="1:28" ht="15.75" x14ac:dyDescent="0.2">
      <c r="A225" s="363"/>
      <c r="B225" s="139" t="s">
        <v>1425</v>
      </c>
      <c r="C225" s="390"/>
      <c r="D225" s="399"/>
      <c r="E225" s="138"/>
      <c r="F225" s="138"/>
      <c r="G225" s="138"/>
      <c r="H225" s="390"/>
      <c r="I225" s="399"/>
      <c r="J225" s="138"/>
      <c r="K225" s="138"/>
      <c r="L225" s="138"/>
      <c r="M225" s="390"/>
      <c r="N225" s="399"/>
      <c r="O225" s="138"/>
      <c r="P225" s="138"/>
      <c r="Q225" s="138"/>
      <c r="R225" s="390"/>
      <c r="S225" s="399"/>
      <c r="T225" s="138"/>
      <c r="U225" s="138"/>
      <c r="V225" s="138"/>
      <c r="W225" s="390"/>
      <c r="X225" s="399"/>
      <c r="Y225" s="138"/>
      <c r="Z225" s="138"/>
      <c r="AA225" s="138"/>
      <c r="AB225" s="390"/>
    </row>
    <row r="226" spans="1:28" ht="25.5" customHeight="1" x14ac:dyDescent="0.2">
      <c r="A226" s="309" t="s">
        <v>570</v>
      </c>
      <c r="B226" s="127" t="s">
        <v>591</v>
      </c>
      <c r="C226" s="326">
        <v>0</v>
      </c>
      <c r="D226" s="327">
        <v>0</v>
      </c>
      <c r="E226" s="138"/>
      <c r="F226" s="138"/>
      <c r="G226" s="138"/>
      <c r="H226" s="326">
        <v>0</v>
      </c>
      <c r="I226" s="327">
        <v>0</v>
      </c>
      <c r="J226" s="138"/>
      <c r="K226" s="138"/>
      <c r="L226" s="138"/>
      <c r="M226" s="326">
        <v>0</v>
      </c>
      <c r="N226" s="327">
        <v>0</v>
      </c>
      <c r="O226" s="138"/>
      <c r="P226" s="138"/>
      <c r="Q226" s="138"/>
      <c r="R226" s="326">
        <f>S226</f>
        <v>993</v>
      </c>
      <c r="S226" s="327">
        <v>993</v>
      </c>
      <c r="T226" s="138"/>
      <c r="U226" s="138"/>
      <c r="V226" s="138"/>
      <c r="W226" s="326">
        <f>X226</f>
        <v>1000</v>
      </c>
      <c r="X226" s="327">
        <v>1000</v>
      </c>
      <c r="Y226" s="138"/>
      <c r="Z226" s="138"/>
      <c r="AA226" s="138"/>
      <c r="AB226" s="326">
        <f>R226+W226</f>
        <v>1993</v>
      </c>
    </row>
    <row r="227" spans="1:28" ht="23.25" customHeight="1" x14ac:dyDescent="0.2">
      <c r="A227" s="136" t="s">
        <v>1312</v>
      </c>
      <c r="B227" s="115" t="s">
        <v>1369</v>
      </c>
      <c r="C227" s="367">
        <v>0</v>
      </c>
      <c r="D227" s="364">
        <v>0</v>
      </c>
      <c r="E227" s="138"/>
      <c r="F227" s="138"/>
      <c r="G227" s="138"/>
      <c r="H227" s="367">
        <v>0</v>
      </c>
      <c r="I227" s="364">
        <v>0</v>
      </c>
      <c r="J227" s="138"/>
      <c r="K227" s="138"/>
      <c r="L227" s="138"/>
      <c r="M227" s="367">
        <v>0</v>
      </c>
      <c r="N227" s="364">
        <v>0</v>
      </c>
      <c r="O227" s="138"/>
      <c r="P227" s="138"/>
      <c r="Q227" s="138"/>
      <c r="R227" s="367">
        <f>S227</f>
        <v>5751</v>
      </c>
      <c r="S227" s="364">
        <f>626+5125</f>
        <v>5751</v>
      </c>
      <c r="T227" s="138"/>
      <c r="U227" s="138"/>
      <c r="V227" s="138"/>
      <c r="W227" s="367">
        <f>X227</f>
        <v>0</v>
      </c>
      <c r="X227" s="364">
        <v>0</v>
      </c>
      <c r="Y227" s="138"/>
      <c r="Z227" s="138"/>
      <c r="AA227" s="138"/>
      <c r="AB227" s="367">
        <f>R227+W227</f>
        <v>5751</v>
      </c>
    </row>
    <row r="228" spans="1:28" ht="18.75" customHeight="1" x14ac:dyDescent="0.2">
      <c r="A228" s="321"/>
      <c r="B228" s="119" t="s">
        <v>360</v>
      </c>
      <c r="C228" s="368"/>
      <c r="D228" s="365"/>
      <c r="E228" s="138"/>
      <c r="F228" s="138"/>
      <c r="G228" s="138"/>
      <c r="H228" s="368"/>
      <c r="I228" s="365"/>
      <c r="J228" s="138"/>
      <c r="K228" s="138"/>
      <c r="L228" s="138"/>
      <c r="M228" s="368"/>
      <c r="N228" s="365"/>
      <c r="O228" s="138"/>
      <c r="P228" s="138"/>
      <c r="Q228" s="138"/>
      <c r="R228" s="368"/>
      <c r="S228" s="365"/>
      <c r="T228" s="138"/>
      <c r="U228" s="138"/>
      <c r="V228" s="138"/>
      <c r="W228" s="368"/>
      <c r="X228" s="365"/>
      <c r="Y228" s="138"/>
      <c r="Z228" s="138"/>
      <c r="AA228" s="138"/>
      <c r="AB228" s="368"/>
    </row>
    <row r="229" spans="1:28" ht="34.5" customHeight="1" x14ac:dyDescent="0.2">
      <c r="A229" s="321"/>
      <c r="B229" s="118" t="s">
        <v>1373</v>
      </c>
      <c r="C229" s="368"/>
      <c r="D229" s="365"/>
      <c r="E229" s="138"/>
      <c r="F229" s="138"/>
      <c r="G229" s="138"/>
      <c r="H229" s="368"/>
      <c r="I229" s="365"/>
      <c r="J229" s="138"/>
      <c r="K229" s="138"/>
      <c r="L229" s="138"/>
      <c r="M229" s="368"/>
      <c r="N229" s="365"/>
      <c r="O229" s="138"/>
      <c r="P229" s="138"/>
      <c r="Q229" s="138"/>
      <c r="R229" s="368"/>
      <c r="S229" s="365"/>
      <c r="T229" s="138"/>
      <c r="U229" s="138"/>
      <c r="V229" s="138"/>
      <c r="W229" s="368"/>
      <c r="X229" s="365"/>
      <c r="Y229" s="138"/>
      <c r="Z229" s="138"/>
      <c r="AA229" s="138"/>
      <c r="AB229" s="368"/>
    </row>
    <row r="230" spans="1:28" ht="18.75" customHeight="1" x14ac:dyDescent="0.2">
      <c r="A230" s="321"/>
      <c r="B230" s="118" t="s">
        <v>1370</v>
      </c>
      <c r="C230" s="368"/>
      <c r="D230" s="365"/>
      <c r="E230" s="138"/>
      <c r="F230" s="138"/>
      <c r="G230" s="138"/>
      <c r="H230" s="368"/>
      <c r="I230" s="365"/>
      <c r="J230" s="138"/>
      <c r="K230" s="138"/>
      <c r="L230" s="138"/>
      <c r="M230" s="368"/>
      <c r="N230" s="365"/>
      <c r="O230" s="138"/>
      <c r="P230" s="138"/>
      <c r="Q230" s="138"/>
      <c r="R230" s="368"/>
      <c r="S230" s="365"/>
      <c r="T230" s="138"/>
      <c r="U230" s="138"/>
      <c r="V230" s="138"/>
      <c r="W230" s="368"/>
      <c r="X230" s="365"/>
      <c r="Y230" s="138"/>
      <c r="Z230" s="138"/>
      <c r="AA230" s="138"/>
      <c r="AB230" s="368"/>
    </row>
    <row r="231" spans="1:28" ht="18.75" customHeight="1" x14ac:dyDescent="0.2">
      <c r="A231" s="321"/>
      <c r="B231" s="118" t="s">
        <v>1371</v>
      </c>
      <c r="C231" s="368"/>
      <c r="D231" s="365"/>
      <c r="E231" s="138"/>
      <c r="F231" s="138"/>
      <c r="G231" s="138"/>
      <c r="H231" s="368"/>
      <c r="I231" s="365"/>
      <c r="J231" s="138"/>
      <c r="K231" s="138"/>
      <c r="L231" s="138"/>
      <c r="M231" s="368"/>
      <c r="N231" s="365"/>
      <c r="O231" s="138"/>
      <c r="P231" s="138"/>
      <c r="Q231" s="138"/>
      <c r="R231" s="368"/>
      <c r="S231" s="365"/>
      <c r="T231" s="138"/>
      <c r="U231" s="138"/>
      <c r="V231" s="138"/>
      <c r="W231" s="368"/>
      <c r="X231" s="365"/>
      <c r="Y231" s="138"/>
      <c r="Z231" s="138"/>
      <c r="AA231" s="138"/>
      <c r="AB231" s="368"/>
    </row>
    <row r="232" spans="1:28" ht="18.75" customHeight="1" x14ac:dyDescent="0.2">
      <c r="A232" s="321"/>
      <c r="B232" s="118" t="s">
        <v>1372</v>
      </c>
      <c r="C232" s="368"/>
      <c r="D232" s="365"/>
      <c r="E232" s="138"/>
      <c r="F232" s="138"/>
      <c r="G232" s="138"/>
      <c r="H232" s="368"/>
      <c r="I232" s="365"/>
      <c r="J232" s="138"/>
      <c r="K232" s="138"/>
      <c r="L232" s="138"/>
      <c r="M232" s="368"/>
      <c r="N232" s="365"/>
      <c r="O232" s="138"/>
      <c r="P232" s="138"/>
      <c r="Q232" s="138"/>
      <c r="R232" s="368"/>
      <c r="S232" s="365"/>
      <c r="T232" s="138"/>
      <c r="U232" s="138"/>
      <c r="V232" s="138"/>
      <c r="W232" s="368"/>
      <c r="X232" s="365"/>
      <c r="Y232" s="138"/>
      <c r="Z232" s="138"/>
      <c r="AA232" s="138"/>
      <c r="AB232" s="368"/>
    </row>
    <row r="233" spans="1:28" ht="18.75" customHeight="1" x14ac:dyDescent="0.2">
      <c r="A233" s="321"/>
      <c r="B233" s="118" t="s">
        <v>1421</v>
      </c>
      <c r="C233" s="368"/>
      <c r="D233" s="365"/>
      <c r="E233" s="138"/>
      <c r="F233" s="138"/>
      <c r="G233" s="138"/>
      <c r="H233" s="368"/>
      <c r="I233" s="365"/>
      <c r="J233" s="138"/>
      <c r="K233" s="138"/>
      <c r="L233" s="138"/>
      <c r="M233" s="368"/>
      <c r="N233" s="365"/>
      <c r="O233" s="138"/>
      <c r="P233" s="138"/>
      <c r="Q233" s="138"/>
      <c r="R233" s="368"/>
      <c r="S233" s="365"/>
      <c r="T233" s="138"/>
      <c r="U233" s="138"/>
      <c r="V233" s="138"/>
      <c r="W233" s="368"/>
      <c r="X233" s="365"/>
      <c r="Y233" s="138"/>
      <c r="Z233" s="138"/>
      <c r="AA233" s="138"/>
      <c r="AB233" s="368"/>
    </row>
    <row r="234" spans="1:28" ht="18.75" customHeight="1" x14ac:dyDescent="0.2">
      <c r="A234" s="321"/>
      <c r="B234" s="118" t="s">
        <v>1427</v>
      </c>
      <c r="C234" s="368"/>
      <c r="D234" s="365"/>
      <c r="E234" s="138"/>
      <c r="F234" s="138"/>
      <c r="G234" s="138"/>
      <c r="H234" s="368"/>
      <c r="I234" s="365"/>
      <c r="J234" s="138"/>
      <c r="K234" s="138"/>
      <c r="L234" s="138"/>
      <c r="M234" s="368"/>
      <c r="N234" s="365"/>
      <c r="O234" s="138"/>
      <c r="P234" s="138"/>
      <c r="Q234" s="138"/>
      <c r="R234" s="368"/>
      <c r="S234" s="365"/>
      <c r="T234" s="138"/>
      <c r="U234" s="138"/>
      <c r="V234" s="138"/>
      <c r="W234" s="368"/>
      <c r="X234" s="365"/>
      <c r="Y234" s="138"/>
      <c r="Z234" s="138"/>
      <c r="AA234" s="138"/>
      <c r="AB234" s="368"/>
    </row>
    <row r="235" spans="1:28" ht="24" customHeight="1" x14ac:dyDescent="0.2">
      <c r="A235" s="140"/>
      <c r="B235" s="139" t="s">
        <v>1422</v>
      </c>
      <c r="C235" s="369"/>
      <c r="D235" s="366"/>
      <c r="E235" s="138"/>
      <c r="F235" s="138"/>
      <c r="G235" s="138"/>
      <c r="H235" s="369"/>
      <c r="I235" s="366"/>
      <c r="J235" s="138"/>
      <c r="K235" s="138"/>
      <c r="L235" s="138"/>
      <c r="M235" s="369"/>
      <c r="N235" s="366"/>
      <c r="O235" s="138"/>
      <c r="P235" s="138"/>
      <c r="Q235" s="138"/>
      <c r="R235" s="369"/>
      <c r="S235" s="366"/>
      <c r="T235" s="138"/>
      <c r="U235" s="138"/>
      <c r="V235" s="138"/>
      <c r="W235" s="369"/>
      <c r="X235" s="366"/>
      <c r="Y235" s="138"/>
      <c r="Z235" s="138"/>
      <c r="AA235" s="138"/>
      <c r="AB235" s="369"/>
    </row>
    <row r="236" spans="1:28" ht="42" customHeight="1" x14ac:dyDescent="0.2">
      <c r="A236" s="141" t="s">
        <v>9</v>
      </c>
      <c r="B236" s="414" t="s">
        <v>444</v>
      </c>
      <c r="C236" s="415"/>
      <c r="D236" s="415"/>
      <c r="E236" s="415"/>
      <c r="F236" s="415"/>
      <c r="G236" s="415"/>
      <c r="H236" s="415"/>
      <c r="I236" s="415"/>
      <c r="J236" s="415"/>
      <c r="K236" s="415"/>
      <c r="L236" s="415"/>
      <c r="M236" s="415"/>
      <c r="N236" s="415"/>
      <c r="O236" s="415"/>
      <c r="P236" s="415"/>
      <c r="Q236" s="415"/>
      <c r="R236" s="415"/>
      <c r="S236" s="415"/>
      <c r="T236" s="415"/>
      <c r="U236" s="415"/>
      <c r="V236" s="415"/>
      <c r="W236" s="415"/>
      <c r="X236" s="415"/>
      <c r="Y236" s="415"/>
      <c r="Z236" s="415"/>
      <c r="AA236" s="415"/>
      <c r="AB236" s="429"/>
    </row>
    <row r="237" spans="1:28" ht="15" customHeight="1" x14ac:dyDescent="0.2">
      <c r="A237" s="381" t="s">
        <v>10</v>
      </c>
      <c r="B237" s="115" t="s">
        <v>214</v>
      </c>
      <c r="C237" s="370">
        <f>D237</f>
        <v>51269</v>
      </c>
      <c r="D237" s="373">
        <v>51269</v>
      </c>
      <c r="E237" s="142"/>
      <c r="F237" s="142"/>
      <c r="G237" s="142"/>
      <c r="H237" s="370">
        <f>I237</f>
        <v>13924</v>
      </c>
      <c r="I237" s="373">
        <f>13924</f>
        <v>13924</v>
      </c>
      <c r="J237" s="142"/>
      <c r="K237" s="142"/>
      <c r="L237" s="142"/>
      <c r="M237" s="370">
        <f>N237</f>
        <v>35262</v>
      </c>
      <c r="N237" s="373">
        <f>11888+2036+1353+2370+4401+11012+1873+329</f>
        <v>35262</v>
      </c>
      <c r="O237" s="143"/>
      <c r="P237" s="143"/>
      <c r="Q237" s="143"/>
      <c r="R237" s="370">
        <f>S237</f>
        <v>45752</v>
      </c>
      <c r="S237" s="373">
        <f>13924-11424+9529+1838+109+31404-2310+2310-477-227+743+596-390+127</f>
        <v>45752</v>
      </c>
      <c r="T237" s="142"/>
      <c r="U237" s="142"/>
      <c r="V237" s="142"/>
      <c r="W237" s="370">
        <f>X237</f>
        <v>13139</v>
      </c>
      <c r="X237" s="373">
        <f>29000+781-27281-2+8271+164+2206</f>
        <v>13139</v>
      </c>
      <c r="Y237" s="142"/>
      <c r="Z237" s="142"/>
      <c r="AA237" s="142"/>
      <c r="AB237" s="370">
        <f>C237+H237+M237+R237+W237</f>
        <v>159346</v>
      </c>
    </row>
    <row r="238" spans="1:28" ht="15" customHeight="1" x14ac:dyDescent="0.2">
      <c r="A238" s="382"/>
      <c r="B238" s="116" t="s">
        <v>147</v>
      </c>
      <c r="C238" s="371"/>
      <c r="D238" s="372"/>
      <c r="E238" s="142"/>
      <c r="F238" s="142"/>
      <c r="G238" s="142"/>
      <c r="H238" s="371"/>
      <c r="I238" s="372"/>
      <c r="J238" s="142"/>
      <c r="K238" s="142"/>
      <c r="L238" s="142"/>
      <c r="M238" s="371"/>
      <c r="N238" s="372"/>
      <c r="O238" s="143"/>
      <c r="P238" s="143"/>
      <c r="Q238" s="143"/>
      <c r="R238" s="371"/>
      <c r="S238" s="372"/>
      <c r="T238" s="142"/>
      <c r="U238" s="142"/>
      <c r="V238" s="142"/>
      <c r="W238" s="371"/>
      <c r="X238" s="372"/>
      <c r="Y238" s="142"/>
      <c r="Z238" s="142"/>
      <c r="AA238" s="142"/>
      <c r="AB238" s="371"/>
    </row>
    <row r="239" spans="1:28" ht="15" customHeight="1" x14ac:dyDescent="0.2">
      <c r="A239" s="382"/>
      <c r="B239" s="117" t="s">
        <v>748</v>
      </c>
      <c r="C239" s="371"/>
      <c r="D239" s="372"/>
      <c r="E239" s="142"/>
      <c r="F239" s="142"/>
      <c r="G239" s="142"/>
      <c r="H239" s="371"/>
      <c r="I239" s="372"/>
      <c r="J239" s="142"/>
      <c r="K239" s="142"/>
      <c r="L239" s="142"/>
      <c r="M239" s="371"/>
      <c r="N239" s="372"/>
      <c r="O239" s="143"/>
      <c r="P239" s="143"/>
      <c r="Q239" s="143"/>
      <c r="R239" s="371"/>
      <c r="S239" s="372"/>
      <c r="T239" s="142"/>
      <c r="U239" s="142"/>
      <c r="V239" s="142"/>
      <c r="W239" s="371"/>
      <c r="X239" s="372"/>
      <c r="Y239" s="142"/>
      <c r="Z239" s="142"/>
      <c r="AA239" s="142"/>
      <c r="AB239" s="371"/>
    </row>
    <row r="240" spans="1:28" ht="18" customHeight="1" x14ac:dyDescent="0.2">
      <c r="A240" s="382"/>
      <c r="B240" s="117" t="s">
        <v>749</v>
      </c>
      <c r="C240" s="371"/>
      <c r="D240" s="372"/>
      <c r="E240" s="142"/>
      <c r="F240" s="142"/>
      <c r="G240" s="142"/>
      <c r="H240" s="371"/>
      <c r="I240" s="372"/>
      <c r="J240" s="142"/>
      <c r="K240" s="142"/>
      <c r="L240" s="142"/>
      <c r="M240" s="371"/>
      <c r="N240" s="372"/>
      <c r="O240" s="143"/>
      <c r="P240" s="143"/>
      <c r="Q240" s="143"/>
      <c r="R240" s="371"/>
      <c r="S240" s="372"/>
      <c r="T240" s="142"/>
      <c r="U240" s="142"/>
      <c r="V240" s="142"/>
      <c r="W240" s="371"/>
      <c r="X240" s="372"/>
      <c r="Y240" s="142"/>
      <c r="Z240" s="142"/>
      <c r="AA240" s="142"/>
      <c r="AB240" s="371"/>
    </row>
    <row r="241" spans="1:28" ht="18" customHeight="1" x14ac:dyDescent="0.2">
      <c r="A241" s="382"/>
      <c r="B241" s="117" t="s">
        <v>750</v>
      </c>
      <c r="C241" s="371"/>
      <c r="D241" s="372"/>
      <c r="E241" s="142"/>
      <c r="F241" s="142"/>
      <c r="G241" s="142"/>
      <c r="H241" s="371"/>
      <c r="I241" s="372"/>
      <c r="J241" s="142"/>
      <c r="K241" s="142"/>
      <c r="L241" s="142"/>
      <c r="M241" s="371"/>
      <c r="N241" s="372"/>
      <c r="O241" s="143"/>
      <c r="P241" s="143"/>
      <c r="Q241" s="143"/>
      <c r="R241" s="371"/>
      <c r="S241" s="372"/>
      <c r="T241" s="142"/>
      <c r="U241" s="142"/>
      <c r="V241" s="142"/>
      <c r="W241" s="371"/>
      <c r="X241" s="372"/>
      <c r="Y241" s="142"/>
      <c r="Z241" s="142"/>
      <c r="AA241" s="142"/>
      <c r="AB241" s="371"/>
    </row>
    <row r="242" spans="1:28" ht="18" customHeight="1" x14ac:dyDescent="0.2">
      <c r="A242" s="382"/>
      <c r="B242" s="117" t="s">
        <v>751</v>
      </c>
      <c r="C242" s="371"/>
      <c r="D242" s="372"/>
      <c r="E242" s="142"/>
      <c r="F242" s="142"/>
      <c r="G242" s="142"/>
      <c r="H242" s="371"/>
      <c r="I242" s="372"/>
      <c r="J242" s="142"/>
      <c r="K242" s="142"/>
      <c r="L242" s="142"/>
      <c r="M242" s="371"/>
      <c r="N242" s="372"/>
      <c r="O242" s="143"/>
      <c r="P242" s="143"/>
      <c r="Q242" s="143"/>
      <c r="R242" s="371"/>
      <c r="S242" s="372"/>
      <c r="T242" s="142"/>
      <c r="U242" s="142"/>
      <c r="V242" s="142"/>
      <c r="W242" s="371"/>
      <c r="X242" s="372"/>
      <c r="Y242" s="142"/>
      <c r="Z242" s="142"/>
      <c r="AA242" s="142"/>
      <c r="AB242" s="371"/>
    </row>
    <row r="243" spans="1:28" ht="18" customHeight="1" x14ac:dyDescent="0.2">
      <c r="A243" s="375"/>
      <c r="B243" s="117" t="s">
        <v>752</v>
      </c>
      <c r="C243" s="371"/>
      <c r="D243" s="372"/>
      <c r="E243" s="142"/>
      <c r="F243" s="142"/>
      <c r="G243" s="142"/>
      <c r="H243" s="371"/>
      <c r="I243" s="372"/>
      <c r="J243" s="142"/>
      <c r="K243" s="142"/>
      <c r="L243" s="142"/>
      <c r="M243" s="371"/>
      <c r="N243" s="372"/>
      <c r="O243" s="143"/>
      <c r="P243" s="143"/>
      <c r="Q243" s="143"/>
      <c r="R243" s="368"/>
      <c r="S243" s="365"/>
      <c r="T243" s="143"/>
      <c r="U243" s="143"/>
      <c r="V243" s="143"/>
      <c r="W243" s="368"/>
      <c r="X243" s="365"/>
      <c r="Y243" s="143"/>
      <c r="Z243" s="143"/>
      <c r="AA243" s="143"/>
      <c r="AB243" s="368"/>
    </row>
    <row r="244" spans="1:28" ht="15" customHeight="1" x14ac:dyDescent="0.2">
      <c r="A244" s="375"/>
      <c r="B244" s="117" t="s">
        <v>753</v>
      </c>
      <c r="C244" s="371"/>
      <c r="D244" s="372"/>
      <c r="E244" s="142"/>
      <c r="F244" s="142"/>
      <c r="G244" s="142"/>
      <c r="H244" s="371"/>
      <c r="I244" s="372"/>
      <c r="J244" s="142"/>
      <c r="K244" s="142"/>
      <c r="L244" s="142"/>
      <c r="M244" s="371"/>
      <c r="N244" s="372"/>
      <c r="O244" s="143"/>
      <c r="P244" s="143"/>
      <c r="Q244" s="143"/>
      <c r="R244" s="368"/>
      <c r="S244" s="365"/>
      <c r="T244" s="143"/>
      <c r="U244" s="143"/>
      <c r="V244" s="143"/>
      <c r="W244" s="368"/>
      <c r="X244" s="365"/>
      <c r="Y244" s="143"/>
      <c r="Z244" s="143"/>
      <c r="AA244" s="143"/>
      <c r="AB244" s="368"/>
    </row>
    <row r="245" spans="1:28" ht="18" customHeight="1" x14ac:dyDescent="0.2">
      <c r="A245" s="375"/>
      <c r="B245" s="117" t="s">
        <v>754</v>
      </c>
      <c r="C245" s="371"/>
      <c r="D245" s="372"/>
      <c r="E245" s="142"/>
      <c r="F245" s="142"/>
      <c r="G245" s="142"/>
      <c r="H245" s="371"/>
      <c r="I245" s="372"/>
      <c r="J245" s="142"/>
      <c r="K245" s="142"/>
      <c r="L245" s="142"/>
      <c r="M245" s="371"/>
      <c r="N245" s="372"/>
      <c r="O245" s="143"/>
      <c r="P245" s="143"/>
      <c r="Q245" s="143"/>
      <c r="R245" s="368"/>
      <c r="S245" s="365"/>
      <c r="T245" s="143"/>
      <c r="U245" s="143"/>
      <c r="V245" s="143"/>
      <c r="W245" s="368"/>
      <c r="X245" s="365"/>
      <c r="Y245" s="143"/>
      <c r="Z245" s="143"/>
      <c r="AA245" s="143"/>
      <c r="AB245" s="368"/>
    </row>
    <row r="246" spans="1:28" ht="18.75" customHeight="1" x14ac:dyDescent="0.2">
      <c r="A246" s="375"/>
      <c r="B246" s="117" t="s">
        <v>755</v>
      </c>
      <c r="C246" s="371"/>
      <c r="D246" s="372"/>
      <c r="E246" s="142"/>
      <c r="F246" s="142"/>
      <c r="G246" s="142"/>
      <c r="H246" s="371"/>
      <c r="I246" s="372"/>
      <c r="J246" s="142"/>
      <c r="K246" s="142"/>
      <c r="L246" s="142"/>
      <c r="M246" s="371"/>
      <c r="N246" s="372"/>
      <c r="O246" s="143"/>
      <c r="P246" s="143"/>
      <c r="Q246" s="143"/>
      <c r="R246" s="368"/>
      <c r="S246" s="365"/>
      <c r="T246" s="143"/>
      <c r="U246" s="143"/>
      <c r="V246" s="143"/>
      <c r="W246" s="368"/>
      <c r="X246" s="365"/>
      <c r="Y246" s="143"/>
      <c r="Z246" s="143"/>
      <c r="AA246" s="143"/>
      <c r="AB246" s="368"/>
    </row>
    <row r="247" spans="1:28" ht="15.75" customHeight="1" x14ac:dyDescent="0.2">
      <c r="A247" s="375"/>
      <c r="B247" s="117" t="s">
        <v>756</v>
      </c>
      <c r="C247" s="371"/>
      <c r="D247" s="372"/>
      <c r="E247" s="142"/>
      <c r="F247" s="142"/>
      <c r="G247" s="142"/>
      <c r="H247" s="371"/>
      <c r="I247" s="372"/>
      <c r="J247" s="142"/>
      <c r="K247" s="142"/>
      <c r="L247" s="142"/>
      <c r="M247" s="371"/>
      <c r="N247" s="372"/>
      <c r="O247" s="143"/>
      <c r="P247" s="143"/>
      <c r="Q247" s="143"/>
      <c r="R247" s="368"/>
      <c r="S247" s="365"/>
      <c r="T247" s="143"/>
      <c r="U247" s="143"/>
      <c r="V247" s="143"/>
      <c r="W247" s="368"/>
      <c r="X247" s="365"/>
      <c r="Y247" s="143"/>
      <c r="Z247" s="143"/>
      <c r="AA247" s="143"/>
      <c r="AB247" s="368"/>
    </row>
    <row r="248" spans="1:28" ht="21" customHeight="1" x14ac:dyDescent="0.2">
      <c r="A248" s="375"/>
      <c r="B248" s="117" t="s">
        <v>757</v>
      </c>
      <c r="C248" s="371"/>
      <c r="D248" s="372"/>
      <c r="E248" s="142"/>
      <c r="F248" s="142"/>
      <c r="G248" s="142"/>
      <c r="H248" s="371"/>
      <c r="I248" s="372"/>
      <c r="J248" s="142"/>
      <c r="K248" s="142"/>
      <c r="L248" s="142"/>
      <c r="M248" s="371"/>
      <c r="N248" s="372"/>
      <c r="O248" s="143"/>
      <c r="P248" s="143"/>
      <c r="Q248" s="143"/>
      <c r="R248" s="368"/>
      <c r="S248" s="365"/>
      <c r="T248" s="143"/>
      <c r="U248" s="143"/>
      <c r="V248" s="143"/>
      <c r="W248" s="368"/>
      <c r="X248" s="365"/>
      <c r="Y248" s="143"/>
      <c r="Z248" s="143"/>
      <c r="AA248" s="143"/>
      <c r="AB248" s="368"/>
    </row>
    <row r="249" spans="1:28" ht="14.25" customHeight="1" x14ac:dyDescent="0.2">
      <c r="A249" s="375"/>
      <c r="B249" s="117" t="s">
        <v>758</v>
      </c>
      <c r="C249" s="371"/>
      <c r="D249" s="372"/>
      <c r="E249" s="142"/>
      <c r="F249" s="142"/>
      <c r="G249" s="142"/>
      <c r="H249" s="371"/>
      <c r="I249" s="372"/>
      <c r="J249" s="142"/>
      <c r="K249" s="142"/>
      <c r="L249" s="142"/>
      <c r="M249" s="371"/>
      <c r="N249" s="372"/>
      <c r="O249" s="143"/>
      <c r="P249" s="143"/>
      <c r="Q249" s="143"/>
      <c r="R249" s="368"/>
      <c r="S249" s="365"/>
      <c r="T249" s="143"/>
      <c r="U249" s="143"/>
      <c r="V249" s="143"/>
      <c r="W249" s="368"/>
      <c r="X249" s="365"/>
      <c r="Y249" s="143"/>
      <c r="Z249" s="143"/>
      <c r="AA249" s="143"/>
      <c r="AB249" s="368"/>
    </row>
    <row r="250" spans="1:28" ht="18" customHeight="1" x14ac:dyDescent="0.2">
      <c r="A250" s="375"/>
      <c r="B250" s="117" t="s">
        <v>759</v>
      </c>
      <c r="C250" s="371"/>
      <c r="D250" s="372"/>
      <c r="E250" s="142"/>
      <c r="F250" s="142"/>
      <c r="G250" s="142"/>
      <c r="H250" s="371"/>
      <c r="I250" s="372"/>
      <c r="J250" s="142"/>
      <c r="K250" s="142"/>
      <c r="L250" s="142"/>
      <c r="M250" s="371"/>
      <c r="N250" s="372"/>
      <c r="O250" s="143"/>
      <c r="P250" s="143"/>
      <c r="Q250" s="143"/>
      <c r="R250" s="368"/>
      <c r="S250" s="365"/>
      <c r="T250" s="143"/>
      <c r="U250" s="143"/>
      <c r="V250" s="143"/>
      <c r="W250" s="368"/>
      <c r="X250" s="365"/>
      <c r="Y250" s="143"/>
      <c r="Z250" s="143"/>
      <c r="AA250" s="143"/>
      <c r="AB250" s="368"/>
    </row>
    <row r="251" spans="1:28" ht="18" customHeight="1" x14ac:dyDescent="0.2">
      <c r="A251" s="375"/>
      <c r="B251" s="117" t="s">
        <v>760</v>
      </c>
      <c r="C251" s="371"/>
      <c r="D251" s="372"/>
      <c r="E251" s="142"/>
      <c r="F251" s="142"/>
      <c r="G251" s="142"/>
      <c r="H251" s="371"/>
      <c r="I251" s="372"/>
      <c r="J251" s="142"/>
      <c r="K251" s="142"/>
      <c r="L251" s="142"/>
      <c r="M251" s="371"/>
      <c r="N251" s="372"/>
      <c r="O251" s="143"/>
      <c r="P251" s="143"/>
      <c r="Q251" s="143"/>
      <c r="R251" s="368"/>
      <c r="S251" s="365"/>
      <c r="T251" s="143"/>
      <c r="U251" s="143"/>
      <c r="V251" s="143"/>
      <c r="W251" s="368"/>
      <c r="X251" s="365"/>
      <c r="Y251" s="143"/>
      <c r="Z251" s="143"/>
      <c r="AA251" s="143"/>
      <c r="AB251" s="368"/>
    </row>
    <row r="252" spans="1:28" ht="18" customHeight="1" x14ac:dyDescent="0.2">
      <c r="A252" s="375"/>
      <c r="B252" s="117" t="s">
        <v>761</v>
      </c>
      <c r="C252" s="371"/>
      <c r="D252" s="372"/>
      <c r="E252" s="142"/>
      <c r="F252" s="142"/>
      <c r="G252" s="142"/>
      <c r="H252" s="371"/>
      <c r="I252" s="372"/>
      <c r="J252" s="142"/>
      <c r="K252" s="142"/>
      <c r="L252" s="142"/>
      <c r="M252" s="371"/>
      <c r="N252" s="372"/>
      <c r="O252" s="143"/>
      <c r="P252" s="143"/>
      <c r="Q252" s="143"/>
      <c r="R252" s="368"/>
      <c r="S252" s="365"/>
      <c r="T252" s="143"/>
      <c r="U252" s="143"/>
      <c r="V252" s="143"/>
      <c r="W252" s="368"/>
      <c r="X252" s="365"/>
      <c r="Y252" s="143"/>
      <c r="Z252" s="143"/>
      <c r="AA252" s="143"/>
      <c r="AB252" s="368"/>
    </row>
    <row r="253" spans="1:28" ht="18" customHeight="1" x14ac:dyDescent="0.2">
      <c r="A253" s="375"/>
      <c r="B253" s="117" t="s">
        <v>762</v>
      </c>
      <c r="C253" s="371"/>
      <c r="D253" s="372"/>
      <c r="E253" s="142"/>
      <c r="F253" s="142"/>
      <c r="G253" s="142"/>
      <c r="H253" s="371"/>
      <c r="I253" s="372"/>
      <c r="J253" s="142"/>
      <c r="K253" s="142"/>
      <c r="L253" s="142"/>
      <c r="M253" s="371"/>
      <c r="N253" s="372"/>
      <c r="O253" s="143"/>
      <c r="P253" s="143"/>
      <c r="Q253" s="143"/>
      <c r="R253" s="368"/>
      <c r="S253" s="365"/>
      <c r="T253" s="143"/>
      <c r="U253" s="143"/>
      <c r="V253" s="143"/>
      <c r="W253" s="368"/>
      <c r="X253" s="365"/>
      <c r="Y253" s="143"/>
      <c r="Z253" s="143"/>
      <c r="AA253" s="143"/>
      <c r="AB253" s="368"/>
    </row>
    <row r="254" spans="1:28" ht="18" customHeight="1" x14ac:dyDescent="0.2">
      <c r="A254" s="375"/>
      <c r="B254" s="118" t="s">
        <v>763</v>
      </c>
      <c r="C254" s="371"/>
      <c r="D254" s="372"/>
      <c r="E254" s="142"/>
      <c r="F254" s="142"/>
      <c r="G254" s="142"/>
      <c r="H254" s="371"/>
      <c r="I254" s="372"/>
      <c r="J254" s="142"/>
      <c r="K254" s="142"/>
      <c r="L254" s="142"/>
      <c r="M254" s="371"/>
      <c r="N254" s="372"/>
      <c r="O254" s="143"/>
      <c r="P254" s="143"/>
      <c r="Q254" s="143"/>
      <c r="R254" s="368"/>
      <c r="S254" s="365"/>
      <c r="T254" s="143"/>
      <c r="U254" s="143"/>
      <c r="V254" s="143"/>
      <c r="W254" s="368"/>
      <c r="X254" s="365"/>
      <c r="Y254" s="143"/>
      <c r="Z254" s="143"/>
      <c r="AA254" s="143"/>
      <c r="AB254" s="368"/>
    </row>
    <row r="255" spans="1:28" ht="18" customHeight="1" x14ac:dyDescent="0.2">
      <c r="A255" s="375"/>
      <c r="B255" s="117" t="s">
        <v>764</v>
      </c>
      <c r="C255" s="371"/>
      <c r="D255" s="372"/>
      <c r="E255" s="142"/>
      <c r="F255" s="142"/>
      <c r="G255" s="142"/>
      <c r="H255" s="371"/>
      <c r="I255" s="372"/>
      <c r="J255" s="142"/>
      <c r="K255" s="142"/>
      <c r="L255" s="142"/>
      <c r="M255" s="371"/>
      <c r="N255" s="372"/>
      <c r="O255" s="143"/>
      <c r="P255" s="143"/>
      <c r="Q255" s="143"/>
      <c r="R255" s="368"/>
      <c r="S255" s="365"/>
      <c r="T255" s="143"/>
      <c r="U255" s="143"/>
      <c r="V255" s="143"/>
      <c r="W255" s="368"/>
      <c r="X255" s="365"/>
      <c r="Y255" s="143"/>
      <c r="Z255" s="143"/>
      <c r="AA255" s="143"/>
      <c r="AB255" s="368"/>
    </row>
    <row r="256" spans="1:28" ht="18" customHeight="1" x14ac:dyDescent="0.2">
      <c r="A256" s="375"/>
      <c r="B256" s="117" t="s">
        <v>765</v>
      </c>
      <c r="C256" s="371"/>
      <c r="D256" s="372"/>
      <c r="E256" s="142"/>
      <c r="F256" s="142"/>
      <c r="G256" s="142"/>
      <c r="H256" s="371"/>
      <c r="I256" s="372"/>
      <c r="J256" s="142"/>
      <c r="K256" s="142"/>
      <c r="L256" s="142"/>
      <c r="M256" s="371"/>
      <c r="N256" s="372"/>
      <c r="O256" s="143"/>
      <c r="P256" s="143"/>
      <c r="Q256" s="143"/>
      <c r="R256" s="368"/>
      <c r="S256" s="365"/>
      <c r="T256" s="143"/>
      <c r="U256" s="143"/>
      <c r="V256" s="143"/>
      <c r="W256" s="368"/>
      <c r="X256" s="365"/>
      <c r="Y256" s="143"/>
      <c r="Z256" s="143"/>
      <c r="AA256" s="143"/>
      <c r="AB256" s="368"/>
    </row>
    <row r="257" spans="1:28" ht="18" customHeight="1" x14ac:dyDescent="0.2">
      <c r="A257" s="375"/>
      <c r="B257" s="117" t="s">
        <v>766</v>
      </c>
      <c r="C257" s="371"/>
      <c r="D257" s="372"/>
      <c r="E257" s="142"/>
      <c r="F257" s="142"/>
      <c r="G257" s="142"/>
      <c r="H257" s="371"/>
      <c r="I257" s="372"/>
      <c r="J257" s="142"/>
      <c r="K257" s="142"/>
      <c r="L257" s="142"/>
      <c r="M257" s="371"/>
      <c r="N257" s="372"/>
      <c r="O257" s="143"/>
      <c r="P257" s="143"/>
      <c r="Q257" s="143"/>
      <c r="R257" s="368"/>
      <c r="S257" s="365"/>
      <c r="T257" s="143"/>
      <c r="U257" s="143"/>
      <c r="V257" s="143"/>
      <c r="W257" s="368"/>
      <c r="X257" s="365"/>
      <c r="Y257" s="143"/>
      <c r="Z257" s="143"/>
      <c r="AA257" s="143"/>
      <c r="AB257" s="368"/>
    </row>
    <row r="258" spans="1:28" ht="18" customHeight="1" x14ac:dyDescent="0.2">
      <c r="A258" s="375"/>
      <c r="B258" s="117" t="s">
        <v>767</v>
      </c>
      <c r="C258" s="371"/>
      <c r="D258" s="372"/>
      <c r="E258" s="142"/>
      <c r="F258" s="142"/>
      <c r="G258" s="142"/>
      <c r="H258" s="371"/>
      <c r="I258" s="372"/>
      <c r="J258" s="142"/>
      <c r="K258" s="142"/>
      <c r="L258" s="142"/>
      <c r="M258" s="371"/>
      <c r="N258" s="372"/>
      <c r="O258" s="143"/>
      <c r="P258" s="143"/>
      <c r="Q258" s="143"/>
      <c r="R258" s="368"/>
      <c r="S258" s="365"/>
      <c r="T258" s="143"/>
      <c r="U258" s="143"/>
      <c r="V258" s="143"/>
      <c r="W258" s="368"/>
      <c r="X258" s="365"/>
      <c r="Y258" s="143"/>
      <c r="Z258" s="143"/>
      <c r="AA258" s="143"/>
      <c r="AB258" s="368"/>
    </row>
    <row r="259" spans="1:28" ht="18" customHeight="1" x14ac:dyDescent="0.2">
      <c r="A259" s="375"/>
      <c r="B259" s="117" t="s">
        <v>774</v>
      </c>
      <c r="C259" s="371"/>
      <c r="D259" s="372"/>
      <c r="E259" s="142"/>
      <c r="F259" s="142"/>
      <c r="G259" s="142"/>
      <c r="H259" s="371"/>
      <c r="I259" s="372"/>
      <c r="J259" s="142"/>
      <c r="K259" s="142"/>
      <c r="L259" s="142"/>
      <c r="M259" s="371"/>
      <c r="N259" s="372"/>
      <c r="O259" s="143"/>
      <c r="P259" s="143"/>
      <c r="Q259" s="143"/>
      <c r="R259" s="368"/>
      <c r="S259" s="365"/>
      <c r="T259" s="143"/>
      <c r="U259" s="143"/>
      <c r="V259" s="143"/>
      <c r="W259" s="368"/>
      <c r="X259" s="365"/>
      <c r="Y259" s="143"/>
      <c r="Z259" s="143"/>
      <c r="AA259" s="143"/>
      <c r="AB259" s="368"/>
    </row>
    <row r="260" spans="1:28" ht="18" customHeight="1" x14ac:dyDescent="0.2">
      <c r="A260" s="375"/>
      <c r="B260" s="117" t="s">
        <v>768</v>
      </c>
      <c r="C260" s="371"/>
      <c r="D260" s="372"/>
      <c r="E260" s="142"/>
      <c r="F260" s="142"/>
      <c r="G260" s="142"/>
      <c r="H260" s="371"/>
      <c r="I260" s="372"/>
      <c r="J260" s="142"/>
      <c r="K260" s="142"/>
      <c r="L260" s="142"/>
      <c r="M260" s="371"/>
      <c r="N260" s="372"/>
      <c r="O260" s="143"/>
      <c r="P260" s="143"/>
      <c r="Q260" s="143"/>
      <c r="R260" s="368"/>
      <c r="S260" s="365"/>
      <c r="T260" s="143"/>
      <c r="U260" s="143"/>
      <c r="V260" s="143"/>
      <c r="W260" s="368"/>
      <c r="X260" s="365"/>
      <c r="Y260" s="143"/>
      <c r="Z260" s="143"/>
      <c r="AA260" s="143"/>
      <c r="AB260" s="368"/>
    </row>
    <row r="261" spans="1:28" ht="20.25" customHeight="1" x14ac:dyDescent="0.2">
      <c r="A261" s="375"/>
      <c r="B261" s="117" t="s">
        <v>769</v>
      </c>
      <c r="C261" s="371"/>
      <c r="D261" s="372"/>
      <c r="E261" s="142"/>
      <c r="F261" s="142"/>
      <c r="G261" s="142"/>
      <c r="H261" s="371"/>
      <c r="I261" s="372"/>
      <c r="J261" s="142"/>
      <c r="K261" s="142"/>
      <c r="L261" s="142"/>
      <c r="M261" s="371"/>
      <c r="N261" s="372"/>
      <c r="O261" s="143"/>
      <c r="P261" s="143"/>
      <c r="Q261" s="143"/>
      <c r="R261" s="368"/>
      <c r="S261" s="365"/>
      <c r="T261" s="143"/>
      <c r="U261" s="143"/>
      <c r="V261" s="143"/>
      <c r="W261" s="368"/>
      <c r="X261" s="365"/>
      <c r="Y261" s="143"/>
      <c r="Z261" s="143"/>
      <c r="AA261" s="143"/>
      <c r="AB261" s="368"/>
    </row>
    <row r="262" spans="1:28" ht="18" customHeight="1" x14ac:dyDescent="0.2">
      <c r="A262" s="375"/>
      <c r="B262" s="117" t="s">
        <v>770</v>
      </c>
      <c r="C262" s="371"/>
      <c r="D262" s="372"/>
      <c r="E262" s="142"/>
      <c r="F262" s="142"/>
      <c r="G262" s="142"/>
      <c r="H262" s="371"/>
      <c r="I262" s="372"/>
      <c r="J262" s="142"/>
      <c r="K262" s="142"/>
      <c r="L262" s="142"/>
      <c r="M262" s="371"/>
      <c r="N262" s="372"/>
      <c r="O262" s="143"/>
      <c r="P262" s="143"/>
      <c r="Q262" s="143"/>
      <c r="R262" s="368"/>
      <c r="S262" s="365"/>
      <c r="T262" s="143"/>
      <c r="U262" s="143"/>
      <c r="V262" s="143"/>
      <c r="W262" s="368"/>
      <c r="X262" s="365"/>
      <c r="Y262" s="143"/>
      <c r="Z262" s="143"/>
      <c r="AA262" s="143"/>
      <c r="AB262" s="368"/>
    </row>
    <row r="263" spans="1:28" ht="18" customHeight="1" x14ac:dyDescent="0.2">
      <c r="A263" s="375"/>
      <c r="B263" s="117" t="s">
        <v>771</v>
      </c>
      <c r="C263" s="371"/>
      <c r="D263" s="372"/>
      <c r="E263" s="142"/>
      <c r="F263" s="142"/>
      <c r="G263" s="142"/>
      <c r="H263" s="371"/>
      <c r="I263" s="372"/>
      <c r="J263" s="142"/>
      <c r="K263" s="142"/>
      <c r="L263" s="142"/>
      <c r="M263" s="371"/>
      <c r="N263" s="372"/>
      <c r="O263" s="143"/>
      <c r="P263" s="143"/>
      <c r="Q263" s="143"/>
      <c r="R263" s="368"/>
      <c r="S263" s="365"/>
      <c r="T263" s="143"/>
      <c r="U263" s="143"/>
      <c r="V263" s="143"/>
      <c r="W263" s="368"/>
      <c r="X263" s="365"/>
      <c r="Y263" s="143"/>
      <c r="Z263" s="143"/>
      <c r="AA263" s="143"/>
      <c r="AB263" s="368"/>
    </row>
    <row r="264" spans="1:28" ht="18" customHeight="1" x14ac:dyDescent="0.2">
      <c r="A264" s="375"/>
      <c r="B264" s="117" t="s">
        <v>772</v>
      </c>
      <c r="C264" s="371"/>
      <c r="D264" s="372"/>
      <c r="E264" s="142"/>
      <c r="F264" s="142"/>
      <c r="G264" s="142"/>
      <c r="H264" s="371"/>
      <c r="I264" s="372"/>
      <c r="J264" s="142"/>
      <c r="K264" s="142"/>
      <c r="L264" s="142"/>
      <c r="M264" s="371"/>
      <c r="N264" s="372"/>
      <c r="O264" s="143"/>
      <c r="P264" s="143"/>
      <c r="Q264" s="143"/>
      <c r="R264" s="368"/>
      <c r="S264" s="365"/>
      <c r="T264" s="143"/>
      <c r="U264" s="143"/>
      <c r="V264" s="143"/>
      <c r="W264" s="368"/>
      <c r="X264" s="365"/>
      <c r="Y264" s="143"/>
      <c r="Z264" s="143"/>
      <c r="AA264" s="143"/>
      <c r="AB264" s="368"/>
    </row>
    <row r="265" spans="1:28" ht="18" customHeight="1" x14ac:dyDescent="0.2">
      <c r="A265" s="375"/>
      <c r="B265" s="117" t="s">
        <v>773</v>
      </c>
      <c r="C265" s="371"/>
      <c r="D265" s="372"/>
      <c r="E265" s="142"/>
      <c r="F265" s="142"/>
      <c r="G265" s="142"/>
      <c r="H265" s="371"/>
      <c r="I265" s="372"/>
      <c r="J265" s="142"/>
      <c r="K265" s="142"/>
      <c r="L265" s="142"/>
      <c r="M265" s="371"/>
      <c r="N265" s="372"/>
      <c r="O265" s="143"/>
      <c r="P265" s="143"/>
      <c r="Q265" s="143"/>
      <c r="R265" s="368"/>
      <c r="S265" s="365"/>
      <c r="T265" s="143"/>
      <c r="U265" s="143"/>
      <c r="V265" s="143"/>
      <c r="W265" s="368"/>
      <c r="X265" s="365"/>
      <c r="Y265" s="143"/>
      <c r="Z265" s="143"/>
      <c r="AA265" s="143"/>
      <c r="AB265" s="368"/>
    </row>
    <row r="266" spans="1:28" ht="18" customHeight="1" x14ac:dyDescent="0.2">
      <c r="A266" s="375"/>
      <c r="B266" s="117" t="s">
        <v>775</v>
      </c>
      <c r="C266" s="371"/>
      <c r="D266" s="372"/>
      <c r="E266" s="142"/>
      <c r="F266" s="142"/>
      <c r="G266" s="142"/>
      <c r="H266" s="371"/>
      <c r="I266" s="372"/>
      <c r="J266" s="142"/>
      <c r="K266" s="142"/>
      <c r="L266" s="142"/>
      <c r="M266" s="371"/>
      <c r="N266" s="372"/>
      <c r="O266" s="143"/>
      <c r="P266" s="143"/>
      <c r="Q266" s="143"/>
      <c r="R266" s="368"/>
      <c r="S266" s="365"/>
      <c r="T266" s="143"/>
      <c r="U266" s="143"/>
      <c r="V266" s="143"/>
      <c r="W266" s="368"/>
      <c r="X266" s="365"/>
      <c r="Y266" s="143"/>
      <c r="Z266" s="143"/>
      <c r="AA266" s="143"/>
      <c r="AB266" s="368"/>
    </row>
    <row r="267" spans="1:28" ht="18" customHeight="1" x14ac:dyDescent="0.2">
      <c r="A267" s="375"/>
      <c r="B267" s="117" t="s">
        <v>776</v>
      </c>
      <c r="C267" s="371"/>
      <c r="D267" s="372"/>
      <c r="E267" s="142"/>
      <c r="F267" s="142"/>
      <c r="G267" s="142"/>
      <c r="H267" s="371"/>
      <c r="I267" s="372"/>
      <c r="J267" s="142"/>
      <c r="K267" s="142"/>
      <c r="L267" s="142"/>
      <c r="M267" s="371"/>
      <c r="N267" s="372"/>
      <c r="O267" s="143"/>
      <c r="P267" s="143"/>
      <c r="Q267" s="143"/>
      <c r="R267" s="368"/>
      <c r="S267" s="365"/>
      <c r="T267" s="143"/>
      <c r="U267" s="143"/>
      <c r="V267" s="143"/>
      <c r="W267" s="368"/>
      <c r="X267" s="365"/>
      <c r="Y267" s="143"/>
      <c r="Z267" s="143"/>
      <c r="AA267" s="143"/>
      <c r="AB267" s="368"/>
    </row>
    <row r="268" spans="1:28" ht="18" customHeight="1" x14ac:dyDescent="0.2">
      <c r="A268" s="375"/>
      <c r="B268" s="117" t="s">
        <v>777</v>
      </c>
      <c r="C268" s="371"/>
      <c r="D268" s="372"/>
      <c r="E268" s="142"/>
      <c r="F268" s="142"/>
      <c r="G268" s="142"/>
      <c r="H268" s="371"/>
      <c r="I268" s="372"/>
      <c r="J268" s="142"/>
      <c r="K268" s="142"/>
      <c r="L268" s="142"/>
      <c r="M268" s="371"/>
      <c r="N268" s="372"/>
      <c r="O268" s="143"/>
      <c r="P268" s="143"/>
      <c r="Q268" s="143"/>
      <c r="R268" s="368"/>
      <c r="S268" s="365"/>
      <c r="T268" s="143"/>
      <c r="U268" s="143"/>
      <c r="V268" s="143"/>
      <c r="W268" s="368"/>
      <c r="X268" s="365"/>
      <c r="Y268" s="143"/>
      <c r="Z268" s="143"/>
      <c r="AA268" s="143"/>
      <c r="AB268" s="368"/>
    </row>
    <row r="269" spans="1:28" ht="18" customHeight="1" x14ac:dyDescent="0.2">
      <c r="A269" s="375"/>
      <c r="B269" s="117" t="s">
        <v>778</v>
      </c>
      <c r="C269" s="371"/>
      <c r="D269" s="372"/>
      <c r="E269" s="142"/>
      <c r="F269" s="142"/>
      <c r="G269" s="142"/>
      <c r="H269" s="371"/>
      <c r="I269" s="372"/>
      <c r="J269" s="142"/>
      <c r="K269" s="142"/>
      <c r="L269" s="142"/>
      <c r="M269" s="371"/>
      <c r="N269" s="372"/>
      <c r="O269" s="143"/>
      <c r="P269" s="143"/>
      <c r="Q269" s="143"/>
      <c r="R269" s="368"/>
      <c r="S269" s="365"/>
      <c r="T269" s="143"/>
      <c r="U269" s="143"/>
      <c r="V269" s="143"/>
      <c r="W269" s="368"/>
      <c r="X269" s="365"/>
      <c r="Y269" s="143"/>
      <c r="Z269" s="143"/>
      <c r="AA269" s="143"/>
      <c r="AB269" s="368"/>
    </row>
    <row r="270" spans="1:28" ht="18" customHeight="1" x14ac:dyDescent="0.2">
      <c r="A270" s="375"/>
      <c r="B270" s="117" t="s">
        <v>779</v>
      </c>
      <c r="C270" s="371"/>
      <c r="D270" s="372"/>
      <c r="E270" s="142"/>
      <c r="F270" s="142"/>
      <c r="G270" s="142"/>
      <c r="H270" s="371"/>
      <c r="I270" s="372"/>
      <c r="J270" s="142"/>
      <c r="K270" s="142"/>
      <c r="L270" s="142"/>
      <c r="M270" s="371"/>
      <c r="N270" s="372"/>
      <c r="O270" s="143"/>
      <c r="P270" s="143"/>
      <c r="Q270" s="143"/>
      <c r="R270" s="368"/>
      <c r="S270" s="365"/>
      <c r="T270" s="143"/>
      <c r="U270" s="143"/>
      <c r="V270" s="143"/>
      <c r="W270" s="368"/>
      <c r="X270" s="365"/>
      <c r="Y270" s="143"/>
      <c r="Z270" s="143"/>
      <c r="AA270" s="143"/>
      <c r="AB270" s="368"/>
    </row>
    <row r="271" spans="1:28" ht="18" customHeight="1" x14ac:dyDescent="0.2">
      <c r="A271" s="375"/>
      <c r="B271" s="117" t="s">
        <v>780</v>
      </c>
      <c r="C271" s="371"/>
      <c r="D271" s="372"/>
      <c r="E271" s="142"/>
      <c r="F271" s="142"/>
      <c r="G271" s="142"/>
      <c r="H271" s="371"/>
      <c r="I271" s="372"/>
      <c r="J271" s="142"/>
      <c r="K271" s="142"/>
      <c r="L271" s="142"/>
      <c r="M271" s="371"/>
      <c r="N271" s="372"/>
      <c r="O271" s="143"/>
      <c r="P271" s="143"/>
      <c r="Q271" s="143"/>
      <c r="R271" s="368"/>
      <c r="S271" s="365"/>
      <c r="T271" s="143"/>
      <c r="U271" s="143"/>
      <c r="V271" s="143"/>
      <c r="W271" s="368"/>
      <c r="X271" s="365"/>
      <c r="Y271" s="143"/>
      <c r="Z271" s="143"/>
      <c r="AA271" s="143"/>
      <c r="AB271" s="368"/>
    </row>
    <row r="272" spans="1:28" ht="18" customHeight="1" x14ac:dyDescent="0.2">
      <c r="A272" s="375"/>
      <c r="B272" s="117" t="s">
        <v>781</v>
      </c>
      <c r="C272" s="371"/>
      <c r="D272" s="372"/>
      <c r="E272" s="142"/>
      <c r="F272" s="142"/>
      <c r="G272" s="142"/>
      <c r="H272" s="371"/>
      <c r="I272" s="372"/>
      <c r="J272" s="142"/>
      <c r="K272" s="142"/>
      <c r="L272" s="142"/>
      <c r="M272" s="371"/>
      <c r="N272" s="372"/>
      <c r="O272" s="143"/>
      <c r="P272" s="143"/>
      <c r="Q272" s="143"/>
      <c r="R272" s="368"/>
      <c r="S272" s="365"/>
      <c r="T272" s="143"/>
      <c r="U272" s="143"/>
      <c r="V272" s="143"/>
      <c r="W272" s="368"/>
      <c r="X272" s="365"/>
      <c r="Y272" s="143"/>
      <c r="Z272" s="143"/>
      <c r="AA272" s="143"/>
      <c r="AB272" s="368"/>
    </row>
    <row r="273" spans="1:28" ht="18" customHeight="1" x14ac:dyDescent="0.2">
      <c r="A273" s="375"/>
      <c r="B273" s="117" t="s">
        <v>782</v>
      </c>
      <c r="C273" s="371"/>
      <c r="D273" s="372"/>
      <c r="E273" s="142"/>
      <c r="F273" s="142"/>
      <c r="G273" s="142"/>
      <c r="H273" s="371"/>
      <c r="I273" s="372"/>
      <c r="J273" s="142"/>
      <c r="K273" s="142"/>
      <c r="L273" s="142"/>
      <c r="M273" s="371"/>
      <c r="N273" s="372"/>
      <c r="O273" s="143"/>
      <c r="P273" s="143"/>
      <c r="Q273" s="143"/>
      <c r="R273" s="368"/>
      <c r="S273" s="365"/>
      <c r="T273" s="143"/>
      <c r="U273" s="143"/>
      <c r="V273" s="143"/>
      <c r="W273" s="368"/>
      <c r="X273" s="365"/>
      <c r="Y273" s="143"/>
      <c r="Z273" s="143"/>
      <c r="AA273" s="143"/>
      <c r="AB273" s="368"/>
    </row>
    <row r="274" spans="1:28" ht="18" customHeight="1" x14ac:dyDescent="0.2">
      <c r="A274" s="375"/>
      <c r="B274" s="117" t="s">
        <v>783</v>
      </c>
      <c r="C274" s="371"/>
      <c r="D274" s="372"/>
      <c r="E274" s="142"/>
      <c r="F274" s="142"/>
      <c r="G274" s="142"/>
      <c r="H274" s="371"/>
      <c r="I274" s="372"/>
      <c r="J274" s="142"/>
      <c r="K274" s="142"/>
      <c r="L274" s="142"/>
      <c r="M274" s="371"/>
      <c r="N274" s="372"/>
      <c r="O274" s="143"/>
      <c r="P274" s="143"/>
      <c r="Q274" s="143"/>
      <c r="R274" s="368"/>
      <c r="S274" s="365"/>
      <c r="T274" s="143"/>
      <c r="U274" s="143"/>
      <c r="V274" s="143"/>
      <c r="W274" s="368"/>
      <c r="X274" s="365"/>
      <c r="Y274" s="143"/>
      <c r="Z274" s="143"/>
      <c r="AA274" s="143"/>
      <c r="AB274" s="368"/>
    </row>
    <row r="275" spans="1:28" ht="18" customHeight="1" x14ac:dyDescent="0.2">
      <c r="A275" s="375"/>
      <c r="B275" s="117" t="s">
        <v>784</v>
      </c>
      <c r="C275" s="371"/>
      <c r="D275" s="372"/>
      <c r="E275" s="142"/>
      <c r="F275" s="142"/>
      <c r="G275" s="142"/>
      <c r="H275" s="371"/>
      <c r="I275" s="372"/>
      <c r="J275" s="142"/>
      <c r="K275" s="142"/>
      <c r="L275" s="142"/>
      <c r="M275" s="371"/>
      <c r="N275" s="372"/>
      <c r="O275" s="143"/>
      <c r="P275" s="143"/>
      <c r="Q275" s="143"/>
      <c r="R275" s="368"/>
      <c r="S275" s="365"/>
      <c r="T275" s="143"/>
      <c r="U275" s="143"/>
      <c r="V275" s="143"/>
      <c r="W275" s="368"/>
      <c r="X275" s="365"/>
      <c r="Y275" s="143"/>
      <c r="Z275" s="143"/>
      <c r="AA275" s="143"/>
      <c r="AB275" s="368"/>
    </row>
    <row r="276" spans="1:28" ht="18" customHeight="1" x14ac:dyDescent="0.2">
      <c r="A276" s="375"/>
      <c r="B276" s="117" t="s">
        <v>785</v>
      </c>
      <c r="C276" s="371"/>
      <c r="D276" s="372"/>
      <c r="E276" s="142"/>
      <c r="F276" s="142"/>
      <c r="G276" s="142"/>
      <c r="H276" s="371"/>
      <c r="I276" s="372"/>
      <c r="J276" s="142"/>
      <c r="K276" s="142"/>
      <c r="L276" s="142"/>
      <c r="M276" s="371"/>
      <c r="N276" s="372"/>
      <c r="O276" s="143"/>
      <c r="P276" s="143"/>
      <c r="Q276" s="143"/>
      <c r="R276" s="368"/>
      <c r="S276" s="365"/>
      <c r="T276" s="143"/>
      <c r="U276" s="143"/>
      <c r="V276" s="143"/>
      <c r="W276" s="368"/>
      <c r="X276" s="365"/>
      <c r="Y276" s="143"/>
      <c r="Z276" s="143"/>
      <c r="AA276" s="143"/>
      <c r="AB276" s="368"/>
    </row>
    <row r="277" spans="1:28" ht="18" customHeight="1" x14ac:dyDescent="0.2">
      <c r="A277" s="375"/>
      <c r="B277" s="117" t="s">
        <v>786</v>
      </c>
      <c r="C277" s="371"/>
      <c r="D277" s="372"/>
      <c r="E277" s="142"/>
      <c r="F277" s="142"/>
      <c r="G277" s="142"/>
      <c r="H277" s="371"/>
      <c r="I277" s="372"/>
      <c r="J277" s="142"/>
      <c r="K277" s="142"/>
      <c r="L277" s="142"/>
      <c r="M277" s="371"/>
      <c r="N277" s="372"/>
      <c r="O277" s="143"/>
      <c r="P277" s="143"/>
      <c r="Q277" s="143"/>
      <c r="R277" s="368"/>
      <c r="S277" s="365"/>
      <c r="T277" s="143"/>
      <c r="U277" s="143"/>
      <c r="V277" s="143"/>
      <c r="W277" s="368"/>
      <c r="X277" s="365"/>
      <c r="Y277" s="143"/>
      <c r="Z277" s="143"/>
      <c r="AA277" s="143"/>
      <c r="AB277" s="368"/>
    </row>
    <row r="278" spans="1:28" ht="18" customHeight="1" x14ac:dyDescent="0.2">
      <c r="A278" s="375"/>
      <c r="B278" s="117" t="s">
        <v>787</v>
      </c>
      <c r="C278" s="371"/>
      <c r="D278" s="372"/>
      <c r="E278" s="142"/>
      <c r="F278" s="142"/>
      <c r="G278" s="142"/>
      <c r="H278" s="371"/>
      <c r="I278" s="372"/>
      <c r="J278" s="142"/>
      <c r="K278" s="142"/>
      <c r="L278" s="142"/>
      <c r="M278" s="371"/>
      <c r="N278" s="372"/>
      <c r="O278" s="143"/>
      <c r="P278" s="143"/>
      <c r="Q278" s="143"/>
      <c r="R278" s="368"/>
      <c r="S278" s="365"/>
      <c r="T278" s="143"/>
      <c r="U278" s="143"/>
      <c r="V278" s="143"/>
      <c r="W278" s="368"/>
      <c r="X278" s="365"/>
      <c r="Y278" s="143"/>
      <c r="Z278" s="143"/>
      <c r="AA278" s="143"/>
      <c r="AB278" s="368"/>
    </row>
    <row r="279" spans="1:28" ht="18" customHeight="1" x14ac:dyDescent="0.2">
      <c r="A279" s="375"/>
      <c r="B279" s="117" t="s">
        <v>788</v>
      </c>
      <c r="C279" s="371"/>
      <c r="D279" s="372"/>
      <c r="E279" s="142"/>
      <c r="F279" s="142"/>
      <c r="G279" s="142"/>
      <c r="H279" s="371"/>
      <c r="I279" s="372"/>
      <c r="J279" s="142"/>
      <c r="K279" s="142"/>
      <c r="L279" s="142"/>
      <c r="M279" s="371"/>
      <c r="N279" s="372"/>
      <c r="O279" s="143"/>
      <c r="P279" s="143"/>
      <c r="Q279" s="143"/>
      <c r="R279" s="368"/>
      <c r="S279" s="365"/>
      <c r="T279" s="143"/>
      <c r="U279" s="143"/>
      <c r="V279" s="143"/>
      <c r="W279" s="368"/>
      <c r="X279" s="365"/>
      <c r="Y279" s="143"/>
      <c r="Z279" s="143"/>
      <c r="AA279" s="143"/>
      <c r="AB279" s="368"/>
    </row>
    <row r="280" spans="1:28" ht="18" customHeight="1" x14ac:dyDescent="0.2">
      <c r="A280" s="375"/>
      <c r="B280" s="117" t="s">
        <v>789</v>
      </c>
      <c r="C280" s="371"/>
      <c r="D280" s="372"/>
      <c r="E280" s="142"/>
      <c r="F280" s="142"/>
      <c r="G280" s="142"/>
      <c r="H280" s="371"/>
      <c r="I280" s="372"/>
      <c r="J280" s="142"/>
      <c r="K280" s="142"/>
      <c r="L280" s="142"/>
      <c r="M280" s="371"/>
      <c r="N280" s="372"/>
      <c r="O280" s="143"/>
      <c r="P280" s="143"/>
      <c r="Q280" s="143"/>
      <c r="R280" s="368"/>
      <c r="S280" s="365"/>
      <c r="T280" s="143"/>
      <c r="U280" s="143"/>
      <c r="V280" s="143"/>
      <c r="W280" s="368"/>
      <c r="X280" s="365"/>
      <c r="Y280" s="143"/>
      <c r="Z280" s="143"/>
      <c r="AA280" s="143"/>
      <c r="AB280" s="368"/>
    </row>
    <row r="281" spans="1:28" ht="18" customHeight="1" x14ac:dyDescent="0.2">
      <c r="A281" s="375"/>
      <c r="B281" s="117" t="s">
        <v>790</v>
      </c>
      <c r="C281" s="371"/>
      <c r="D281" s="372"/>
      <c r="E281" s="142"/>
      <c r="F281" s="142"/>
      <c r="G281" s="142"/>
      <c r="H281" s="371"/>
      <c r="I281" s="372"/>
      <c r="J281" s="142"/>
      <c r="K281" s="142"/>
      <c r="L281" s="142"/>
      <c r="M281" s="371"/>
      <c r="N281" s="372"/>
      <c r="O281" s="143"/>
      <c r="P281" s="143"/>
      <c r="Q281" s="143"/>
      <c r="R281" s="368"/>
      <c r="S281" s="365"/>
      <c r="T281" s="143"/>
      <c r="U281" s="143"/>
      <c r="V281" s="143"/>
      <c r="W281" s="368"/>
      <c r="X281" s="365"/>
      <c r="Y281" s="143"/>
      <c r="Z281" s="143"/>
      <c r="AA281" s="143"/>
      <c r="AB281" s="368"/>
    </row>
    <row r="282" spans="1:28" ht="18" customHeight="1" x14ac:dyDescent="0.2">
      <c r="A282" s="375"/>
      <c r="B282" s="117" t="s">
        <v>791</v>
      </c>
      <c r="C282" s="371"/>
      <c r="D282" s="372"/>
      <c r="E282" s="142"/>
      <c r="F282" s="142"/>
      <c r="G282" s="142"/>
      <c r="H282" s="371"/>
      <c r="I282" s="372"/>
      <c r="J282" s="142"/>
      <c r="K282" s="142"/>
      <c r="L282" s="142"/>
      <c r="M282" s="371"/>
      <c r="N282" s="372"/>
      <c r="O282" s="143"/>
      <c r="P282" s="143"/>
      <c r="Q282" s="143"/>
      <c r="R282" s="368"/>
      <c r="S282" s="365"/>
      <c r="T282" s="143"/>
      <c r="U282" s="143"/>
      <c r="V282" s="143"/>
      <c r="W282" s="368"/>
      <c r="X282" s="365"/>
      <c r="Y282" s="143"/>
      <c r="Z282" s="143"/>
      <c r="AA282" s="143"/>
      <c r="AB282" s="368"/>
    </row>
    <row r="283" spans="1:28" ht="18" customHeight="1" x14ac:dyDescent="0.2">
      <c r="A283" s="375"/>
      <c r="B283" s="117" t="s">
        <v>792</v>
      </c>
      <c r="C283" s="371"/>
      <c r="D283" s="372"/>
      <c r="E283" s="142"/>
      <c r="F283" s="142"/>
      <c r="G283" s="142"/>
      <c r="H283" s="371"/>
      <c r="I283" s="372"/>
      <c r="J283" s="142"/>
      <c r="K283" s="142"/>
      <c r="L283" s="142"/>
      <c r="M283" s="371"/>
      <c r="N283" s="372"/>
      <c r="O283" s="143"/>
      <c r="P283" s="143"/>
      <c r="Q283" s="143"/>
      <c r="R283" s="368"/>
      <c r="S283" s="365"/>
      <c r="T283" s="143"/>
      <c r="U283" s="143"/>
      <c r="V283" s="143"/>
      <c r="W283" s="368"/>
      <c r="X283" s="365"/>
      <c r="Y283" s="143"/>
      <c r="Z283" s="143"/>
      <c r="AA283" s="143"/>
      <c r="AB283" s="368"/>
    </row>
    <row r="284" spans="1:28" ht="18" customHeight="1" x14ac:dyDescent="0.2">
      <c r="A284" s="375"/>
      <c r="B284" s="117" t="s">
        <v>793</v>
      </c>
      <c r="C284" s="371"/>
      <c r="D284" s="372"/>
      <c r="E284" s="142"/>
      <c r="F284" s="142"/>
      <c r="G284" s="142"/>
      <c r="H284" s="371"/>
      <c r="I284" s="372"/>
      <c r="J284" s="142"/>
      <c r="K284" s="142"/>
      <c r="L284" s="142"/>
      <c r="M284" s="371"/>
      <c r="N284" s="372"/>
      <c r="O284" s="143"/>
      <c r="P284" s="143"/>
      <c r="Q284" s="143"/>
      <c r="R284" s="368"/>
      <c r="S284" s="365"/>
      <c r="T284" s="143"/>
      <c r="U284" s="143"/>
      <c r="V284" s="143"/>
      <c r="W284" s="368"/>
      <c r="X284" s="365"/>
      <c r="Y284" s="143"/>
      <c r="Z284" s="143"/>
      <c r="AA284" s="143"/>
      <c r="AB284" s="368"/>
    </row>
    <row r="285" spans="1:28" ht="21" customHeight="1" x14ac:dyDescent="0.2">
      <c r="A285" s="375"/>
      <c r="B285" s="117" t="s">
        <v>794</v>
      </c>
      <c r="C285" s="371"/>
      <c r="D285" s="372"/>
      <c r="E285" s="142"/>
      <c r="F285" s="142"/>
      <c r="G285" s="142"/>
      <c r="H285" s="371"/>
      <c r="I285" s="372"/>
      <c r="J285" s="142"/>
      <c r="K285" s="142"/>
      <c r="L285" s="142"/>
      <c r="M285" s="371"/>
      <c r="N285" s="372"/>
      <c r="O285" s="143"/>
      <c r="P285" s="143"/>
      <c r="Q285" s="143"/>
      <c r="R285" s="368"/>
      <c r="S285" s="365"/>
      <c r="T285" s="143"/>
      <c r="U285" s="143"/>
      <c r="V285" s="143"/>
      <c r="W285" s="368"/>
      <c r="X285" s="365"/>
      <c r="Y285" s="143"/>
      <c r="Z285" s="143"/>
      <c r="AA285" s="143"/>
      <c r="AB285" s="368"/>
    </row>
    <row r="286" spans="1:28" ht="20.25" customHeight="1" x14ac:dyDescent="0.2">
      <c r="A286" s="375"/>
      <c r="B286" s="117" t="s">
        <v>795</v>
      </c>
      <c r="C286" s="371"/>
      <c r="D286" s="372"/>
      <c r="E286" s="144"/>
      <c r="F286" s="144"/>
      <c r="G286" s="144"/>
      <c r="H286" s="371"/>
      <c r="I286" s="372"/>
      <c r="J286" s="144"/>
      <c r="K286" s="144"/>
      <c r="L286" s="144"/>
      <c r="M286" s="371"/>
      <c r="N286" s="372"/>
      <c r="O286" s="31"/>
      <c r="P286" s="31"/>
      <c r="Q286" s="31"/>
      <c r="R286" s="368"/>
      <c r="S286" s="365"/>
      <c r="T286" s="31"/>
      <c r="U286" s="31"/>
      <c r="V286" s="31"/>
      <c r="W286" s="368"/>
      <c r="X286" s="365"/>
      <c r="Y286" s="31"/>
      <c r="Z286" s="31"/>
      <c r="AA286" s="31"/>
      <c r="AB286" s="368"/>
    </row>
    <row r="287" spans="1:28" ht="15" customHeight="1" x14ac:dyDescent="0.2">
      <c r="A287" s="375"/>
      <c r="B287" s="117" t="s">
        <v>828</v>
      </c>
      <c r="C287" s="371"/>
      <c r="D287" s="372"/>
      <c r="E287" s="144"/>
      <c r="F287" s="144"/>
      <c r="G287" s="144"/>
      <c r="H287" s="371"/>
      <c r="I287" s="372"/>
      <c r="J287" s="144"/>
      <c r="K287" s="144"/>
      <c r="L287" s="144"/>
      <c r="M287" s="371"/>
      <c r="N287" s="372"/>
      <c r="O287" s="31"/>
      <c r="P287" s="31"/>
      <c r="Q287" s="31"/>
      <c r="R287" s="368"/>
      <c r="S287" s="365"/>
      <c r="T287" s="31"/>
      <c r="U287" s="31"/>
      <c r="V287" s="31"/>
      <c r="W287" s="368"/>
      <c r="X287" s="365"/>
      <c r="Y287" s="31"/>
      <c r="Z287" s="31"/>
      <c r="AA287" s="31"/>
      <c r="AB287" s="368"/>
    </row>
    <row r="288" spans="1:28" ht="27.75" customHeight="1" x14ac:dyDescent="0.2">
      <c r="A288" s="375"/>
      <c r="B288" s="117" t="s">
        <v>796</v>
      </c>
      <c r="C288" s="371"/>
      <c r="D288" s="372"/>
      <c r="E288" s="144"/>
      <c r="F288" s="144"/>
      <c r="G288" s="144"/>
      <c r="H288" s="371"/>
      <c r="I288" s="372"/>
      <c r="J288" s="144"/>
      <c r="K288" s="144"/>
      <c r="L288" s="144"/>
      <c r="M288" s="371"/>
      <c r="N288" s="372"/>
      <c r="O288" s="31"/>
      <c r="P288" s="31"/>
      <c r="Q288" s="31"/>
      <c r="R288" s="368"/>
      <c r="S288" s="365"/>
      <c r="T288" s="31"/>
      <c r="U288" s="31"/>
      <c r="V288" s="31"/>
      <c r="W288" s="368"/>
      <c r="X288" s="365"/>
      <c r="Y288" s="31"/>
      <c r="Z288" s="31"/>
      <c r="AA288" s="31"/>
      <c r="AB288" s="368"/>
    </row>
    <row r="289" spans="1:28" ht="24" customHeight="1" x14ac:dyDescent="0.2">
      <c r="A289" s="375"/>
      <c r="B289" s="117" t="s">
        <v>797</v>
      </c>
      <c r="C289" s="371"/>
      <c r="D289" s="372"/>
      <c r="E289" s="144"/>
      <c r="F289" s="144"/>
      <c r="G289" s="144"/>
      <c r="H289" s="371"/>
      <c r="I289" s="372"/>
      <c r="J289" s="144"/>
      <c r="K289" s="144"/>
      <c r="L289" s="144"/>
      <c r="M289" s="371"/>
      <c r="N289" s="372"/>
      <c r="O289" s="31"/>
      <c r="P289" s="31"/>
      <c r="Q289" s="31"/>
      <c r="R289" s="368"/>
      <c r="S289" s="365"/>
      <c r="T289" s="31"/>
      <c r="U289" s="31"/>
      <c r="V289" s="31"/>
      <c r="W289" s="368"/>
      <c r="X289" s="365"/>
      <c r="Y289" s="31"/>
      <c r="Z289" s="31"/>
      <c r="AA289" s="31"/>
      <c r="AB289" s="368"/>
    </row>
    <row r="290" spans="1:28" ht="18" customHeight="1" x14ac:dyDescent="0.2">
      <c r="A290" s="375"/>
      <c r="B290" s="117" t="s">
        <v>798</v>
      </c>
      <c r="C290" s="371"/>
      <c r="D290" s="372"/>
      <c r="E290" s="144"/>
      <c r="F290" s="144"/>
      <c r="G290" s="144"/>
      <c r="H290" s="371"/>
      <c r="I290" s="372"/>
      <c r="J290" s="144"/>
      <c r="K290" s="144"/>
      <c r="L290" s="144"/>
      <c r="M290" s="371"/>
      <c r="N290" s="372"/>
      <c r="O290" s="31"/>
      <c r="P290" s="31"/>
      <c r="Q290" s="31"/>
      <c r="R290" s="368"/>
      <c r="S290" s="365"/>
      <c r="T290" s="31"/>
      <c r="U290" s="31"/>
      <c r="V290" s="31"/>
      <c r="W290" s="368"/>
      <c r="X290" s="365"/>
      <c r="Y290" s="31"/>
      <c r="Z290" s="31"/>
      <c r="AA290" s="31"/>
      <c r="AB290" s="368"/>
    </row>
    <row r="291" spans="1:28" ht="18" customHeight="1" x14ac:dyDescent="0.2">
      <c r="A291" s="375"/>
      <c r="B291" s="117" t="s">
        <v>799</v>
      </c>
      <c r="C291" s="371"/>
      <c r="D291" s="372"/>
      <c r="E291" s="144"/>
      <c r="F291" s="144"/>
      <c r="G291" s="144"/>
      <c r="H291" s="371"/>
      <c r="I291" s="372"/>
      <c r="J291" s="144"/>
      <c r="K291" s="144"/>
      <c r="L291" s="144"/>
      <c r="M291" s="371"/>
      <c r="N291" s="372"/>
      <c r="O291" s="31"/>
      <c r="P291" s="31"/>
      <c r="Q291" s="31"/>
      <c r="R291" s="368"/>
      <c r="S291" s="365"/>
      <c r="T291" s="31"/>
      <c r="U291" s="31"/>
      <c r="V291" s="31"/>
      <c r="W291" s="368"/>
      <c r="X291" s="365"/>
      <c r="Y291" s="31"/>
      <c r="Z291" s="31"/>
      <c r="AA291" s="31"/>
      <c r="AB291" s="368"/>
    </row>
    <row r="292" spans="1:28" ht="18" customHeight="1" x14ac:dyDescent="0.2">
      <c r="A292" s="375"/>
      <c r="B292" s="117" t="s">
        <v>800</v>
      </c>
      <c r="C292" s="371"/>
      <c r="D292" s="372"/>
      <c r="E292" s="144"/>
      <c r="F292" s="144"/>
      <c r="G292" s="144"/>
      <c r="H292" s="371"/>
      <c r="I292" s="372"/>
      <c r="J292" s="144"/>
      <c r="K292" s="144"/>
      <c r="L292" s="144"/>
      <c r="M292" s="371"/>
      <c r="N292" s="372"/>
      <c r="O292" s="31"/>
      <c r="P292" s="31"/>
      <c r="Q292" s="31"/>
      <c r="R292" s="368"/>
      <c r="S292" s="365"/>
      <c r="T292" s="31"/>
      <c r="U292" s="31"/>
      <c r="V292" s="31"/>
      <c r="W292" s="368"/>
      <c r="X292" s="365"/>
      <c r="Y292" s="31"/>
      <c r="Z292" s="31"/>
      <c r="AA292" s="31"/>
      <c r="AB292" s="368"/>
    </row>
    <row r="293" spans="1:28" ht="18" customHeight="1" x14ac:dyDescent="0.2">
      <c r="A293" s="375"/>
      <c r="B293" s="117" t="s">
        <v>766</v>
      </c>
      <c r="C293" s="371"/>
      <c r="D293" s="372"/>
      <c r="E293" s="144"/>
      <c r="F293" s="144"/>
      <c r="G293" s="144"/>
      <c r="H293" s="371"/>
      <c r="I293" s="372"/>
      <c r="J293" s="144"/>
      <c r="K293" s="144"/>
      <c r="L293" s="144"/>
      <c r="M293" s="371"/>
      <c r="N293" s="372"/>
      <c r="O293" s="31"/>
      <c r="P293" s="31"/>
      <c r="Q293" s="31"/>
      <c r="R293" s="368"/>
      <c r="S293" s="365"/>
      <c r="T293" s="31"/>
      <c r="U293" s="31"/>
      <c r="V293" s="31"/>
      <c r="W293" s="368"/>
      <c r="X293" s="365"/>
      <c r="Y293" s="31"/>
      <c r="Z293" s="31"/>
      <c r="AA293" s="31"/>
      <c r="AB293" s="368"/>
    </row>
    <row r="294" spans="1:28" ht="18" customHeight="1" x14ac:dyDescent="0.2">
      <c r="A294" s="375"/>
      <c r="B294" s="117" t="s">
        <v>801</v>
      </c>
      <c r="C294" s="371"/>
      <c r="D294" s="372"/>
      <c r="E294" s="144"/>
      <c r="F294" s="144"/>
      <c r="G294" s="144"/>
      <c r="H294" s="371"/>
      <c r="I294" s="372"/>
      <c r="J294" s="144"/>
      <c r="K294" s="144"/>
      <c r="L294" s="144"/>
      <c r="M294" s="371"/>
      <c r="N294" s="372"/>
      <c r="O294" s="31"/>
      <c r="P294" s="31"/>
      <c r="Q294" s="31"/>
      <c r="R294" s="368"/>
      <c r="S294" s="365"/>
      <c r="T294" s="31"/>
      <c r="U294" s="31"/>
      <c r="V294" s="31"/>
      <c r="W294" s="368"/>
      <c r="X294" s="365"/>
      <c r="Y294" s="31"/>
      <c r="Z294" s="31"/>
      <c r="AA294" s="31"/>
      <c r="AB294" s="368"/>
    </row>
    <row r="295" spans="1:28" ht="18" customHeight="1" x14ac:dyDescent="0.2">
      <c r="A295" s="375"/>
      <c r="B295" s="117" t="s">
        <v>802</v>
      </c>
      <c r="C295" s="371"/>
      <c r="D295" s="372"/>
      <c r="E295" s="144"/>
      <c r="F295" s="144"/>
      <c r="G295" s="144"/>
      <c r="H295" s="371"/>
      <c r="I295" s="372"/>
      <c r="J295" s="144"/>
      <c r="K295" s="144"/>
      <c r="L295" s="144"/>
      <c r="M295" s="371"/>
      <c r="N295" s="372"/>
      <c r="O295" s="31"/>
      <c r="P295" s="31"/>
      <c r="Q295" s="31"/>
      <c r="R295" s="368"/>
      <c r="S295" s="365"/>
      <c r="T295" s="31"/>
      <c r="U295" s="31"/>
      <c r="V295" s="31"/>
      <c r="W295" s="368"/>
      <c r="X295" s="365"/>
      <c r="Y295" s="31"/>
      <c r="Z295" s="31"/>
      <c r="AA295" s="31"/>
      <c r="AB295" s="368"/>
    </row>
    <row r="296" spans="1:28" ht="18" customHeight="1" x14ac:dyDescent="0.2">
      <c r="A296" s="375"/>
      <c r="B296" s="117" t="s">
        <v>836</v>
      </c>
      <c r="C296" s="371"/>
      <c r="D296" s="372"/>
      <c r="E296" s="144"/>
      <c r="F296" s="144"/>
      <c r="G296" s="144"/>
      <c r="H296" s="371"/>
      <c r="I296" s="372"/>
      <c r="J296" s="144"/>
      <c r="K296" s="144"/>
      <c r="L296" s="144"/>
      <c r="M296" s="371"/>
      <c r="N296" s="372"/>
      <c r="O296" s="31"/>
      <c r="P296" s="31"/>
      <c r="Q296" s="31"/>
      <c r="R296" s="368"/>
      <c r="S296" s="365"/>
      <c r="T296" s="31"/>
      <c r="U296" s="31"/>
      <c r="V296" s="31"/>
      <c r="W296" s="368"/>
      <c r="X296" s="365"/>
      <c r="Y296" s="31"/>
      <c r="Z296" s="31"/>
      <c r="AA296" s="31"/>
      <c r="AB296" s="368"/>
    </row>
    <row r="297" spans="1:28" ht="18" customHeight="1" x14ac:dyDescent="0.2">
      <c r="A297" s="375"/>
      <c r="B297" s="117" t="s">
        <v>803</v>
      </c>
      <c r="C297" s="371"/>
      <c r="D297" s="372"/>
      <c r="E297" s="144"/>
      <c r="F297" s="144"/>
      <c r="G297" s="144"/>
      <c r="H297" s="371"/>
      <c r="I297" s="372"/>
      <c r="J297" s="144"/>
      <c r="K297" s="144"/>
      <c r="L297" s="144"/>
      <c r="M297" s="371"/>
      <c r="N297" s="372"/>
      <c r="O297" s="31"/>
      <c r="P297" s="31"/>
      <c r="Q297" s="31"/>
      <c r="R297" s="368"/>
      <c r="S297" s="365"/>
      <c r="T297" s="31"/>
      <c r="U297" s="31"/>
      <c r="V297" s="31"/>
      <c r="W297" s="368"/>
      <c r="X297" s="365"/>
      <c r="Y297" s="31"/>
      <c r="Z297" s="31"/>
      <c r="AA297" s="31"/>
      <c r="AB297" s="368"/>
    </row>
    <row r="298" spans="1:28" ht="18" customHeight="1" x14ac:dyDescent="0.2">
      <c r="A298" s="375"/>
      <c r="B298" s="117" t="s">
        <v>804</v>
      </c>
      <c r="C298" s="371"/>
      <c r="D298" s="372"/>
      <c r="E298" s="144"/>
      <c r="F298" s="144"/>
      <c r="G298" s="144"/>
      <c r="H298" s="371"/>
      <c r="I298" s="372"/>
      <c r="J298" s="144"/>
      <c r="K298" s="144"/>
      <c r="L298" s="144"/>
      <c r="M298" s="371"/>
      <c r="N298" s="372"/>
      <c r="O298" s="31"/>
      <c r="P298" s="31"/>
      <c r="Q298" s="31"/>
      <c r="R298" s="368"/>
      <c r="S298" s="365"/>
      <c r="T298" s="31"/>
      <c r="U298" s="31"/>
      <c r="V298" s="31"/>
      <c r="W298" s="368"/>
      <c r="X298" s="365"/>
      <c r="Y298" s="31"/>
      <c r="Z298" s="31"/>
      <c r="AA298" s="31"/>
      <c r="AB298" s="368"/>
    </row>
    <row r="299" spans="1:28" ht="17.25" customHeight="1" x14ac:dyDescent="0.2">
      <c r="A299" s="375"/>
      <c r="B299" s="117" t="s">
        <v>835</v>
      </c>
      <c r="C299" s="371"/>
      <c r="D299" s="372"/>
      <c r="E299" s="144"/>
      <c r="F299" s="144"/>
      <c r="G299" s="144"/>
      <c r="H299" s="371"/>
      <c r="I299" s="372"/>
      <c r="J299" s="144"/>
      <c r="K299" s="144"/>
      <c r="L299" s="144"/>
      <c r="M299" s="371"/>
      <c r="N299" s="372"/>
      <c r="O299" s="31"/>
      <c r="P299" s="31"/>
      <c r="Q299" s="31"/>
      <c r="R299" s="368"/>
      <c r="S299" s="365"/>
      <c r="T299" s="31"/>
      <c r="U299" s="31"/>
      <c r="V299" s="31"/>
      <c r="W299" s="368"/>
      <c r="X299" s="365"/>
      <c r="Y299" s="31"/>
      <c r="Z299" s="31"/>
      <c r="AA299" s="31"/>
      <c r="AB299" s="368"/>
    </row>
    <row r="300" spans="1:28" ht="18" customHeight="1" x14ac:dyDescent="0.2">
      <c r="A300" s="380"/>
      <c r="B300" s="116" t="s">
        <v>139</v>
      </c>
      <c r="C300" s="371"/>
      <c r="D300" s="372"/>
      <c r="E300" s="144"/>
      <c r="F300" s="144"/>
      <c r="G300" s="144"/>
      <c r="H300" s="371"/>
      <c r="I300" s="372"/>
      <c r="J300" s="144"/>
      <c r="K300" s="144"/>
      <c r="L300" s="144"/>
      <c r="M300" s="371"/>
      <c r="N300" s="372"/>
      <c r="O300" s="31"/>
      <c r="P300" s="31"/>
      <c r="Q300" s="31"/>
      <c r="R300" s="368"/>
      <c r="S300" s="365"/>
      <c r="T300" s="31"/>
      <c r="U300" s="31"/>
      <c r="V300" s="31"/>
      <c r="W300" s="368"/>
      <c r="X300" s="365"/>
      <c r="Y300" s="31"/>
      <c r="Z300" s="31"/>
      <c r="AA300" s="31"/>
      <c r="AB300" s="368"/>
    </row>
    <row r="301" spans="1:28" ht="18" customHeight="1" x14ac:dyDescent="0.2">
      <c r="A301" s="375"/>
      <c r="B301" s="117" t="s">
        <v>837</v>
      </c>
      <c r="C301" s="371"/>
      <c r="D301" s="372"/>
      <c r="E301" s="144"/>
      <c r="F301" s="144"/>
      <c r="G301" s="144"/>
      <c r="H301" s="371"/>
      <c r="I301" s="372"/>
      <c r="J301" s="144"/>
      <c r="K301" s="144"/>
      <c r="L301" s="144"/>
      <c r="M301" s="371"/>
      <c r="N301" s="372"/>
      <c r="O301" s="31"/>
      <c r="P301" s="31"/>
      <c r="Q301" s="31"/>
      <c r="R301" s="368"/>
      <c r="S301" s="365"/>
      <c r="T301" s="31"/>
      <c r="U301" s="31"/>
      <c r="V301" s="31"/>
      <c r="W301" s="368"/>
      <c r="X301" s="365"/>
      <c r="Y301" s="31"/>
      <c r="Z301" s="31"/>
      <c r="AA301" s="31"/>
      <c r="AB301" s="368"/>
    </row>
    <row r="302" spans="1:28" ht="18" customHeight="1" x14ac:dyDescent="0.2">
      <c r="A302" s="375"/>
      <c r="B302" s="117" t="s">
        <v>838</v>
      </c>
      <c r="C302" s="371"/>
      <c r="D302" s="372"/>
      <c r="E302" s="144"/>
      <c r="F302" s="144"/>
      <c r="G302" s="144"/>
      <c r="H302" s="371"/>
      <c r="I302" s="372"/>
      <c r="J302" s="144"/>
      <c r="K302" s="144"/>
      <c r="L302" s="144"/>
      <c r="M302" s="371"/>
      <c r="N302" s="372"/>
      <c r="O302" s="31"/>
      <c r="P302" s="31"/>
      <c r="Q302" s="31"/>
      <c r="R302" s="368"/>
      <c r="S302" s="365"/>
      <c r="T302" s="31"/>
      <c r="U302" s="31"/>
      <c r="V302" s="31"/>
      <c r="W302" s="368"/>
      <c r="X302" s="365"/>
      <c r="Y302" s="31"/>
      <c r="Z302" s="31"/>
      <c r="AA302" s="31"/>
      <c r="AB302" s="368"/>
    </row>
    <row r="303" spans="1:28" ht="18" customHeight="1" x14ac:dyDescent="0.2">
      <c r="A303" s="375"/>
      <c r="B303" s="117" t="s">
        <v>805</v>
      </c>
      <c r="C303" s="371"/>
      <c r="D303" s="372"/>
      <c r="E303" s="144"/>
      <c r="F303" s="144"/>
      <c r="G303" s="144"/>
      <c r="H303" s="371"/>
      <c r="I303" s="372"/>
      <c r="J303" s="144"/>
      <c r="K303" s="144"/>
      <c r="L303" s="144"/>
      <c r="M303" s="371"/>
      <c r="N303" s="372"/>
      <c r="O303" s="31"/>
      <c r="P303" s="31"/>
      <c r="Q303" s="31"/>
      <c r="R303" s="368"/>
      <c r="S303" s="365"/>
      <c r="T303" s="31"/>
      <c r="U303" s="31"/>
      <c r="V303" s="31"/>
      <c r="W303" s="368"/>
      <c r="X303" s="365"/>
      <c r="Y303" s="31"/>
      <c r="Z303" s="31"/>
      <c r="AA303" s="31"/>
      <c r="AB303" s="368"/>
    </row>
    <row r="304" spans="1:28" ht="18" customHeight="1" x14ac:dyDescent="0.2">
      <c r="A304" s="375"/>
      <c r="B304" s="117" t="s">
        <v>806</v>
      </c>
      <c r="C304" s="371"/>
      <c r="D304" s="372"/>
      <c r="E304" s="144"/>
      <c r="F304" s="144"/>
      <c r="G304" s="144"/>
      <c r="H304" s="371"/>
      <c r="I304" s="372"/>
      <c r="J304" s="144"/>
      <c r="K304" s="144"/>
      <c r="L304" s="144"/>
      <c r="M304" s="371"/>
      <c r="N304" s="372"/>
      <c r="O304" s="31"/>
      <c r="P304" s="31"/>
      <c r="Q304" s="31"/>
      <c r="R304" s="368"/>
      <c r="S304" s="365"/>
      <c r="T304" s="31"/>
      <c r="U304" s="31"/>
      <c r="V304" s="31"/>
      <c r="W304" s="368"/>
      <c r="X304" s="365"/>
      <c r="Y304" s="31"/>
      <c r="Z304" s="31"/>
      <c r="AA304" s="31"/>
      <c r="AB304" s="368"/>
    </row>
    <row r="305" spans="1:28" ht="18" customHeight="1" x14ac:dyDescent="0.2">
      <c r="A305" s="375"/>
      <c r="B305" s="117" t="s">
        <v>807</v>
      </c>
      <c r="C305" s="371"/>
      <c r="D305" s="372"/>
      <c r="E305" s="144"/>
      <c r="F305" s="144"/>
      <c r="G305" s="144"/>
      <c r="H305" s="371"/>
      <c r="I305" s="372"/>
      <c r="J305" s="144"/>
      <c r="K305" s="144"/>
      <c r="L305" s="144"/>
      <c r="M305" s="371"/>
      <c r="N305" s="372"/>
      <c r="O305" s="31"/>
      <c r="P305" s="31"/>
      <c r="Q305" s="31"/>
      <c r="R305" s="368"/>
      <c r="S305" s="365"/>
      <c r="T305" s="31"/>
      <c r="U305" s="31"/>
      <c r="V305" s="31"/>
      <c r="W305" s="368"/>
      <c r="X305" s="365"/>
      <c r="Y305" s="31"/>
      <c r="Z305" s="31"/>
      <c r="AA305" s="31"/>
      <c r="AB305" s="368"/>
    </row>
    <row r="306" spans="1:28" ht="18" customHeight="1" x14ac:dyDescent="0.2">
      <c r="A306" s="375"/>
      <c r="B306" s="117" t="s">
        <v>808</v>
      </c>
      <c r="C306" s="371"/>
      <c r="D306" s="372"/>
      <c r="E306" s="144"/>
      <c r="F306" s="144"/>
      <c r="G306" s="144"/>
      <c r="H306" s="371"/>
      <c r="I306" s="372"/>
      <c r="J306" s="144"/>
      <c r="K306" s="144"/>
      <c r="L306" s="144"/>
      <c r="M306" s="371"/>
      <c r="N306" s="372"/>
      <c r="O306" s="31"/>
      <c r="P306" s="31"/>
      <c r="Q306" s="31"/>
      <c r="R306" s="368"/>
      <c r="S306" s="365"/>
      <c r="T306" s="31"/>
      <c r="U306" s="31"/>
      <c r="V306" s="31"/>
      <c r="W306" s="368"/>
      <c r="X306" s="365"/>
      <c r="Y306" s="31"/>
      <c r="Z306" s="31"/>
      <c r="AA306" s="31"/>
      <c r="AB306" s="368"/>
    </row>
    <row r="307" spans="1:28" ht="22.5" customHeight="1" x14ac:dyDescent="0.2">
      <c r="A307" s="375"/>
      <c r="B307" s="117" t="s">
        <v>809</v>
      </c>
      <c r="C307" s="371"/>
      <c r="D307" s="372"/>
      <c r="E307" s="144"/>
      <c r="F307" s="144"/>
      <c r="G307" s="144"/>
      <c r="H307" s="371"/>
      <c r="I307" s="372"/>
      <c r="J307" s="144"/>
      <c r="K307" s="144"/>
      <c r="L307" s="144"/>
      <c r="M307" s="371"/>
      <c r="N307" s="372"/>
      <c r="O307" s="31"/>
      <c r="P307" s="31"/>
      <c r="Q307" s="31"/>
      <c r="R307" s="368"/>
      <c r="S307" s="365"/>
      <c r="T307" s="31"/>
      <c r="U307" s="31"/>
      <c r="V307" s="31"/>
      <c r="W307" s="368"/>
      <c r="X307" s="365"/>
      <c r="Y307" s="31"/>
      <c r="Z307" s="31"/>
      <c r="AA307" s="31"/>
      <c r="AB307" s="368"/>
    </row>
    <row r="308" spans="1:28" ht="18" customHeight="1" x14ac:dyDescent="0.2">
      <c r="A308" s="375"/>
      <c r="B308" s="117" t="s">
        <v>810</v>
      </c>
      <c r="C308" s="371"/>
      <c r="D308" s="372"/>
      <c r="E308" s="144"/>
      <c r="F308" s="144"/>
      <c r="G308" s="144"/>
      <c r="H308" s="371"/>
      <c r="I308" s="372"/>
      <c r="J308" s="144"/>
      <c r="K308" s="144"/>
      <c r="L308" s="144"/>
      <c r="M308" s="371"/>
      <c r="N308" s="372"/>
      <c r="O308" s="31"/>
      <c r="P308" s="31"/>
      <c r="Q308" s="31"/>
      <c r="R308" s="368"/>
      <c r="S308" s="365"/>
      <c r="T308" s="31"/>
      <c r="U308" s="31"/>
      <c r="V308" s="31"/>
      <c r="W308" s="368"/>
      <c r="X308" s="365"/>
      <c r="Y308" s="31"/>
      <c r="Z308" s="31"/>
      <c r="AA308" s="31"/>
      <c r="AB308" s="368"/>
    </row>
    <row r="309" spans="1:28" ht="18" customHeight="1" x14ac:dyDescent="0.2">
      <c r="A309" s="375"/>
      <c r="B309" s="117" t="s">
        <v>811</v>
      </c>
      <c r="C309" s="371"/>
      <c r="D309" s="372"/>
      <c r="E309" s="144"/>
      <c r="F309" s="144"/>
      <c r="G309" s="144"/>
      <c r="H309" s="371"/>
      <c r="I309" s="372"/>
      <c r="J309" s="144"/>
      <c r="K309" s="144"/>
      <c r="L309" s="144"/>
      <c r="M309" s="371"/>
      <c r="N309" s="372"/>
      <c r="O309" s="31"/>
      <c r="P309" s="31"/>
      <c r="Q309" s="31"/>
      <c r="R309" s="368"/>
      <c r="S309" s="365"/>
      <c r="T309" s="31"/>
      <c r="U309" s="31"/>
      <c r="V309" s="31"/>
      <c r="W309" s="368"/>
      <c r="X309" s="365"/>
      <c r="Y309" s="31"/>
      <c r="Z309" s="31"/>
      <c r="AA309" s="31"/>
      <c r="AB309" s="368"/>
    </row>
    <row r="310" spans="1:28" ht="18" customHeight="1" x14ac:dyDescent="0.2">
      <c r="A310" s="375"/>
      <c r="B310" s="117" t="s">
        <v>812</v>
      </c>
      <c r="C310" s="371"/>
      <c r="D310" s="372"/>
      <c r="E310" s="144"/>
      <c r="F310" s="144"/>
      <c r="G310" s="144"/>
      <c r="H310" s="371"/>
      <c r="I310" s="372"/>
      <c r="J310" s="144"/>
      <c r="K310" s="144"/>
      <c r="L310" s="144"/>
      <c r="M310" s="371"/>
      <c r="N310" s="372"/>
      <c r="O310" s="31"/>
      <c r="P310" s="31"/>
      <c r="Q310" s="31"/>
      <c r="R310" s="368"/>
      <c r="S310" s="365"/>
      <c r="T310" s="31"/>
      <c r="U310" s="31"/>
      <c r="V310" s="31"/>
      <c r="W310" s="368"/>
      <c r="X310" s="365"/>
      <c r="Y310" s="31"/>
      <c r="Z310" s="31"/>
      <c r="AA310" s="31"/>
      <c r="AB310" s="368"/>
    </row>
    <row r="311" spans="1:28" ht="18" customHeight="1" x14ac:dyDescent="0.2">
      <c r="A311" s="375"/>
      <c r="B311" s="117" t="s">
        <v>813</v>
      </c>
      <c r="C311" s="371"/>
      <c r="D311" s="372"/>
      <c r="E311" s="144"/>
      <c r="F311" s="144"/>
      <c r="G311" s="144"/>
      <c r="H311" s="371"/>
      <c r="I311" s="372"/>
      <c r="J311" s="144"/>
      <c r="K311" s="144"/>
      <c r="L311" s="144"/>
      <c r="M311" s="371"/>
      <c r="N311" s="372"/>
      <c r="O311" s="31"/>
      <c r="P311" s="31"/>
      <c r="Q311" s="31"/>
      <c r="R311" s="368"/>
      <c r="S311" s="365"/>
      <c r="T311" s="31"/>
      <c r="U311" s="31"/>
      <c r="V311" s="31"/>
      <c r="W311" s="368"/>
      <c r="X311" s="365"/>
      <c r="Y311" s="31"/>
      <c r="Z311" s="31"/>
      <c r="AA311" s="31"/>
      <c r="AB311" s="368"/>
    </row>
    <row r="312" spans="1:28" ht="18" customHeight="1" x14ac:dyDescent="0.2">
      <c r="A312" s="375"/>
      <c r="B312" s="117" t="s">
        <v>814</v>
      </c>
      <c r="C312" s="371"/>
      <c r="D312" s="372"/>
      <c r="E312" s="144"/>
      <c r="F312" s="144"/>
      <c r="G312" s="144"/>
      <c r="H312" s="371"/>
      <c r="I312" s="372"/>
      <c r="J312" s="144"/>
      <c r="K312" s="144"/>
      <c r="L312" s="144"/>
      <c r="M312" s="371"/>
      <c r="N312" s="372"/>
      <c r="O312" s="31"/>
      <c r="P312" s="31"/>
      <c r="Q312" s="31"/>
      <c r="R312" s="368"/>
      <c r="S312" s="365"/>
      <c r="T312" s="31"/>
      <c r="U312" s="31"/>
      <c r="V312" s="31"/>
      <c r="W312" s="368"/>
      <c r="X312" s="365"/>
      <c r="Y312" s="31"/>
      <c r="Z312" s="31"/>
      <c r="AA312" s="31"/>
      <c r="AB312" s="368"/>
    </row>
    <row r="313" spans="1:28" ht="18" customHeight="1" x14ac:dyDescent="0.2">
      <c r="A313" s="375"/>
      <c r="B313" s="117" t="s">
        <v>815</v>
      </c>
      <c r="C313" s="371"/>
      <c r="D313" s="372"/>
      <c r="E313" s="144"/>
      <c r="F313" s="144"/>
      <c r="G313" s="144"/>
      <c r="H313" s="371"/>
      <c r="I313" s="372"/>
      <c r="J313" s="144"/>
      <c r="K313" s="144"/>
      <c r="L313" s="144"/>
      <c r="M313" s="371"/>
      <c r="N313" s="372"/>
      <c r="O313" s="31"/>
      <c r="P313" s="31"/>
      <c r="Q313" s="31"/>
      <c r="R313" s="368"/>
      <c r="S313" s="365"/>
      <c r="T313" s="31"/>
      <c r="U313" s="31"/>
      <c r="V313" s="31"/>
      <c r="W313" s="368"/>
      <c r="X313" s="365"/>
      <c r="Y313" s="31"/>
      <c r="Z313" s="31"/>
      <c r="AA313" s="31"/>
      <c r="AB313" s="368"/>
    </row>
    <row r="314" spans="1:28" ht="18" customHeight="1" x14ac:dyDescent="0.2">
      <c r="A314" s="375"/>
      <c r="B314" s="117" t="s">
        <v>816</v>
      </c>
      <c r="C314" s="371"/>
      <c r="D314" s="372"/>
      <c r="E314" s="144"/>
      <c r="F314" s="144"/>
      <c r="G314" s="144"/>
      <c r="H314" s="371"/>
      <c r="I314" s="372"/>
      <c r="J314" s="144"/>
      <c r="K314" s="144"/>
      <c r="L314" s="144"/>
      <c r="M314" s="371"/>
      <c r="N314" s="372"/>
      <c r="O314" s="31"/>
      <c r="P314" s="31"/>
      <c r="Q314" s="31"/>
      <c r="R314" s="368"/>
      <c r="S314" s="365"/>
      <c r="T314" s="31"/>
      <c r="U314" s="31"/>
      <c r="V314" s="31"/>
      <c r="W314" s="368"/>
      <c r="X314" s="365"/>
      <c r="Y314" s="31"/>
      <c r="Z314" s="31"/>
      <c r="AA314" s="31"/>
      <c r="AB314" s="368"/>
    </row>
    <row r="315" spans="1:28" ht="18" customHeight="1" x14ac:dyDescent="0.2">
      <c r="A315" s="375"/>
      <c r="B315" s="117" t="s">
        <v>817</v>
      </c>
      <c r="C315" s="371"/>
      <c r="D315" s="372"/>
      <c r="E315" s="144"/>
      <c r="F315" s="144"/>
      <c r="G315" s="144"/>
      <c r="H315" s="371"/>
      <c r="I315" s="372"/>
      <c r="J315" s="144"/>
      <c r="K315" s="144"/>
      <c r="L315" s="144"/>
      <c r="M315" s="371"/>
      <c r="N315" s="372"/>
      <c r="O315" s="31"/>
      <c r="P315" s="31"/>
      <c r="Q315" s="31"/>
      <c r="R315" s="368"/>
      <c r="S315" s="365"/>
      <c r="T315" s="31"/>
      <c r="U315" s="31"/>
      <c r="V315" s="31"/>
      <c r="W315" s="368"/>
      <c r="X315" s="365"/>
      <c r="Y315" s="31"/>
      <c r="Z315" s="31"/>
      <c r="AA315" s="31"/>
      <c r="AB315" s="368"/>
    </row>
    <row r="316" spans="1:28" ht="16.149999999999999" customHeight="1" x14ac:dyDescent="0.2">
      <c r="A316" s="375"/>
      <c r="B316" s="117" t="s">
        <v>818</v>
      </c>
      <c r="C316" s="371"/>
      <c r="D316" s="372"/>
      <c r="E316" s="144"/>
      <c r="F316" s="144"/>
      <c r="G316" s="144"/>
      <c r="H316" s="371"/>
      <c r="I316" s="372"/>
      <c r="J316" s="144"/>
      <c r="K316" s="144"/>
      <c r="L316" s="144"/>
      <c r="M316" s="371"/>
      <c r="N316" s="372"/>
      <c r="O316" s="31"/>
      <c r="P316" s="31"/>
      <c r="Q316" s="31"/>
      <c r="R316" s="368"/>
      <c r="S316" s="365"/>
      <c r="T316" s="31"/>
      <c r="U316" s="31"/>
      <c r="V316" s="31"/>
      <c r="W316" s="368"/>
      <c r="X316" s="365"/>
      <c r="Y316" s="31"/>
      <c r="Z316" s="31"/>
      <c r="AA316" s="31"/>
      <c r="AB316" s="368"/>
    </row>
    <row r="317" spans="1:28" ht="16.149999999999999" customHeight="1" x14ac:dyDescent="0.2">
      <c r="A317" s="375"/>
      <c r="B317" s="117" t="s">
        <v>819</v>
      </c>
      <c r="C317" s="371"/>
      <c r="D317" s="372"/>
      <c r="E317" s="144"/>
      <c r="F317" s="144"/>
      <c r="G317" s="144"/>
      <c r="H317" s="371"/>
      <c r="I317" s="372"/>
      <c r="J317" s="144"/>
      <c r="K317" s="144"/>
      <c r="L317" s="144"/>
      <c r="M317" s="371"/>
      <c r="N317" s="372"/>
      <c r="O317" s="31"/>
      <c r="P317" s="31"/>
      <c r="Q317" s="31"/>
      <c r="R317" s="368"/>
      <c r="S317" s="365"/>
      <c r="T317" s="31"/>
      <c r="U317" s="31"/>
      <c r="V317" s="31"/>
      <c r="W317" s="368"/>
      <c r="X317" s="365"/>
      <c r="Y317" s="31"/>
      <c r="Z317" s="31"/>
      <c r="AA317" s="31"/>
      <c r="AB317" s="368"/>
    </row>
    <row r="318" spans="1:28" ht="16.149999999999999" customHeight="1" x14ac:dyDescent="0.2">
      <c r="A318" s="375"/>
      <c r="B318" s="117" t="s">
        <v>820</v>
      </c>
      <c r="C318" s="371"/>
      <c r="D318" s="372"/>
      <c r="E318" s="144"/>
      <c r="F318" s="144"/>
      <c r="G318" s="144"/>
      <c r="H318" s="371"/>
      <c r="I318" s="372"/>
      <c r="J318" s="144"/>
      <c r="K318" s="144"/>
      <c r="L318" s="144"/>
      <c r="M318" s="371"/>
      <c r="N318" s="372"/>
      <c r="O318" s="31"/>
      <c r="P318" s="31"/>
      <c r="Q318" s="31"/>
      <c r="R318" s="368"/>
      <c r="S318" s="365"/>
      <c r="T318" s="31"/>
      <c r="U318" s="31"/>
      <c r="V318" s="31"/>
      <c r="W318" s="368"/>
      <c r="X318" s="365"/>
      <c r="Y318" s="31"/>
      <c r="Z318" s="31"/>
      <c r="AA318" s="31"/>
      <c r="AB318" s="368"/>
    </row>
    <row r="319" spans="1:28" ht="16.149999999999999" customHeight="1" x14ac:dyDescent="0.2">
      <c r="A319" s="375"/>
      <c r="B319" s="117" t="s">
        <v>821</v>
      </c>
      <c r="C319" s="371"/>
      <c r="D319" s="372"/>
      <c r="E319" s="144"/>
      <c r="F319" s="144"/>
      <c r="G319" s="144"/>
      <c r="H319" s="371"/>
      <c r="I319" s="372"/>
      <c r="J319" s="144"/>
      <c r="K319" s="144"/>
      <c r="L319" s="144"/>
      <c r="M319" s="371"/>
      <c r="N319" s="372"/>
      <c r="O319" s="31"/>
      <c r="P319" s="31"/>
      <c r="Q319" s="31"/>
      <c r="R319" s="368"/>
      <c r="S319" s="365"/>
      <c r="T319" s="31"/>
      <c r="U319" s="31"/>
      <c r="V319" s="31"/>
      <c r="W319" s="368"/>
      <c r="X319" s="365"/>
      <c r="Y319" s="31"/>
      <c r="Z319" s="31"/>
      <c r="AA319" s="31"/>
      <c r="AB319" s="368"/>
    </row>
    <row r="320" spans="1:28" ht="16.149999999999999" customHeight="1" x14ac:dyDescent="0.2">
      <c r="A320" s="375"/>
      <c r="B320" s="117" t="s">
        <v>822</v>
      </c>
      <c r="C320" s="371"/>
      <c r="D320" s="372"/>
      <c r="E320" s="144"/>
      <c r="F320" s="144"/>
      <c r="G320" s="144"/>
      <c r="H320" s="371"/>
      <c r="I320" s="372"/>
      <c r="J320" s="144"/>
      <c r="K320" s="144"/>
      <c r="L320" s="144"/>
      <c r="M320" s="371"/>
      <c r="N320" s="372"/>
      <c r="O320" s="31"/>
      <c r="P320" s="31"/>
      <c r="Q320" s="31"/>
      <c r="R320" s="368"/>
      <c r="S320" s="365"/>
      <c r="T320" s="31"/>
      <c r="U320" s="31"/>
      <c r="V320" s="31"/>
      <c r="W320" s="368"/>
      <c r="X320" s="365"/>
      <c r="Y320" s="31"/>
      <c r="Z320" s="31"/>
      <c r="AA320" s="31"/>
      <c r="AB320" s="368"/>
    </row>
    <row r="321" spans="1:28" ht="16.149999999999999" customHeight="1" x14ac:dyDescent="0.2">
      <c r="A321" s="375"/>
      <c r="B321" s="117" t="s">
        <v>823</v>
      </c>
      <c r="C321" s="371"/>
      <c r="D321" s="372"/>
      <c r="E321" s="144"/>
      <c r="F321" s="144"/>
      <c r="G321" s="144"/>
      <c r="H321" s="371"/>
      <c r="I321" s="372"/>
      <c r="J321" s="144"/>
      <c r="K321" s="144"/>
      <c r="L321" s="144"/>
      <c r="M321" s="371"/>
      <c r="N321" s="372"/>
      <c r="O321" s="31"/>
      <c r="P321" s="31"/>
      <c r="Q321" s="31"/>
      <c r="R321" s="368"/>
      <c r="S321" s="365"/>
      <c r="T321" s="31"/>
      <c r="U321" s="31"/>
      <c r="V321" s="31"/>
      <c r="W321" s="368"/>
      <c r="X321" s="365"/>
      <c r="Y321" s="31"/>
      <c r="Z321" s="31"/>
      <c r="AA321" s="31"/>
      <c r="AB321" s="368"/>
    </row>
    <row r="322" spans="1:28" ht="16.149999999999999" customHeight="1" x14ac:dyDescent="0.2">
      <c r="A322" s="375"/>
      <c r="B322" s="117" t="s">
        <v>824</v>
      </c>
      <c r="C322" s="371"/>
      <c r="D322" s="372"/>
      <c r="E322" s="144"/>
      <c r="F322" s="144"/>
      <c r="G322" s="144"/>
      <c r="H322" s="371"/>
      <c r="I322" s="372"/>
      <c r="J322" s="144"/>
      <c r="K322" s="144"/>
      <c r="L322" s="144"/>
      <c r="M322" s="371"/>
      <c r="N322" s="372"/>
      <c r="O322" s="31"/>
      <c r="P322" s="31"/>
      <c r="Q322" s="31"/>
      <c r="R322" s="368"/>
      <c r="S322" s="365"/>
      <c r="T322" s="31"/>
      <c r="U322" s="31"/>
      <c r="V322" s="31"/>
      <c r="W322" s="368"/>
      <c r="X322" s="365"/>
      <c r="Y322" s="31"/>
      <c r="Z322" s="31"/>
      <c r="AA322" s="31"/>
      <c r="AB322" s="368"/>
    </row>
    <row r="323" spans="1:28" ht="16.149999999999999" customHeight="1" x14ac:dyDescent="0.2">
      <c r="A323" s="375"/>
      <c r="B323" s="117" t="s">
        <v>825</v>
      </c>
      <c r="C323" s="371"/>
      <c r="D323" s="372"/>
      <c r="E323" s="144"/>
      <c r="F323" s="144"/>
      <c r="G323" s="144"/>
      <c r="H323" s="371"/>
      <c r="I323" s="372"/>
      <c r="J323" s="144"/>
      <c r="K323" s="144"/>
      <c r="L323" s="144"/>
      <c r="M323" s="371"/>
      <c r="N323" s="372"/>
      <c r="O323" s="31"/>
      <c r="P323" s="31"/>
      <c r="Q323" s="31"/>
      <c r="R323" s="368"/>
      <c r="S323" s="365"/>
      <c r="T323" s="31"/>
      <c r="U323" s="31"/>
      <c r="V323" s="31"/>
      <c r="W323" s="368"/>
      <c r="X323" s="365"/>
      <c r="Y323" s="31"/>
      <c r="Z323" s="31"/>
      <c r="AA323" s="31"/>
      <c r="AB323" s="368"/>
    </row>
    <row r="324" spans="1:28" ht="16.149999999999999" customHeight="1" x14ac:dyDescent="0.2">
      <c r="A324" s="375"/>
      <c r="B324" s="117" t="s">
        <v>826</v>
      </c>
      <c r="C324" s="371"/>
      <c r="D324" s="372"/>
      <c r="E324" s="144"/>
      <c r="F324" s="144"/>
      <c r="G324" s="144"/>
      <c r="H324" s="371"/>
      <c r="I324" s="372"/>
      <c r="J324" s="144"/>
      <c r="K324" s="144"/>
      <c r="L324" s="144"/>
      <c r="M324" s="371"/>
      <c r="N324" s="372"/>
      <c r="O324" s="31"/>
      <c r="P324" s="31"/>
      <c r="Q324" s="31"/>
      <c r="R324" s="368"/>
      <c r="S324" s="365"/>
      <c r="T324" s="31"/>
      <c r="U324" s="31"/>
      <c r="V324" s="31"/>
      <c r="W324" s="368"/>
      <c r="X324" s="365"/>
      <c r="Y324" s="31"/>
      <c r="Z324" s="31"/>
      <c r="AA324" s="31"/>
      <c r="AB324" s="368"/>
    </row>
    <row r="325" spans="1:28" ht="16.149999999999999" customHeight="1" x14ac:dyDescent="0.2">
      <c r="A325" s="375"/>
      <c r="B325" s="117" t="s">
        <v>827</v>
      </c>
      <c r="C325" s="371"/>
      <c r="D325" s="372"/>
      <c r="E325" s="144"/>
      <c r="F325" s="144"/>
      <c r="G325" s="144"/>
      <c r="H325" s="371"/>
      <c r="I325" s="372"/>
      <c r="J325" s="144"/>
      <c r="K325" s="144"/>
      <c r="L325" s="144"/>
      <c r="M325" s="371"/>
      <c r="N325" s="372"/>
      <c r="O325" s="31"/>
      <c r="P325" s="31"/>
      <c r="Q325" s="31"/>
      <c r="R325" s="368"/>
      <c r="S325" s="365"/>
      <c r="T325" s="31"/>
      <c r="U325" s="31"/>
      <c r="V325" s="31"/>
      <c r="W325" s="368"/>
      <c r="X325" s="365"/>
      <c r="Y325" s="31"/>
      <c r="Z325" s="31"/>
      <c r="AA325" s="31"/>
      <c r="AB325" s="368"/>
    </row>
    <row r="326" spans="1:28" ht="16.149999999999999" customHeight="1" x14ac:dyDescent="0.2">
      <c r="A326" s="375"/>
      <c r="B326" s="117" t="s">
        <v>846</v>
      </c>
      <c r="C326" s="371"/>
      <c r="D326" s="372"/>
      <c r="E326" s="144"/>
      <c r="F326" s="144"/>
      <c r="G326" s="144"/>
      <c r="H326" s="371"/>
      <c r="I326" s="372"/>
      <c r="J326" s="144"/>
      <c r="K326" s="144"/>
      <c r="L326" s="144"/>
      <c r="M326" s="371"/>
      <c r="N326" s="372"/>
      <c r="O326" s="31"/>
      <c r="P326" s="31"/>
      <c r="Q326" s="31"/>
      <c r="R326" s="368"/>
      <c r="S326" s="365"/>
      <c r="T326" s="31"/>
      <c r="U326" s="31"/>
      <c r="V326" s="31"/>
      <c r="W326" s="368"/>
      <c r="X326" s="365"/>
      <c r="Y326" s="31"/>
      <c r="Z326" s="31"/>
      <c r="AA326" s="31"/>
      <c r="AB326" s="368"/>
    </row>
    <row r="327" spans="1:28" ht="16.149999999999999" customHeight="1" x14ac:dyDescent="0.2">
      <c r="A327" s="375"/>
      <c r="B327" s="117" t="s">
        <v>829</v>
      </c>
      <c r="C327" s="371"/>
      <c r="D327" s="372"/>
      <c r="E327" s="144"/>
      <c r="F327" s="144"/>
      <c r="G327" s="144"/>
      <c r="H327" s="371"/>
      <c r="I327" s="372"/>
      <c r="J327" s="144"/>
      <c r="K327" s="144"/>
      <c r="L327" s="144"/>
      <c r="M327" s="371"/>
      <c r="N327" s="372"/>
      <c r="O327" s="31"/>
      <c r="P327" s="31"/>
      <c r="Q327" s="31"/>
      <c r="R327" s="368"/>
      <c r="S327" s="365"/>
      <c r="T327" s="31"/>
      <c r="U327" s="31"/>
      <c r="V327" s="31"/>
      <c r="W327" s="368"/>
      <c r="X327" s="365"/>
      <c r="Y327" s="31"/>
      <c r="Z327" s="31"/>
      <c r="AA327" s="31"/>
      <c r="AB327" s="368"/>
    </row>
    <row r="328" spans="1:28" ht="16.149999999999999" customHeight="1" x14ac:dyDescent="0.2">
      <c r="A328" s="375"/>
      <c r="B328" s="117" t="s">
        <v>844</v>
      </c>
      <c r="C328" s="371"/>
      <c r="D328" s="372"/>
      <c r="E328" s="144"/>
      <c r="F328" s="144"/>
      <c r="G328" s="144"/>
      <c r="H328" s="371"/>
      <c r="I328" s="372"/>
      <c r="J328" s="144"/>
      <c r="K328" s="144"/>
      <c r="L328" s="144"/>
      <c r="M328" s="371"/>
      <c r="N328" s="372"/>
      <c r="O328" s="31"/>
      <c r="P328" s="31"/>
      <c r="Q328" s="31"/>
      <c r="R328" s="368"/>
      <c r="S328" s="365"/>
      <c r="T328" s="31"/>
      <c r="U328" s="31"/>
      <c r="V328" s="31"/>
      <c r="W328" s="368"/>
      <c r="X328" s="365"/>
      <c r="Y328" s="31"/>
      <c r="Z328" s="31"/>
      <c r="AA328" s="31"/>
      <c r="AB328" s="368"/>
    </row>
    <row r="329" spans="1:28" ht="16.149999999999999" customHeight="1" x14ac:dyDescent="0.2">
      <c r="A329" s="375"/>
      <c r="B329" s="117" t="s">
        <v>843</v>
      </c>
      <c r="C329" s="371"/>
      <c r="D329" s="372"/>
      <c r="E329" s="144"/>
      <c r="F329" s="144"/>
      <c r="G329" s="144"/>
      <c r="H329" s="371"/>
      <c r="I329" s="372"/>
      <c r="J329" s="144"/>
      <c r="K329" s="144"/>
      <c r="L329" s="144"/>
      <c r="M329" s="371"/>
      <c r="N329" s="372"/>
      <c r="O329" s="31"/>
      <c r="P329" s="31"/>
      <c r="Q329" s="31"/>
      <c r="R329" s="368"/>
      <c r="S329" s="365"/>
      <c r="T329" s="31"/>
      <c r="U329" s="31"/>
      <c r="V329" s="31"/>
      <c r="W329" s="368"/>
      <c r="X329" s="365"/>
      <c r="Y329" s="31"/>
      <c r="Z329" s="31"/>
      <c r="AA329" s="31"/>
      <c r="AB329" s="368"/>
    </row>
    <row r="330" spans="1:28" ht="16.149999999999999" customHeight="1" x14ac:dyDescent="0.2">
      <c r="A330" s="375"/>
      <c r="B330" s="117" t="s">
        <v>830</v>
      </c>
      <c r="C330" s="371"/>
      <c r="D330" s="372"/>
      <c r="E330" s="144"/>
      <c r="F330" s="144"/>
      <c r="G330" s="144"/>
      <c r="H330" s="371"/>
      <c r="I330" s="372"/>
      <c r="J330" s="144"/>
      <c r="K330" s="144"/>
      <c r="L330" s="144"/>
      <c r="M330" s="371"/>
      <c r="N330" s="372"/>
      <c r="O330" s="31"/>
      <c r="P330" s="31"/>
      <c r="Q330" s="31"/>
      <c r="R330" s="368"/>
      <c r="S330" s="365"/>
      <c r="T330" s="31"/>
      <c r="U330" s="31"/>
      <c r="V330" s="31"/>
      <c r="W330" s="368"/>
      <c r="X330" s="365"/>
      <c r="Y330" s="31"/>
      <c r="Z330" s="31"/>
      <c r="AA330" s="31"/>
      <c r="AB330" s="368"/>
    </row>
    <row r="331" spans="1:28" ht="16.149999999999999" customHeight="1" x14ac:dyDescent="0.2">
      <c r="A331" s="375"/>
      <c r="B331" s="117" t="s">
        <v>842</v>
      </c>
      <c r="C331" s="371"/>
      <c r="D331" s="372"/>
      <c r="E331" s="144"/>
      <c r="F331" s="144"/>
      <c r="G331" s="144"/>
      <c r="H331" s="371"/>
      <c r="I331" s="372"/>
      <c r="J331" s="144"/>
      <c r="K331" s="144"/>
      <c r="L331" s="144"/>
      <c r="M331" s="371"/>
      <c r="N331" s="372"/>
      <c r="O331" s="31"/>
      <c r="P331" s="31"/>
      <c r="Q331" s="31"/>
      <c r="R331" s="368"/>
      <c r="S331" s="365"/>
      <c r="T331" s="31"/>
      <c r="U331" s="31"/>
      <c r="V331" s="31"/>
      <c r="W331" s="368"/>
      <c r="X331" s="365"/>
      <c r="Y331" s="31"/>
      <c r="Z331" s="31"/>
      <c r="AA331" s="31"/>
      <c r="AB331" s="368"/>
    </row>
    <row r="332" spans="1:28" ht="16.149999999999999" customHeight="1" x14ac:dyDescent="0.2">
      <c r="A332" s="375"/>
      <c r="B332" s="117" t="s">
        <v>841</v>
      </c>
      <c r="C332" s="371"/>
      <c r="D332" s="372"/>
      <c r="E332" s="144"/>
      <c r="F332" s="144"/>
      <c r="G332" s="144"/>
      <c r="H332" s="371"/>
      <c r="I332" s="372"/>
      <c r="J332" s="144"/>
      <c r="K332" s="144"/>
      <c r="L332" s="144"/>
      <c r="M332" s="371"/>
      <c r="N332" s="372"/>
      <c r="O332" s="31"/>
      <c r="P332" s="31"/>
      <c r="Q332" s="31"/>
      <c r="R332" s="368"/>
      <c r="S332" s="365"/>
      <c r="T332" s="31"/>
      <c r="U332" s="31"/>
      <c r="V332" s="31"/>
      <c r="W332" s="368"/>
      <c r="X332" s="365"/>
      <c r="Y332" s="31"/>
      <c r="Z332" s="31"/>
      <c r="AA332" s="31"/>
      <c r="AB332" s="368"/>
    </row>
    <row r="333" spans="1:28" ht="16.149999999999999" customHeight="1" x14ac:dyDescent="0.2">
      <c r="A333" s="375"/>
      <c r="B333" s="117" t="s">
        <v>840</v>
      </c>
      <c r="C333" s="371"/>
      <c r="D333" s="372"/>
      <c r="E333" s="144"/>
      <c r="F333" s="144"/>
      <c r="G333" s="144"/>
      <c r="H333" s="371"/>
      <c r="I333" s="372"/>
      <c r="J333" s="144"/>
      <c r="K333" s="144"/>
      <c r="L333" s="144"/>
      <c r="M333" s="371"/>
      <c r="N333" s="372"/>
      <c r="O333" s="31"/>
      <c r="P333" s="31"/>
      <c r="Q333" s="31"/>
      <c r="R333" s="368"/>
      <c r="S333" s="365"/>
      <c r="T333" s="31"/>
      <c r="U333" s="31"/>
      <c r="V333" s="31"/>
      <c r="W333" s="368"/>
      <c r="X333" s="365"/>
      <c r="Y333" s="31"/>
      <c r="Z333" s="31"/>
      <c r="AA333" s="31"/>
      <c r="AB333" s="368"/>
    </row>
    <row r="334" spans="1:28" ht="16.149999999999999" customHeight="1" x14ac:dyDescent="0.2">
      <c r="A334" s="375"/>
      <c r="B334" s="117" t="s">
        <v>831</v>
      </c>
      <c r="C334" s="371"/>
      <c r="D334" s="372"/>
      <c r="E334" s="144"/>
      <c r="F334" s="144"/>
      <c r="G334" s="144"/>
      <c r="H334" s="371"/>
      <c r="I334" s="372"/>
      <c r="J334" s="144"/>
      <c r="K334" s="144"/>
      <c r="L334" s="144"/>
      <c r="M334" s="371"/>
      <c r="N334" s="372"/>
      <c r="O334" s="31"/>
      <c r="P334" s="31"/>
      <c r="Q334" s="31"/>
      <c r="R334" s="368"/>
      <c r="S334" s="365"/>
      <c r="T334" s="31"/>
      <c r="U334" s="31"/>
      <c r="V334" s="31"/>
      <c r="W334" s="368"/>
      <c r="X334" s="365"/>
      <c r="Y334" s="31"/>
      <c r="Z334" s="31"/>
      <c r="AA334" s="31"/>
      <c r="AB334" s="368"/>
    </row>
    <row r="335" spans="1:28" ht="15" customHeight="1" x14ac:dyDescent="0.2">
      <c r="A335" s="375"/>
      <c r="B335" s="117" t="s">
        <v>832</v>
      </c>
      <c r="C335" s="371"/>
      <c r="D335" s="372"/>
      <c r="E335" s="144"/>
      <c r="F335" s="144"/>
      <c r="G335" s="144"/>
      <c r="H335" s="371"/>
      <c r="I335" s="372"/>
      <c r="J335" s="144"/>
      <c r="K335" s="144"/>
      <c r="L335" s="144"/>
      <c r="M335" s="371"/>
      <c r="N335" s="372"/>
      <c r="O335" s="31"/>
      <c r="P335" s="31"/>
      <c r="Q335" s="31"/>
      <c r="R335" s="368"/>
      <c r="S335" s="365"/>
      <c r="T335" s="31"/>
      <c r="U335" s="31"/>
      <c r="V335" s="31"/>
      <c r="W335" s="368"/>
      <c r="X335" s="365"/>
      <c r="Y335" s="31"/>
      <c r="Z335" s="31"/>
      <c r="AA335" s="31"/>
      <c r="AB335" s="368"/>
    </row>
    <row r="336" spans="1:28" ht="16.5" customHeight="1" x14ac:dyDescent="0.2">
      <c r="A336" s="375"/>
      <c r="B336" s="117" t="s">
        <v>839</v>
      </c>
      <c r="C336" s="371"/>
      <c r="D336" s="372"/>
      <c r="E336" s="144"/>
      <c r="F336" s="144"/>
      <c r="G336" s="144"/>
      <c r="H336" s="371"/>
      <c r="I336" s="372"/>
      <c r="J336" s="144"/>
      <c r="K336" s="144"/>
      <c r="L336" s="144"/>
      <c r="M336" s="371"/>
      <c r="N336" s="372"/>
      <c r="O336" s="31"/>
      <c r="P336" s="31"/>
      <c r="Q336" s="31"/>
      <c r="R336" s="368"/>
      <c r="S336" s="365"/>
      <c r="T336" s="31"/>
      <c r="U336" s="31"/>
      <c r="V336" s="31"/>
      <c r="W336" s="368"/>
      <c r="X336" s="365"/>
      <c r="Y336" s="31"/>
      <c r="Z336" s="31"/>
      <c r="AA336" s="31"/>
      <c r="AB336" s="368"/>
    </row>
    <row r="337" spans="1:28" ht="15.75" customHeight="1" x14ac:dyDescent="0.2">
      <c r="A337" s="375"/>
      <c r="B337" s="117" t="s">
        <v>833</v>
      </c>
      <c r="C337" s="371"/>
      <c r="D337" s="372"/>
      <c r="E337" s="142"/>
      <c r="F337" s="142"/>
      <c r="G337" s="142"/>
      <c r="H337" s="371"/>
      <c r="I337" s="372"/>
      <c r="J337" s="142"/>
      <c r="K337" s="142"/>
      <c r="L337" s="142"/>
      <c r="M337" s="371"/>
      <c r="N337" s="372"/>
      <c r="O337" s="143"/>
      <c r="P337" s="143"/>
      <c r="Q337" s="143"/>
      <c r="R337" s="368"/>
      <c r="S337" s="365"/>
      <c r="T337" s="143"/>
      <c r="U337" s="143"/>
      <c r="V337" s="143"/>
      <c r="W337" s="368"/>
      <c r="X337" s="365"/>
      <c r="Y337" s="143"/>
      <c r="Z337" s="143"/>
      <c r="AA337" s="143"/>
      <c r="AB337" s="368"/>
    </row>
    <row r="338" spans="1:28" ht="15.75" customHeight="1" x14ac:dyDescent="0.2">
      <c r="A338" s="375"/>
      <c r="B338" s="117" t="s">
        <v>834</v>
      </c>
      <c r="C338" s="371"/>
      <c r="D338" s="372"/>
      <c r="E338" s="142"/>
      <c r="F338" s="142"/>
      <c r="G338" s="142"/>
      <c r="H338" s="371"/>
      <c r="I338" s="372"/>
      <c r="J338" s="142"/>
      <c r="K338" s="142"/>
      <c r="L338" s="142"/>
      <c r="M338" s="371"/>
      <c r="N338" s="372"/>
      <c r="O338" s="143"/>
      <c r="P338" s="143"/>
      <c r="Q338" s="143"/>
      <c r="R338" s="368"/>
      <c r="S338" s="365"/>
      <c r="T338" s="143"/>
      <c r="U338" s="143"/>
      <c r="V338" s="143"/>
      <c r="W338" s="368"/>
      <c r="X338" s="365"/>
      <c r="Y338" s="143"/>
      <c r="Z338" s="143"/>
      <c r="AA338" s="143"/>
      <c r="AB338" s="368"/>
    </row>
    <row r="339" spans="1:28" ht="15.75" customHeight="1" x14ac:dyDescent="0.2">
      <c r="A339" s="375"/>
      <c r="B339" s="116" t="s">
        <v>311</v>
      </c>
      <c r="C339" s="371"/>
      <c r="D339" s="372"/>
      <c r="E339" s="142"/>
      <c r="F339" s="142"/>
      <c r="G339" s="142"/>
      <c r="H339" s="371"/>
      <c r="I339" s="372"/>
      <c r="J339" s="142"/>
      <c r="K339" s="142"/>
      <c r="L339" s="142"/>
      <c r="M339" s="371"/>
      <c r="N339" s="372"/>
      <c r="O339" s="143"/>
      <c r="P339" s="143"/>
      <c r="Q339" s="143"/>
      <c r="R339" s="368"/>
      <c r="S339" s="365"/>
      <c r="T339" s="143"/>
      <c r="U339" s="143"/>
      <c r="V339" s="143"/>
      <c r="W339" s="368"/>
      <c r="X339" s="365"/>
      <c r="Y339" s="143"/>
      <c r="Z339" s="143"/>
      <c r="AA339" s="143"/>
      <c r="AB339" s="368"/>
    </row>
    <row r="340" spans="1:28" ht="16.149999999999999" customHeight="1" x14ac:dyDescent="0.2">
      <c r="A340" s="375"/>
      <c r="B340" s="117" t="s">
        <v>845</v>
      </c>
      <c r="C340" s="371"/>
      <c r="D340" s="372"/>
      <c r="E340" s="142"/>
      <c r="F340" s="142"/>
      <c r="G340" s="142"/>
      <c r="H340" s="371"/>
      <c r="I340" s="372"/>
      <c r="J340" s="142"/>
      <c r="K340" s="142"/>
      <c r="L340" s="142"/>
      <c r="M340" s="371"/>
      <c r="N340" s="372"/>
      <c r="O340" s="143"/>
      <c r="P340" s="143"/>
      <c r="Q340" s="143"/>
      <c r="R340" s="368"/>
      <c r="S340" s="365"/>
      <c r="T340" s="143"/>
      <c r="U340" s="143"/>
      <c r="V340" s="143"/>
      <c r="W340" s="368"/>
      <c r="X340" s="365"/>
      <c r="Y340" s="143"/>
      <c r="Z340" s="143"/>
      <c r="AA340" s="143"/>
      <c r="AB340" s="368"/>
    </row>
    <row r="341" spans="1:28" ht="16.149999999999999" customHeight="1" x14ac:dyDescent="0.2">
      <c r="A341" s="375"/>
      <c r="B341" s="117" t="s">
        <v>847</v>
      </c>
      <c r="C341" s="371"/>
      <c r="D341" s="372"/>
      <c r="E341" s="142"/>
      <c r="F341" s="142"/>
      <c r="G341" s="142"/>
      <c r="H341" s="371"/>
      <c r="I341" s="372"/>
      <c r="J341" s="142"/>
      <c r="K341" s="142"/>
      <c r="L341" s="142"/>
      <c r="M341" s="371"/>
      <c r="N341" s="372"/>
      <c r="O341" s="143"/>
      <c r="P341" s="143"/>
      <c r="Q341" s="143"/>
      <c r="R341" s="368"/>
      <c r="S341" s="365"/>
      <c r="T341" s="143"/>
      <c r="U341" s="143"/>
      <c r="V341" s="143"/>
      <c r="W341" s="368"/>
      <c r="X341" s="365"/>
      <c r="Y341" s="143"/>
      <c r="Z341" s="143"/>
      <c r="AA341" s="143"/>
      <c r="AB341" s="368"/>
    </row>
    <row r="342" spans="1:28" ht="16.149999999999999" customHeight="1" x14ac:dyDescent="0.2">
      <c r="A342" s="375"/>
      <c r="B342" s="117" t="s">
        <v>848</v>
      </c>
      <c r="C342" s="371"/>
      <c r="D342" s="372"/>
      <c r="E342" s="142"/>
      <c r="F342" s="142"/>
      <c r="G342" s="142"/>
      <c r="H342" s="371"/>
      <c r="I342" s="372"/>
      <c r="J342" s="142"/>
      <c r="K342" s="142"/>
      <c r="L342" s="142"/>
      <c r="M342" s="371"/>
      <c r="N342" s="372"/>
      <c r="O342" s="143"/>
      <c r="P342" s="143"/>
      <c r="Q342" s="143"/>
      <c r="R342" s="368"/>
      <c r="S342" s="365"/>
      <c r="T342" s="143"/>
      <c r="U342" s="143"/>
      <c r="V342" s="143"/>
      <c r="W342" s="368"/>
      <c r="X342" s="365"/>
      <c r="Y342" s="143"/>
      <c r="Z342" s="143"/>
      <c r="AA342" s="143"/>
      <c r="AB342" s="368"/>
    </row>
    <row r="343" spans="1:28" ht="16.149999999999999" customHeight="1" x14ac:dyDescent="0.2">
      <c r="A343" s="375"/>
      <c r="B343" s="117" t="s">
        <v>849</v>
      </c>
      <c r="C343" s="371"/>
      <c r="D343" s="372"/>
      <c r="E343" s="142"/>
      <c r="F343" s="142"/>
      <c r="G343" s="142"/>
      <c r="H343" s="371"/>
      <c r="I343" s="372"/>
      <c r="J343" s="142"/>
      <c r="K343" s="142"/>
      <c r="L343" s="142"/>
      <c r="M343" s="371"/>
      <c r="N343" s="372"/>
      <c r="O343" s="143"/>
      <c r="P343" s="143"/>
      <c r="Q343" s="143"/>
      <c r="R343" s="368"/>
      <c r="S343" s="365"/>
      <c r="T343" s="143"/>
      <c r="U343" s="143"/>
      <c r="V343" s="143"/>
      <c r="W343" s="368"/>
      <c r="X343" s="365"/>
      <c r="Y343" s="143"/>
      <c r="Z343" s="143"/>
      <c r="AA343" s="143"/>
      <c r="AB343" s="368"/>
    </row>
    <row r="344" spans="1:28" ht="16.149999999999999" customHeight="1" x14ac:dyDescent="0.2">
      <c r="A344" s="375"/>
      <c r="B344" s="117" t="s">
        <v>850</v>
      </c>
      <c r="C344" s="371"/>
      <c r="D344" s="372"/>
      <c r="E344" s="142"/>
      <c r="F344" s="142"/>
      <c r="G344" s="142"/>
      <c r="H344" s="371"/>
      <c r="I344" s="372"/>
      <c r="J344" s="142"/>
      <c r="K344" s="142"/>
      <c r="L344" s="142"/>
      <c r="M344" s="371"/>
      <c r="N344" s="372"/>
      <c r="O344" s="143"/>
      <c r="P344" s="143"/>
      <c r="Q344" s="143"/>
      <c r="R344" s="368"/>
      <c r="S344" s="365"/>
      <c r="T344" s="143"/>
      <c r="U344" s="143"/>
      <c r="V344" s="143"/>
      <c r="W344" s="368"/>
      <c r="X344" s="365"/>
      <c r="Y344" s="143"/>
      <c r="Z344" s="143"/>
      <c r="AA344" s="143"/>
      <c r="AB344" s="368"/>
    </row>
    <row r="345" spans="1:28" ht="15.75" customHeight="1" x14ac:dyDescent="0.2">
      <c r="A345" s="375"/>
      <c r="B345" s="117" t="s">
        <v>310</v>
      </c>
      <c r="C345" s="371"/>
      <c r="D345" s="372"/>
      <c r="E345" s="142"/>
      <c r="F345" s="142"/>
      <c r="G345" s="142"/>
      <c r="H345" s="371"/>
      <c r="I345" s="372"/>
      <c r="J345" s="142"/>
      <c r="K345" s="142"/>
      <c r="L345" s="142"/>
      <c r="M345" s="371"/>
      <c r="N345" s="372"/>
      <c r="O345" s="143"/>
      <c r="P345" s="143"/>
      <c r="Q345" s="143"/>
      <c r="R345" s="368"/>
      <c r="S345" s="365"/>
      <c r="T345" s="143"/>
      <c r="U345" s="143"/>
      <c r="V345" s="143"/>
      <c r="W345" s="368"/>
      <c r="X345" s="365"/>
      <c r="Y345" s="143"/>
      <c r="Z345" s="143"/>
      <c r="AA345" s="143"/>
      <c r="AB345" s="368"/>
    </row>
    <row r="346" spans="1:28" ht="18.75" customHeight="1" x14ac:dyDescent="0.2">
      <c r="A346" s="375"/>
      <c r="B346" s="117" t="s">
        <v>851</v>
      </c>
      <c r="C346" s="371"/>
      <c r="D346" s="372"/>
      <c r="E346" s="142"/>
      <c r="F346" s="142"/>
      <c r="G346" s="142"/>
      <c r="H346" s="371"/>
      <c r="I346" s="372"/>
      <c r="J346" s="142"/>
      <c r="K346" s="142"/>
      <c r="L346" s="142"/>
      <c r="M346" s="371"/>
      <c r="N346" s="372"/>
      <c r="O346" s="143"/>
      <c r="P346" s="143"/>
      <c r="Q346" s="143"/>
      <c r="R346" s="368"/>
      <c r="S346" s="365"/>
      <c r="T346" s="143"/>
      <c r="U346" s="143"/>
      <c r="V346" s="143"/>
      <c r="W346" s="368"/>
      <c r="X346" s="365"/>
      <c r="Y346" s="143"/>
      <c r="Z346" s="143"/>
      <c r="AA346" s="143"/>
      <c r="AB346" s="368"/>
    </row>
    <row r="347" spans="1:28" ht="16.5" customHeight="1" x14ac:dyDescent="0.2">
      <c r="A347" s="375"/>
      <c r="B347" s="117" t="s">
        <v>852</v>
      </c>
      <c r="C347" s="371"/>
      <c r="D347" s="372"/>
      <c r="E347" s="142"/>
      <c r="F347" s="142"/>
      <c r="G347" s="142"/>
      <c r="H347" s="371"/>
      <c r="I347" s="372"/>
      <c r="J347" s="142"/>
      <c r="K347" s="142"/>
      <c r="L347" s="142"/>
      <c r="M347" s="371"/>
      <c r="N347" s="372"/>
      <c r="O347" s="143"/>
      <c r="P347" s="143"/>
      <c r="Q347" s="143"/>
      <c r="R347" s="368"/>
      <c r="S347" s="365"/>
      <c r="T347" s="143"/>
      <c r="U347" s="143"/>
      <c r="V347" s="143"/>
      <c r="W347" s="368"/>
      <c r="X347" s="365"/>
      <c r="Y347" s="143"/>
      <c r="Z347" s="143"/>
      <c r="AA347" s="143"/>
      <c r="AB347" s="368"/>
    </row>
    <row r="348" spans="1:28" ht="13.5" customHeight="1" x14ac:dyDescent="0.2">
      <c r="A348" s="375"/>
      <c r="B348" s="117" t="s">
        <v>853</v>
      </c>
      <c r="C348" s="371"/>
      <c r="D348" s="372"/>
      <c r="E348" s="142"/>
      <c r="F348" s="142"/>
      <c r="G348" s="142"/>
      <c r="H348" s="371"/>
      <c r="I348" s="372"/>
      <c r="J348" s="142"/>
      <c r="K348" s="142"/>
      <c r="L348" s="142"/>
      <c r="M348" s="371"/>
      <c r="N348" s="372"/>
      <c r="O348" s="143"/>
      <c r="P348" s="143"/>
      <c r="Q348" s="143"/>
      <c r="R348" s="368"/>
      <c r="S348" s="365"/>
      <c r="T348" s="143"/>
      <c r="U348" s="143"/>
      <c r="V348" s="143"/>
      <c r="W348" s="368"/>
      <c r="X348" s="365"/>
      <c r="Y348" s="143"/>
      <c r="Z348" s="143"/>
      <c r="AA348" s="143"/>
      <c r="AB348" s="368"/>
    </row>
    <row r="349" spans="1:28" ht="16.149999999999999" customHeight="1" x14ac:dyDescent="0.2">
      <c r="A349" s="375"/>
      <c r="B349" s="117" t="s">
        <v>854</v>
      </c>
      <c r="C349" s="371"/>
      <c r="D349" s="372"/>
      <c r="E349" s="142"/>
      <c r="F349" s="142"/>
      <c r="G349" s="142"/>
      <c r="H349" s="371"/>
      <c r="I349" s="372"/>
      <c r="J349" s="142"/>
      <c r="K349" s="142"/>
      <c r="L349" s="142"/>
      <c r="M349" s="371"/>
      <c r="N349" s="372"/>
      <c r="O349" s="143"/>
      <c r="P349" s="143"/>
      <c r="Q349" s="143"/>
      <c r="R349" s="368"/>
      <c r="S349" s="365"/>
      <c r="T349" s="143"/>
      <c r="U349" s="143"/>
      <c r="V349" s="143"/>
      <c r="W349" s="368"/>
      <c r="X349" s="365"/>
      <c r="Y349" s="143"/>
      <c r="Z349" s="143"/>
      <c r="AA349" s="143"/>
      <c r="AB349" s="368"/>
    </row>
    <row r="350" spans="1:28" ht="16.149999999999999" customHeight="1" x14ac:dyDescent="0.2">
      <c r="A350" s="375"/>
      <c r="B350" s="145" t="s">
        <v>855</v>
      </c>
      <c r="C350" s="371"/>
      <c r="D350" s="372"/>
      <c r="E350" s="146"/>
      <c r="F350" s="146"/>
      <c r="G350" s="146"/>
      <c r="H350" s="371"/>
      <c r="I350" s="372"/>
      <c r="J350" s="146"/>
      <c r="K350" s="146"/>
      <c r="L350" s="146"/>
      <c r="M350" s="371"/>
      <c r="N350" s="372"/>
      <c r="O350" s="147"/>
      <c r="P350" s="147"/>
      <c r="Q350" s="147"/>
      <c r="R350" s="368"/>
      <c r="S350" s="365"/>
      <c r="T350" s="147"/>
      <c r="U350" s="147"/>
      <c r="V350" s="147"/>
      <c r="W350" s="368"/>
      <c r="X350" s="365"/>
      <c r="Y350" s="147"/>
      <c r="Z350" s="147"/>
      <c r="AA350" s="147"/>
      <c r="AB350" s="368"/>
    </row>
    <row r="351" spans="1:28" ht="16.149999999999999" customHeight="1" x14ac:dyDescent="0.2">
      <c r="A351" s="375"/>
      <c r="B351" s="145" t="s">
        <v>856</v>
      </c>
      <c r="C351" s="371"/>
      <c r="D351" s="372"/>
      <c r="E351" s="142"/>
      <c r="F351" s="142"/>
      <c r="G351" s="142"/>
      <c r="H351" s="371"/>
      <c r="I351" s="372"/>
      <c r="J351" s="142"/>
      <c r="K351" s="142"/>
      <c r="L351" s="142"/>
      <c r="M351" s="371"/>
      <c r="N351" s="372"/>
      <c r="O351" s="143"/>
      <c r="P351" s="143"/>
      <c r="Q351" s="143"/>
      <c r="R351" s="368"/>
      <c r="S351" s="365"/>
      <c r="T351" s="143"/>
      <c r="U351" s="143"/>
      <c r="V351" s="143"/>
      <c r="W351" s="368"/>
      <c r="X351" s="365"/>
      <c r="Y351" s="143"/>
      <c r="Z351" s="143"/>
      <c r="AA351" s="143"/>
      <c r="AB351" s="368"/>
    </row>
    <row r="352" spans="1:28" ht="16.149999999999999" customHeight="1" x14ac:dyDescent="0.2">
      <c r="A352" s="375"/>
      <c r="B352" s="145" t="s">
        <v>857</v>
      </c>
      <c r="C352" s="371"/>
      <c r="D352" s="372"/>
      <c r="E352" s="146"/>
      <c r="F352" s="146"/>
      <c r="G352" s="146"/>
      <c r="H352" s="371"/>
      <c r="I352" s="372"/>
      <c r="J352" s="146"/>
      <c r="K352" s="146"/>
      <c r="L352" s="146"/>
      <c r="M352" s="371"/>
      <c r="N352" s="372"/>
      <c r="O352" s="147"/>
      <c r="P352" s="147"/>
      <c r="Q352" s="147"/>
      <c r="R352" s="368"/>
      <c r="S352" s="365"/>
      <c r="T352" s="147"/>
      <c r="U352" s="147"/>
      <c r="V352" s="147"/>
      <c r="W352" s="368"/>
      <c r="X352" s="365"/>
      <c r="Y352" s="147"/>
      <c r="Z352" s="147"/>
      <c r="AA352" s="147"/>
      <c r="AB352" s="368"/>
    </row>
    <row r="353" spans="1:28" ht="16.149999999999999" customHeight="1" x14ac:dyDescent="0.2">
      <c r="A353" s="375"/>
      <c r="B353" s="145" t="s">
        <v>858</v>
      </c>
      <c r="C353" s="371"/>
      <c r="D353" s="372"/>
      <c r="E353" s="142"/>
      <c r="F353" s="142"/>
      <c r="G353" s="142"/>
      <c r="H353" s="371"/>
      <c r="I353" s="372"/>
      <c r="J353" s="142"/>
      <c r="K353" s="142"/>
      <c r="L353" s="142"/>
      <c r="M353" s="371"/>
      <c r="N353" s="372"/>
      <c r="O353" s="143"/>
      <c r="P353" s="143"/>
      <c r="Q353" s="143"/>
      <c r="R353" s="368"/>
      <c r="S353" s="365"/>
      <c r="T353" s="143"/>
      <c r="U353" s="143"/>
      <c r="V353" s="143"/>
      <c r="W353" s="368"/>
      <c r="X353" s="365"/>
      <c r="Y353" s="143"/>
      <c r="Z353" s="143"/>
      <c r="AA353" s="143"/>
      <c r="AB353" s="368"/>
    </row>
    <row r="354" spans="1:28" ht="33.75" customHeight="1" x14ac:dyDescent="0.2">
      <c r="A354" s="375"/>
      <c r="B354" s="145" t="s">
        <v>859</v>
      </c>
      <c r="C354" s="371"/>
      <c r="D354" s="372"/>
      <c r="E354" s="142"/>
      <c r="F354" s="142"/>
      <c r="G354" s="142"/>
      <c r="H354" s="371"/>
      <c r="I354" s="372"/>
      <c r="J354" s="142"/>
      <c r="K354" s="142"/>
      <c r="L354" s="142"/>
      <c r="M354" s="371"/>
      <c r="N354" s="372"/>
      <c r="O354" s="143"/>
      <c r="P354" s="143"/>
      <c r="Q354" s="143"/>
      <c r="R354" s="368"/>
      <c r="S354" s="365"/>
      <c r="T354" s="143"/>
      <c r="U354" s="143"/>
      <c r="V354" s="143"/>
      <c r="W354" s="368"/>
      <c r="X354" s="365"/>
      <c r="Y354" s="143"/>
      <c r="Z354" s="143"/>
      <c r="AA354" s="143"/>
      <c r="AB354" s="368"/>
    </row>
    <row r="355" spans="1:28" ht="16.149999999999999" customHeight="1" x14ac:dyDescent="0.2">
      <c r="A355" s="375"/>
      <c r="B355" s="145" t="s">
        <v>860</v>
      </c>
      <c r="C355" s="371"/>
      <c r="D355" s="372"/>
      <c r="E355" s="142"/>
      <c r="F355" s="142"/>
      <c r="G355" s="142"/>
      <c r="H355" s="371"/>
      <c r="I355" s="372"/>
      <c r="J355" s="142"/>
      <c r="K355" s="142"/>
      <c r="L355" s="142"/>
      <c r="M355" s="371"/>
      <c r="N355" s="372"/>
      <c r="O355" s="143"/>
      <c r="P355" s="143"/>
      <c r="Q355" s="143"/>
      <c r="R355" s="368"/>
      <c r="S355" s="365"/>
      <c r="T355" s="143"/>
      <c r="U355" s="143"/>
      <c r="V355" s="143"/>
      <c r="W355" s="368"/>
      <c r="X355" s="365"/>
      <c r="Y355" s="143"/>
      <c r="Z355" s="143"/>
      <c r="AA355" s="143"/>
      <c r="AB355" s="368"/>
    </row>
    <row r="356" spans="1:28" ht="22.5" customHeight="1" x14ac:dyDescent="0.2">
      <c r="A356" s="375"/>
      <c r="B356" s="145" t="s">
        <v>861</v>
      </c>
      <c r="C356" s="371"/>
      <c r="D356" s="372"/>
      <c r="E356" s="142"/>
      <c r="F356" s="142"/>
      <c r="G356" s="142"/>
      <c r="H356" s="371"/>
      <c r="I356" s="372"/>
      <c r="J356" s="142"/>
      <c r="K356" s="142"/>
      <c r="L356" s="142"/>
      <c r="M356" s="371"/>
      <c r="N356" s="372"/>
      <c r="O356" s="143"/>
      <c r="P356" s="143"/>
      <c r="Q356" s="143"/>
      <c r="R356" s="368"/>
      <c r="S356" s="365"/>
      <c r="T356" s="143"/>
      <c r="U356" s="143"/>
      <c r="V356" s="143"/>
      <c r="W356" s="368"/>
      <c r="X356" s="365"/>
      <c r="Y356" s="143"/>
      <c r="Z356" s="143"/>
      <c r="AA356" s="143"/>
      <c r="AB356" s="368"/>
    </row>
    <row r="357" spans="1:28" ht="16.149999999999999" customHeight="1" x14ac:dyDescent="0.2">
      <c r="A357" s="375"/>
      <c r="B357" s="145" t="s">
        <v>862</v>
      </c>
      <c r="C357" s="371"/>
      <c r="D357" s="372"/>
      <c r="E357" s="148"/>
      <c r="F357" s="148"/>
      <c r="G357" s="148"/>
      <c r="H357" s="371"/>
      <c r="I357" s="372"/>
      <c r="J357" s="148"/>
      <c r="K357" s="148"/>
      <c r="L357" s="148"/>
      <c r="M357" s="371"/>
      <c r="N357" s="372"/>
      <c r="O357" s="149"/>
      <c r="P357" s="149"/>
      <c r="Q357" s="149"/>
      <c r="R357" s="368"/>
      <c r="S357" s="365"/>
      <c r="T357" s="149"/>
      <c r="U357" s="149"/>
      <c r="V357" s="149"/>
      <c r="W357" s="368"/>
      <c r="X357" s="365"/>
      <c r="Y357" s="149"/>
      <c r="Z357" s="149"/>
      <c r="AA357" s="149"/>
      <c r="AB357" s="368"/>
    </row>
    <row r="358" spans="1:28" ht="16.149999999999999" customHeight="1" x14ac:dyDescent="0.2">
      <c r="A358" s="375"/>
      <c r="B358" s="145" t="s">
        <v>863</v>
      </c>
      <c r="C358" s="371"/>
      <c r="D358" s="372"/>
      <c r="E358" s="148"/>
      <c r="F358" s="148"/>
      <c r="G358" s="148"/>
      <c r="H358" s="371"/>
      <c r="I358" s="372"/>
      <c r="J358" s="148"/>
      <c r="K358" s="148"/>
      <c r="L358" s="148"/>
      <c r="M358" s="371"/>
      <c r="N358" s="372"/>
      <c r="O358" s="149"/>
      <c r="P358" s="149"/>
      <c r="Q358" s="149"/>
      <c r="R358" s="368"/>
      <c r="S358" s="365"/>
      <c r="T358" s="149"/>
      <c r="U358" s="149"/>
      <c r="V358" s="149"/>
      <c r="W358" s="368"/>
      <c r="X358" s="365"/>
      <c r="Y358" s="149"/>
      <c r="Z358" s="149"/>
      <c r="AA358" s="149"/>
      <c r="AB358" s="368"/>
    </row>
    <row r="359" spans="1:28" ht="16.149999999999999" customHeight="1" x14ac:dyDescent="0.2">
      <c r="A359" s="375"/>
      <c r="B359" s="145" t="s">
        <v>864</v>
      </c>
      <c r="C359" s="371"/>
      <c r="D359" s="372"/>
      <c r="E359" s="148"/>
      <c r="F359" s="148"/>
      <c r="G359" s="148"/>
      <c r="H359" s="371"/>
      <c r="I359" s="372"/>
      <c r="J359" s="148"/>
      <c r="K359" s="148"/>
      <c r="L359" s="148"/>
      <c r="M359" s="371"/>
      <c r="N359" s="372"/>
      <c r="O359" s="149"/>
      <c r="P359" s="149"/>
      <c r="Q359" s="149"/>
      <c r="R359" s="368"/>
      <c r="S359" s="365"/>
      <c r="T359" s="149"/>
      <c r="U359" s="149"/>
      <c r="V359" s="149"/>
      <c r="W359" s="368"/>
      <c r="X359" s="365"/>
      <c r="Y359" s="149"/>
      <c r="Z359" s="149"/>
      <c r="AA359" s="149"/>
      <c r="AB359" s="368"/>
    </row>
    <row r="360" spans="1:28" ht="16.149999999999999" customHeight="1" x14ac:dyDescent="0.2">
      <c r="A360" s="375"/>
      <c r="B360" s="145" t="s">
        <v>865</v>
      </c>
      <c r="C360" s="371"/>
      <c r="D360" s="372"/>
      <c r="E360" s="148"/>
      <c r="F360" s="148"/>
      <c r="G360" s="148"/>
      <c r="H360" s="371"/>
      <c r="I360" s="372"/>
      <c r="J360" s="148"/>
      <c r="K360" s="148"/>
      <c r="L360" s="148"/>
      <c r="M360" s="371"/>
      <c r="N360" s="372"/>
      <c r="O360" s="149"/>
      <c r="P360" s="149"/>
      <c r="Q360" s="149"/>
      <c r="R360" s="368"/>
      <c r="S360" s="365"/>
      <c r="T360" s="149"/>
      <c r="U360" s="149"/>
      <c r="V360" s="149"/>
      <c r="W360" s="368"/>
      <c r="X360" s="365"/>
      <c r="Y360" s="149"/>
      <c r="Z360" s="149"/>
      <c r="AA360" s="149"/>
      <c r="AB360" s="368"/>
    </row>
    <row r="361" spans="1:28" ht="16.149999999999999" customHeight="1" x14ac:dyDescent="0.2">
      <c r="A361" s="375"/>
      <c r="B361" s="145" t="s">
        <v>866</v>
      </c>
      <c r="C361" s="371"/>
      <c r="D361" s="372"/>
      <c r="E361" s="148"/>
      <c r="F361" s="148"/>
      <c r="G361" s="148"/>
      <c r="H361" s="371"/>
      <c r="I361" s="372"/>
      <c r="J361" s="148"/>
      <c r="K361" s="148"/>
      <c r="L361" s="148"/>
      <c r="M361" s="371"/>
      <c r="N361" s="372"/>
      <c r="O361" s="149"/>
      <c r="P361" s="149"/>
      <c r="Q361" s="149"/>
      <c r="R361" s="368"/>
      <c r="S361" s="365"/>
      <c r="T361" s="149"/>
      <c r="U361" s="149"/>
      <c r="V361" s="149"/>
      <c r="W361" s="368"/>
      <c r="X361" s="365"/>
      <c r="Y361" s="149"/>
      <c r="Z361" s="149"/>
      <c r="AA361" s="149"/>
      <c r="AB361" s="368"/>
    </row>
    <row r="362" spans="1:28" ht="16.149999999999999" customHeight="1" x14ac:dyDescent="0.2">
      <c r="A362" s="375"/>
      <c r="B362" s="117" t="s">
        <v>867</v>
      </c>
      <c r="C362" s="371"/>
      <c r="D362" s="372"/>
      <c r="E362" s="148"/>
      <c r="F362" s="148"/>
      <c r="G362" s="148"/>
      <c r="H362" s="371"/>
      <c r="I362" s="372"/>
      <c r="J362" s="148"/>
      <c r="K362" s="148"/>
      <c r="L362" s="148"/>
      <c r="M362" s="371"/>
      <c r="N362" s="372"/>
      <c r="O362" s="149"/>
      <c r="P362" s="149"/>
      <c r="Q362" s="149"/>
      <c r="R362" s="368"/>
      <c r="S362" s="365"/>
      <c r="T362" s="149"/>
      <c r="U362" s="149"/>
      <c r="V362" s="149"/>
      <c r="W362" s="368"/>
      <c r="X362" s="365"/>
      <c r="Y362" s="149"/>
      <c r="Z362" s="149"/>
      <c r="AA362" s="149"/>
      <c r="AB362" s="368"/>
    </row>
    <row r="363" spans="1:28" ht="16.149999999999999" customHeight="1" x14ac:dyDescent="0.2">
      <c r="A363" s="375"/>
      <c r="B363" s="117" t="s">
        <v>868</v>
      </c>
      <c r="C363" s="371"/>
      <c r="D363" s="372"/>
      <c r="E363" s="148"/>
      <c r="F363" s="148"/>
      <c r="G363" s="148"/>
      <c r="H363" s="371"/>
      <c r="I363" s="372"/>
      <c r="J363" s="148"/>
      <c r="K363" s="148"/>
      <c r="L363" s="148"/>
      <c r="M363" s="371"/>
      <c r="N363" s="372"/>
      <c r="O363" s="149"/>
      <c r="P363" s="149"/>
      <c r="Q363" s="149"/>
      <c r="R363" s="368"/>
      <c r="S363" s="365"/>
      <c r="T363" s="149"/>
      <c r="U363" s="149"/>
      <c r="V363" s="149"/>
      <c r="W363" s="368"/>
      <c r="X363" s="365"/>
      <c r="Y363" s="149"/>
      <c r="Z363" s="149"/>
      <c r="AA363" s="149"/>
      <c r="AB363" s="368"/>
    </row>
    <row r="364" spans="1:28" ht="16.149999999999999" customHeight="1" x14ac:dyDescent="0.2">
      <c r="A364" s="375"/>
      <c r="B364" s="117" t="s">
        <v>869</v>
      </c>
      <c r="C364" s="371"/>
      <c r="D364" s="372"/>
      <c r="E364" s="148"/>
      <c r="F364" s="148"/>
      <c r="G364" s="148"/>
      <c r="H364" s="371"/>
      <c r="I364" s="372"/>
      <c r="J364" s="148"/>
      <c r="K364" s="148"/>
      <c r="L364" s="148"/>
      <c r="M364" s="371"/>
      <c r="N364" s="372"/>
      <c r="O364" s="149"/>
      <c r="P364" s="149"/>
      <c r="Q364" s="149"/>
      <c r="R364" s="368"/>
      <c r="S364" s="365"/>
      <c r="T364" s="149"/>
      <c r="U364" s="149"/>
      <c r="V364" s="149"/>
      <c r="W364" s="368"/>
      <c r="X364" s="365"/>
      <c r="Y364" s="149"/>
      <c r="Z364" s="149"/>
      <c r="AA364" s="149"/>
      <c r="AB364" s="368"/>
    </row>
    <row r="365" spans="1:28" ht="16.149999999999999" customHeight="1" x14ac:dyDescent="0.2">
      <c r="A365" s="375"/>
      <c r="B365" s="117" t="s">
        <v>870</v>
      </c>
      <c r="C365" s="371"/>
      <c r="D365" s="372"/>
      <c r="E365" s="146"/>
      <c r="F365" s="146"/>
      <c r="G365" s="146"/>
      <c r="H365" s="371"/>
      <c r="I365" s="372"/>
      <c r="J365" s="146"/>
      <c r="K365" s="146"/>
      <c r="L365" s="146"/>
      <c r="M365" s="371"/>
      <c r="N365" s="372"/>
      <c r="O365" s="147"/>
      <c r="P365" s="147"/>
      <c r="Q365" s="147"/>
      <c r="R365" s="368"/>
      <c r="S365" s="365"/>
      <c r="T365" s="147"/>
      <c r="U365" s="147"/>
      <c r="V365" s="147"/>
      <c r="W365" s="368"/>
      <c r="X365" s="365"/>
      <c r="Y365" s="147"/>
      <c r="Z365" s="147"/>
      <c r="AA365" s="147"/>
      <c r="AB365" s="368"/>
    </row>
    <row r="366" spans="1:28" ht="16.149999999999999" customHeight="1" x14ac:dyDescent="0.2">
      <c r="A366" s="375"/>
      <c r="B366" s="117" t="s">
        <v>871</v>
      </c>
      <c r="C366" s="371"/>
      <c r="D366" s="372"/>
      <c r="E366" s="146"/>
      <c r="F366" s="146"/>
      <c r="G366" s="146"/>
      <c r="H366" s="371"/>
      <c r="I366" s="372"/>
      <c r="J366" s="146"/>
      <c r="K366" s="146"/>
      <c r="L366" s="146"/>
      <c r="M366" s="371"/>
      <c r="N366" s="372"/>
      <c r="O366" s="147"/>
      <c r="P366" s="147"/>
      <c r="Q366" s="147"/>
      <c r="R366" s="368"/>
      <c r="S366" s="365"/>
      <c r="T366" s="147"/>
      <c r="U366" s="147"/>
      <c r="V366" s="147"/>
      <c r="W366" s="368"/>
      <c r="X366" s="365"/>
      <c r="Y366" s="147"/>
      <c r="Z366" s="147"/>
      <c r="AA366" s="147"/>
      <c r="AB366" s="368"/>
    </row>
    <row r="367" spans="1:28" ht="16.149999999999999" customHeight="1" x14ac:dyDescent="0.2">
      <c r="A367" s="375"/>
      <c r="B367" s="117" t="s">
        <v>872</v>
      </c>
      <c r="C367" s="371"/>
      <c r="D367" s="372"/>
      <c r="E367" s="146"/>
      <c r="F367" s="146"/>
      <c r="G367" s="146"/>
      <c r="H367" s="371"/>
      <c r="I367" s="372"/>
      <c r="J367" s="146"/>
      <c r="K367" s="146"/>
      <c r="L367" s="146"/>
      <c r="M367" s="371"/>
      <c r="N367" s="372"/>
      <c r="O367" s="147"/>
      <c r="P367" s="147"/>
      <c r="Q367" s="147"/>
      <c r="R367" s="368"/>
      <c r="S367" s="365"/>
      <c r="T367" s="147"/>
      <c r="U367" s="147"/>
      <c r="V367" s="147"/>
      <c r="W367" s="368"/>
      <c r="X367" s="365"/>
      <c r="Y367" s="147"/>
      <c r="Z367" s="147"/>
      <c r="AA367" s="147"/>
      <c r="AB367" s="368"/>
    </row>
    <row r="368" spans="1:28" ht="16.149999999999999" customHeight="1" x14ac:dyDescent="0.2">
      <c r="A368" s="375"/>
      <c r="B368" s="117" t="s">
        <v>873</v>
      </c>
      <c r="C368" s="371"/>
      <c r="D368" s="372"/>
      <c r="E368" s="146"/>
      <c r="F368" s="146"/>
      <c r="G368" s="146"/>
      <c r="H368" s="371"/>
      <c r="I368" s="372"/>
      <c r="J368" s="146"/>
      <c r="K368" s="146"/>
      <c r="L368" s="146"/>
      <c r="M368" s="371"/>
      <c r="N368" s="372"/>
      <c r="O368" s="147"/>
      <c r="P368" s="147"/>
      <c r="Q368" s="147"/>
      <c r="R368" s="368"/>
      <c r="S368" s="365"/>
      <c r="T368" s="147"/>
      <c r="U368" s="147"/>
      <c r="V368" s="147"/>
      <c r="W368" s="368"/>
      <c r="X368" s="365"/>
      <c r="Y368" s="147"/>
      <c r="Z368" s="147"/>
      <c r="AA368" s="147"/>
      <c r="AB368" s="368"/>
    </row>
    <row r="369" spans="1:28" ht="16.149999999999999" customHeight="1" x14ac:dyDescent="0.2">
      <c r="A369" s="375"/>
      <c r="B369" s="117" t="s">
        <v>874</v>
      </c>
      <c r="C369" s="371"/>
      <c r="D369" s="372"/>
      <c r="E369" s="146"/>
      <c r="F369" s="146"/>
      <c r="G369" s="146"/>
      <c r="H369" s="371"/>
      <c r="I369" s="372"/>
      <c r="J369" s="146"/>
      <c r="K369" s="146"/>
      <c r="L369" s="146"/>
      <c r="M369" s="371"/>
      <c r="N369" s="372"/>
      <c r="O369" s="147"/>
      <c r="P369" s="147"/>
      <c r="Q369" s="147"/>
      <c r="R369" s="368"/>
      <c r="S369" s="365"/>
      <c r="T369" s="147"/>
      <c r="U369" s="147"/>
      <c r="V369" s="147"/>
      <c r="W369" s="368"/>
      <c r="X369" s="365"/>
      <c r="Y369" s="147"/>
      <c r="Z369" s="147"/>
      <c r="AA369" s="147"/>
      <c r="AB369" s="368"/>
    </row>
    <row r="370" spans="1:28" ht="16.149999999999999" customHeight="1" x14ac:dyDescent="0.2">
      <c r="A370" s="375"/>
      <c r="B370" s="117" t="s">
        <v>875</v>
      </c>
      <c r="C370" s="371"/>
      <c r="D370" s="372"/>
      <c r="E370" s="146"/>
      <c r="F370" s="146"/>
      <c r="G370" s="146"/>
      <c r="H370" s="371"/>
      <c r="I370" s="372"/>
      <c r="J370" s="146"/>
      <c r="K370" s="146"/>
      <c r="L370" s="146"/>
      <c r="M370" s="371"/>
      <c r="N370" s="372"/>
      <c r="O370" s="147"/>
      <c r="P370" s="147"/>
      <c r="Q370" s="147"/>
      <c r="R370" s="368"/>
      <c r="S370" s="365"/>
      <c r="T370" s="147"/>
      <c r="U370" s="147"/>
      <c r="V370" s="147"/>
      <c r="W370" s="368"/>
      <c r="X370" s="365"/>
      <c r="Y370" s="147"/>
      <c r="Z370" s="147"/>
      <c r="AA370" s="147"/>
      <c r="AB370" s="368"/>
    </row>
    <row r="371" spans="1:28" ht="16.149999999999999" customHeight="1" x14ac:dyDescent="0.2">
      <c r="A371" s="375"/>
      <c r="B371" s="117" t="s">
        <v>876</v>
      </c>
      <c r="C371" s="371"/>
      <c r="D371" s="372"/>
      <c r="E371" s="146"/>
      <c r="F371" s="146"/>
      <c r="G371" s="146"/>
      <c r="H371" s="371"/>
      <c r="I371" s="372"/>
      <c r="J371" s="146"/>
      <c r="K371" s="146"/>
      <c r="L371" s="146"/>
      <c r="M371" s="371"/>
      <c r="N371" s="372"/>
      <c r="O371" s="147"/>
      <c r="P371" s="147"/>
      <c r="Q371" s="147"/>
      <c r="R371" s="368"/>
      <c r="S371" s="365"/>
      <c r="T371" s="147"/>
      <c r="U371" s="147"/>
      <c r="V371" s="147"/>
      <c r="W371" s="368"/>
      <c r="X371" s="365"/>
      <c r="Y371" s="147"/>
      <c r="Z371" s="147"/>
      <c r="AA371" s="147"/>
      <c r="AB371" s="368"/>
    </row>
    <row r="372" spans="1:28" ht="16.149999999999999" customHeight="1" x14ac:dyDescent="0.2">
      <c r="A372" s="375"/>
      <c r="B372" s="117" t="s">
        <v>877</v>
      </c>
      <c r="C372" s="371"/>
      <c r="D372" s="372"/>
      <c r="E372" s="146"/>
      <c r="F372" s="146"/>
      <c r="G372" s="146"/>
      <c r="H372" s="371"/>
      <c r="I372" s="372"/>
      <c r="J372" s="146"/>
      <c r="K372" s="146"/>
      <c r="L372" s="146"/>
      <c r="M372" s="371"/>
      <c r="N372" s="372"/>
      <c r="O372" s="147"/>
      <c r="P372" s="147"/>
      <c r="Q372" s="147"/>
      <c r="R372" s="368"/>
      <c r="S372" s="365"/>
      <c r="T372" s="147"/>
      <c r="U372" s="147"/>
      <c r="V372" s="147"/>
      <c r="W372" s="368"/>
      <c r="X372" s="365"/>
      <c r="Y372" s="147"/>
      <c r="Z372" s="147"/>
      <c r="AA372" s="147"/>
      <c r="AB372" s="368"/>
    </row>
    <row r="373" spans="1:28" ht="16.149999999999999" customHeight="1" x14ac:dyDescent="0.2">
      <c r="A373" s="375"/>
      <c r="B373" s="117" t="s">
        <v>878</v>
      </c>
      <c r="C373" s="371"/>
      <c r="D373" s="372"/>
      <c r="E373" s="146"/>
      <c r="F373" s="146"/>
      <c r="G373" s="146"/>
      <c r="H373" s="371"/>
      <c r="I373" s="372"/>
      <c r="J373" s="146"/>
      <c r="K373" s="146"/>
      <c r="L373" s="146"/>
      <c r="M373" s="371"/>
      <c r="N373" s="372"/>
      <c r="O373" s="147"/>
      <c r="P373" s="147"/>
      <c r="Q373" s="147"/>
      <c r="R373" s="368"/>
      <c r="S373" s="365"/>
      <c r="T373" s="147"/>
      <c r="U373" s="147"/>
      <c r="V373" s="147"/>
      <c r="W373" s="368"/>
      <c r="X373" s="365"/>
      <c r="Y373" s="147"/>
      <c r="Z373" s="147"/>
      <c r="AA373" s="147"/>
      <c r="AB373" s="368"/>
    </row>
    <row r="374" spans="1:28" ht="16.149999999999999" customHeight="1" x14ac:dyDescent="0.2">
      <c r="A374" s="375"/>
      <c r="B374" s="117" t="s">
        <v>879</v>
      </c>
      <c r="C374" s="371"/>
      <c r="D374" s="372"/>
      <c r="E374" s="146"/>
      <c r="F374" s="146"/>
      <c r="G374" s="146"/>
      <c r="H374" s="371"/>
      <c r="I374" s="372"/>
      <c r="J374" s="146"/>
      <c r="K374" s="146"/>
      <c r="L374" s="146"/>
      <c r="M374" s="371"/>
      <c r="N374" s="372"/>
      <c r="O374" s="147"/>
      <c r="P374" s="147"/>
      <c r="Q374" s="147"/>
      <c r="R374" s="368"/>
      <c r="S374" s="365"/>
      <c r="T374" s="147"/>
      <c r="U374" s="147"/>
      <c r="V374" s="147"/>
      <c r="W374" s="368"/>
      <c r="X374" s="365"/>
      <c r="Y374" s="147"/>
      <c r="Z374" s="147"/>
      <c r="AA374" s="147"/>
      <c r="AB374" s="368"/>
    </row>
    <row r="375" spans="1:28" ht="16.149999999999999" customHeight="1" x14ac:dyDescent="0.2">
      <c r="A375" s="375"/>
      <c r="B375" s="117" t="s">
        <v>880</v>
      </c>
      <c r="C375" s="371"/>
      <c r="D375" s="372"/>
      <c r="E375" s="146"/>
      <c r="F375" s="146"/>
      <c r="G375" s="146"/>
      <c r="H375" s="371"/>
      <c r="I375" s="372"/>
      <c r="J375" s="146"/>
      <c r="K375" s="146"/>
      <c r="L375" s="146"/>
      <c r="M375" s="371"/>
      <c r="N375" s="372"/>
      <c r="O375" s="147"/>
      <c r="P375" s="147"/>
      <c r="Q375" s="147"/>
      <c r="R375" s="368"/>
      <c r="S375" s="365"/>
      <c r="T375" s="147"/>
      <c r="U375" s="147"/>
      <c r="V375" s="147"/>
      <c r="W375" s="368"/>
      <c r="X375" s="365"/>
      <c r="Y375" s="147"/>
      <c r="Z375" s="147"/>
      <c r="AA375" s="147"/>
      <c r="AB375" s="368"/>
    </row>
    <row r="376" spans="1:28" ht="30.75" customHeight="1" x14ac:dyDescent="0.2">
      <c r="A376" s="375"/>
      <c r="B376" s="117" t="s">
        <v>881</v>
      </c>
      <c r="C376" s="371"/>
      <c r="D376" s="372"/>
      <c r="E376" s="146"/>
      <c r="F376" s="146"/>
      <c r="G376" s="146"/>
      <c r="H376" s="371"/>
      <c r="I376" s="372"/>
      <c r="J376" s="146"/>
      <c r="K376" s="146"/>
      <c r="L376" s="146"/>
      <c r="M376" s="371"/>
      <c r="N376" s="372"/>
      <c r="O376" s="147"/>
      <c r="P376" s="147"/>
      <c r="Q376" s="147"/>
      <c r="R376" s="368"/>
      <c r="S376" s="365"/>
      <c r="T376" s="147"/>
      <c r="U376" s="147"/>
      <c r="V376" s="147"/>
      <c r="W376" s="368"/>
      <c r="X376" s="365"/>
      <c r="Y376" s="147"/>
      <c r="Z376" s="147"/>
      <c r="AA376" s="147"/>
      <c r="AB376" s="368"/>
    </row>
    <row r="377" spans="1:28" ht="16.5" customHeight="1" x14ac:dyDescent="0.2">
      <c r="A377" s="375"/>
      <c r="B377" s="117" t="s">
        <v>883</v>
      </c>
      <c r="C377" s="371"/>
      <c r="D377" s="372"/>
      <c r="E377" s="146"/>
      <c r="F377" s="146"/>
      <c r="G377" s="146"/>
      <c r="H377" s="371"/>
      <c r="I377" s="372"/>
      <c r="J377" s="146"/>
      <c r="K377" s="146"/>
      <c r="L377" s="146"/>
      <c r="M377" s="371"/>
      <c r="N377" s="372"/>
      <c r="O377" s="147"/>
      <c r="P377" s="147"/>
      <c r="Q377" s="147"/>
      <c r="R377" s="368"/>
      <c r="S377" s="365"/>
      <c r="T377" s="147"/>
      <c r="U377" s="147"/>
      <c r="V377" s="147"/>
      <c r="W377" s="368"/>
      <c r="X377" s="365"/>
      <c r="Y377" s="147"/>
      <c r="Z377" s="147"/>
      <c r="AA377" s="147"/>
      <c r="AB377" s="368"/>
    </row>
    <row r="378" spans="1:28" ht="16.149999999999999" customHeight="1" x14ac:dyDescent="0.2">
      <c r="A378" s="375"/>
      <c r="B378" s="117" t="s">
        <v>882</v>
      </c>
      <c r="C378" s="371"/>
      <c r="D378" s="372"/>
      <c r="E378" s="146"/>
      <c r="F378" s="146"/>
      <c r="G378" s="146"/>
      <c r="H378" s="371"/>
      <c r="I378" s="372"/>
      <c r="J378" s="146"/>
      <c r="K378" s="146"/>
      <c r="L378" s="146"/>
      <c r="M378" s="371"/>
      <c r="N378" s="372"/>
      <c r="O378" s="147"/>
      <c r="P378" s="147"/>
      <c r="Q378" s="147"/>
      <c r="R378" s="368"/>
      <c r="S378" s="365"/>
      <c r="T378" s="147"/>
      <c r="U378" s="147"/>
      <c r="V378" s="147"/>
      <c r="W378" s="368"/>
      <c r="X378" s="365"/>
      <c r="Y378" s="147"/>
      <c r="Z378" s="147"/>
      <c r="AA378" s="147"/>
      <c r="AB378" s="368"/>
    </row>
    <row r="379" spans="1:28" ht="16.149999999999999" customHeight="1" x14ac:dyDescent="0.2">
      <c r="A379" s="375"/>
      <c r="B379" s="117" t="s">
        <v>884</v>
      </c>
      <c r="C379" s="371"/>
      <c r="D379" s="372"/>
      <c r="E379" s="146"/>
      <c r="F379" s="146"/>
      <c r="G379" s="146"/>
      <c r="H379" s="371"/>
      <c r="I379" s="372"/>
      <c r="J379" s="146"/>
      <c r="K379" s="146"/>
      <c r="L379" s="146"/>
      <c r="M379" s="371"/>
      <c r="N379" s="372"/>
      <c r="O379" s="147"/>
      <c r="P379" s="147"/>
      <c r="Q379" s="147"/>
      <c r="R379" s="368"/>
      <c r="S379" s="365"/>
      <c r="T379" s="147"/>
      <c r="U379" s="147"/>
      <c r="V379" s="147"/>
      <c r="W379" s="368"/>
      <c r="X379" s="365"/>
      <c r="Y379" s="147"/>
      <c r="Z379" s="147"/>
      <c r="AA379" s="147"/>
      <c r="AB379" s="368"/>
    </row>
    <row r="380" spans="1:28" ht="16.149999999999999" customHeight="1" x14ac:dyDescent="0.2">
      <c r="A380" s="375"/>
      <c r="B380" s="117" t="s">
        <v>885</v>
      </c>
      <c r="C380" s="371"/>
      <c r="D380" s="372"/>
      <c r="E380" s="146"/>
      <c r="F380" s="146"/>
      <c r="G380" s="146"/>
      <c r="H380" s="371"/>
      <c r="I380" s="372"/>
      <c r="J380" s="146"/>
      <c r="K380" s="146"/>
      <c r="L380" s="146"/>
      <c r="M380" s="371"/>
      <c r="N380" s="372"/>
      <c r="O380" s="147"/>
      <c r="P380" s="147"/>
      <c r="Q380" s="147"/>
      <c r="R380" s="368"/>
      <c r="S380" s="365"/>
      <c r="T380" s="147"/>
      <c r="U380" s="147"/>
      <c r="V380" s="147"/>
      <c r="W380" s="368"/>
      <c r="X380" s="365"/>
      <c r="Y380" s="147"/>
      <c r="Z380" s="147"/>
      <c r="AA380" s="147"/>
      <c r="AB380" s="368"/>
    </row>
    <row r="381" spans="1:28" ht="16.149999999999999" customHeight="1" x14ac:dyDescent="0.2">
      <c r="A381" s="375"/>
      <c r="B381" s="117" t="s">
        <v>886</v>
      </c>
      <c r="C381" s="371"/>
      <c r="D381" s="372"/>
      <c r="E381" s="146"/>
      <c r="F381" s="146"/>
      <c r="G381" s="146"/>
      <c r="H381" s="371"/>
      <c r="I381" s="372"/>
      <c r="J381" s="146"/>
      <c r="K381" s="146"/>
      <c r="L381" s="146"/>
      <c r="M381" s="371"/>
      <c r="N381" s="372"/>
      <c r="O381" s="147"/>
      <c r="P381" s="147"/>
      <c r="Q381" s="147"/>
      <c r="R381" s="368"/>
      <c r="S381" s="365"/>
      <c r="T381" s="147"/>
      <c r="U381" s="147"/>
      <c r="V381" s="147"/>
      <c r="W381" s="368"/>
      <c r="X381" s="365"/>
      <c r="Y381" s="147"/>
      <c r="Z381" s="147"/>
      <c r="AA381" s="147"/>
      <c r="AB381" s="368"/>
    </row>
    <row r="382" spans="1:28" ht="16.149999999999999" customHeight="1" x14ac:dyDescent="0.2">
      <c r="A382" s="375"/>
      <c r="B382" s="117" t="s">
        <v>887</v>
      </c>
      <c r="C382" s="371"/>
      <c r="D382" s="372"/>
      <c r="E382" s="146"/>
      <c r="F382" s="146"/>
      <c r="G382" s="146"/>
      <c r="H382" s="371"/>
      <c r="I382" s="372"/>
      <c r="J382" s="146"/>
      <c r="K382" s="146"/>
      <c r="L382" s="146"/>
      <c r="M382" s="371"/>
      <c r="N382" s="372"/>
      <c r="O382" s="147"/>
      <c r="P382" s="147"/>
      <c r="Q382" s="147"/>
      <c r="R382" s="368"/>
      <c r="S382" s="365"/>
      <c r="T382" s="147"/>
      <c r="U382" s="147"/>
      <c r="V382" s="147"/>
      <c r="W382" s="368"/>
      <c r="X382" s="365"/>
      <c r="Y382" s="147"/>
      <c r="Z382" s="147"/>
      <c r="AA382" s="147"/>
      <c r="AB382" s="368"/>
    </row>
    <row r="383" spans="1:28" ht="16.149999999999999" customHeight="1" x14ac:dyDescent="0.2">
      <c r="A383" s="375"/>
      <c r="B383" s="117" t="s">
        <v>888</v>
      </c>
      <c r="C383" s="371"/>
      <c r="D383" s="372"/>
      <c r="E383" s="146"/>
      <c r="F383" s="146"/>
      <c r="G383" s="146"/>
      <c r="H383" s="371"/>
      <c r="I383" s="372"/>
      <c r="J383" s="146"/>
      <c r="K383" s="146"/>
      <c r="L383" s="146"/>
      <c r="M383" s="371"/>
      <c r="N383" s="372"/>
      <c r="O383" s="147"/>
      <c r="P383" s="147"/>
      <c r="Q383" s="147"/>
      <c r="R383" s="368"/>
      <c r="S383" s="365"/>
      <c r="T383" s="147"/>
      <c r="U383" s="147"/>
      <c r="V383" s="147"/>
      <c r="W383" s="368"/>
      <c r="X383" s="365"/>
      <c r="Y383" s="147"/>
      <c r="Z383" s="147"/>
      <c r="AA383" s="147"/>
      <c r="AB383" s="368"/>
    </row>
    <row r="384" spans="1:28" ht="16.149999999999999" customHeight="1" x14ac:dyDescent="0.2">
      <c r="A384" s="375"/>
      <c r="B384" s="117" t="s">
        <v>889</v>
      </c>
      <c r="C384" s="371"/>
      <c r="D384" s="372"/>
      <c r="E384" s="146"/>
      <c r="F384" s="146"/>
      <c r="G384" s="146"/>
      <c r="H384" s="371"/>
      <c r="I384" s="372"/>
      <c r="J384" s="146"/>
      <c r="K384" s="146"/>
      <c r="L384" s="146"/>
      <c r="M384" s="371"/>
      <c r="N384" s="372"/>
      <c r="O384" s="147"/>
      <c r="P384" s="147"/>
      <c r="Q384" s="147"/>
      <c r="R384" s="368"/>
      <c r="S384" s="365"/>
      <c r="T384" s="147"/>
      <c r="U384" s="147"/>
      <c r="V384" s="147"/>
      <c r="W384" s="368"/>
      <c r="X384" s="365"/>
      <c r="Y384" s="147"/>
      <c r="Z384" s="147"/>
      <c r="AA384" s="147"/>
      <c r="AB384" s="368"/>
    </row>
    <row r="385" spans="1:28" ht="16.149999999999999" customHeight="1" x14ac:dyDescent="0.2">
      <c r="A385" s="375"/>
      <c r="B385" s="117" t="s">
        <v>890</v>
      </c>
      <c r="C385" s="371"/>
      <c r="D385" s="372"/>
      <c r="E385" s="146"/>
      <c r="F385" s="146"/>
      <c r="G385" s="146"/>
      <c r="H385" s="371"/>
      <c r="I385" s="372"/>
      <c r="J385" s="146"/>
      <c r="K385" s="146"/>
      <c r="L385" s="146"/>
      <c r="M385" s="371"/>
      <c r="N385" s="372"/>
      <c r="O385" s="147"/>
      <c r="P385" s="147"/>
      <c r="Q385" s="147"/>
      <c r="R385" s="368"/>
      <c r="S385" s="365"/>
      <c r="T385" s="147"/>
      <c r="U385" s="147"/>
      <c r="V385" s="147"/>
      <c r="W385" s="368"/>
      <c r="X385" s="365"/>
      <c r="Y385" s="147"/>
      <c r="Z385" s="147"/>
      <c r="AA385" s="147"/>
      <c r="AB385" s="368"/>
    </row>
    <row r="386" spans="1:28" ht="16.149999999999999" customHeight="1" x14ac:dyDescent="0.2">
      <c r="A386" s="375"/>
      <c r="B386" s="117" t="s">
        <v>891</v>
      </c>
      <c r="C386" s="371"/>
      <c r="D386" s="372"/>
      <c r="E386" s="146"/>
      <c r="F386" s="146"/>
      <c r="G386" s="146"/>
      <c r="H386" s="371"/>
      <c r="I386" s="372"/>
      <c r="J386" s="146"/>
      <c r="K386" s="146"/>
      <c r="L386" s="146"/>
      <c r="M386" s="371"/>
      <c r="N386" s="372"/>
      <c r="O386" s="147"/>
      <c r="P386" s="147"/>
      <c r="Q386" s="147"/>
      <c r="R386" s="368"/>
      <c r="S386" s="365"/>
      <c r="T386" s="147"/>
      <c r="U386" s="147"/>
      <c r="V386" s="147"/>
      <c r="W386" s="368"/>
      <c r="X386" s="365"/>
      <c r="Y386" s="147"/>
      <c r="Z386" s="147"/>
      <c r="AA386" s="147"/>
      <c r="AB386" s="368"/>
    </row>
    <row r="387" spans="1:28" ht="15.75" customHeight="1" x14ac:dyDescent="0.2">
      <c r="A387" s="375"/>
      <c r="B387" s="117" t="s">
        <v>892</v>
      </c>
      <c r="C387" s="371"/>
      <c r="D387" s="372"/>
      <c r="E387" s="146"/>
      <c r="F387" s="146"/>
      <c r="G387" s="146"/>
      <c r="H387" s="371"/>
      <c r="I387" s="372"/>
      <c r="J387" s="146"/>
      <c r="K387" s="146"/>
      <c r="L387" s="146"/>
      <c r="M387" s="371"/>
      <c r="N387" s="372"/>
      <c r="O387" s="147"/>
      <c r="P387" s="147"/>
      <c r="Q387" s="147"/>
      <c r="R387" s="368"/>
      <c r="S387" s="365"/>
      <c r="T387" s="147"/>
      <c r="U387" s="147"/>
      <c r="V387" s="147"/>
      <c r="W387" s="368"/>
      <c r="X387" s="365"/>
      <c r="Y387" s="147"/>
      <c r="Z387" s="147"/>
      <c r="AA387" s="147"/>
      <c r="AB387" s="368"/>
    </row>
    <row r="388" spans="1:28" ht="16.149999999999999" customHeight="1" x14ac:dyDescent="0.2">
      <c r="A388" s="375"/>
      <c r="B388" s="117" t="s">
        <v>893</v>
      </c>
      <c r="C388" s="371"/>
      <c r="D388" s="372"/>
      <c r="E388" s="146"/>
      <c r="F388" s="146"/>
      <c r="G388" s="146"/>
      <c r="H388" s="371"/>
      <c r="I388" s="372"/>
      <c r="J388" s="146"/>
      <c r="K388" s="146"/>
      <c r="L388" s="146"/>
      <c r="M388" s="148"/>
      <c r="N388" s="150"/>
      <c r="O388" s="147"/>
      <c r="P388" s="147"/>
      <c r="Q388" s="147"/>
      <c r="R388" s="368"/>
      <c r="S388" s="365"/>
      <c r="T388" s="147"/>
      <c r="U388" s="147"/>
      <c r="V388" s="147"/>
      <c r="W388" s="368"/>
      <c r="X388" s="365"/>
      <c r="Y388" s="147"/>
      <c r="Z388" s="147"/>
      <c r="AA388" s="147"/>
      <c r="AB388" s="368"/>
    </row>
    <row r="389" spans="1:28" ht="16.149999999999999" customHeight="1" x14ac:dyDescent="0.2">
      <c r="A389" s="375"/>
      <c r="B389" s="117" t="s">
        <v>894</v>
      </c>
      <c r="C389" s="371"/>
      <c r="D389" s="372"/>
      <c r="E389" s="146"/>
      <c r="F389" s="146"/>
      <c r="G389" s="146"/>
      <c r="H389" s="371"/>
      <c r="I389" s="372"/>
      <c r="J389" s="146"/>
      <c r="K389" s="146"/>
      <c r="L389" s="146"/>
      <c r="M389" s="148"/>
      <c r="N389" s="150"/>
      <c r="O389" s="147"/>
      <c r="P389" s="147"/>
      <c r="Q389" s="147"/>
      <c r="R389" s="368"/>
      <c r="S389" s="365"/>
      <c r="T389" s="147"/>
      <c r="U389" s="147"/>
      <c r="V389" s="147"/>
      <c r="W389" s="368"/>
      <c r="X389" s="365"/>
      <c r="Y389" s="147"/>
      <c r="Z389" s="147"/>
      <c r="AA389" s="147"/>
      <c r="AB389" s="368"/>
    </row>
    <row r="390" spans="1:28" ht="16.149999999999999" customHeight="1" x14ac:dyDescent="0.2">
      <c r="A390" s="375"/>
      <c r="B390" s="117" t="s">
        <v>895</v>
      </c>
      <c r="C390" s="371"/>
      <c r="D390" s="372"/>
      <c r="E390" s="146"/>
      <c r="F390" s="146"/>
      <c r="G390" s="146"/>
      <c r="H390" s="371"/>
      <c r="I390" s="372"/>
      <c r="J390" s="146"/>
      <c r="K390" s="146"/>
      <c r="L390" s="146"/>
      <c r="M390" s="148"/>
      <c r="N390" s="150"/>
      <c r="O390" s="147"/>
      <c r="P390" s="147"/>
      <c r="Q390" s="147"/>
      <c r="R390" s="368"/>
      <c r="S390" s="365"/>
      <c r="T390" s="147"/>
      <c r="U390" s="147"/>
      <c r="V390" s="147"/>
      <c r="W390" s="368"/>
      <c r="X390" s="365"/>
      <c r="Y390" s="147"/>
      <c r="Z390" s="147"/>
      <c r="AA390" s="147"/>
      <c r="AB390" s="368"/>
    </row>
    <row r="391" spans="1:28" ht="16.149999999999999" customHeight="1" x14ac:dyDescent="0.2">
      <c r="A391" s="375"/>
      <c r="B391" s="117" t="s">
        <v>896</v>
      </c>
      <c r="C391" s="371"/>
      <c r="D391" s="372"/>
      <c r="E391" s="146"/>
      <c r="F391" s="146"/>
      <c r="G391" s="146"/>
      <c r="H391" s="371"/>
      <c r="I391" s="372"/>
      <c r="J391" s="146"/>
      <c r="K391" s="146"/>
      <c r="L391" s="146"/>
      <c r="M391" s="148"/>
      <c r="N391" s="150"/>
      <c r="O391" s="147"/>
      <c r="P391" s="147"/>
      <c r="Q391" s="147"/>
      <c r="R391" s="368"/>
      <c r="S391" s="365"/>
      <c r="T391" s="147"/>
      <c r="U391" s="147"/>
      <c r="V391" s="147"/>
      <c r="W391" s="368"/>
      <c r="X391" s="365"/>
      <c r="Y391" s="147"/>
      <c r="Z391" s="147"/>
      <c r="AA391" s="147"/>
      <c r="AB391" s="368"/>
    </row>
    <row r="392" spans="1:28" ht="16.149999999999999" customHeight="1" x14ac:dyDescent="0.2">
      <c r="A392" s="375"/>
      <c r="B392" s="117" t="s">
        <v>897</v>
      </c>
      <c r="C392" s="371"/>
      <c r="D392" s="372"/>
      <c r="E392" s="146"/>
      <c r="F392" s="146"/>
      <c r="G392" s="146"/>
      <c r="H392" s="371"/>
      <c r="I392" s="372"/>
      <c r="J392" s="146"/>
      <c r="K392" s="146"/>
      <c r="L392" s="146"/>
      <c r="M392" s="148"/>
      <c r="N392" s="150"/>
      <c r="O392" s="147"/>
      <c r="P392" s="147"/>
      <c r="Q392" s="147"/>
      <c r="R392" s="368"/>
      <c r="S392" s="365"/>
      <c r="T392" s="147"/>
      <c r="U392" s="147"/>
      <c r="V392" s="147"/>
      <c r="W392" s="368"/>
      <c r="X392" s="365"/>
      <c r="Y392" s="147"/>
      <c r="Z392" s="147"/>
      <c r="AA392" s="147"/>
      <c r="AB392" s="368"/>
    </row>
    <row r="393" spans="1:28" ht="16.149999999999999" customHeight="1" x14ac:dyDescent="0.2">
      <c r="A393" s="375"/>
      <c r="B393" s="117" t="s">
        <v>898</v>
      </c>
      <c r="C393" s="371"/>
      <c r="D393" s="372"/>
      <c r="E393" s="146"/>
      <c r="F393" s="146"/>
      <c r="G393" s="146"/>
      <c r="H393" s="371"/>
      <c r="I393" s="372"/>
      <c r="J393" s="146"/>
      <c r="K393" s="146"/>
      <c r="L393" s="146"/>
      <c r="M393" s="148"/>
      <c r="N393" s="150"/>
      <c r="O393" s="147"/>
      <c r="P393" s="147"/>
      <c r="Q393" s="147"/>
      <c r="R393" s="368"/>
      <c r="S393" s="365"/>
      <c r="T393" s="147"/>
      <c r="U393" s="147"/>
      <c r="V393" s="147"/>
      <c r="W393" s="368"/>
      <c r="X393" s="365"/>
      <c r="Y393" s="147"/>
      <c r="Z393" s="147"/>
      <c r="AA393" s="147"/>
      <c r="AB393" s="368"/>
    </row>
    <row r="394" spans="1:28" ht="16.149999999999999" customHeight="1" x14ac:dyDescent="0.2">
      <c r="A394" s="375"/>
      <c r="B394" s="117" t="s">
        <v>899</v>
      </c>
      <c r="C394" s="371"/>
      <c r="D394" s="372"/>
      <c r="E394" s="146"/>
      <c r="F394" s="146"/>
      <c r="G394" s="146"/>
      <c r="H394" s="371"/>
      <c r="I394" s="372"/>
      <c r="J394" s="146"/>
      <c r="K394" s="146"/>
      <c r="L394" s="146"/>
      <c r="M394" s="148"/>
      <c r="N394" s="150"/>
      <c r="O394" s="147"/>
      <c r="P394" s="147"/>
      <c r="Q394" s="147"/>
      <c r="R394" s="368"/>
      <c r="S394" s="365"/>
      <c r="T394" s="147"/>
      <c r="U394" s="147"/>
      <c r="V394" s="147"/>
      <c r="W394" s="368"/>
      <c r="X394" s="365"/>
      <c r="Y394" s="147"/>
      <c r="Z394" s="147"/>
      <c r="AA394" s="147"/>
      <c r="AB394" s="368"/>
    </row>
    <row r="395" spans="1:28" ht="16.149999999999999" customHeight="1" x14ac:dyDescent="0.2">
      <c r="A395" s="375"/>
      <c r="B395" s="117" t="s">
        <v>900</v>
      </c>
      <c r="C395" s="371"/>
      <c r="D395" s="372"/>
      <c r="E395" s="146"/>
      <c r="F395" s="146"/>
      <c r="G395" s="146"/>
      <c r="H395" s="371"/>
      <c r="I395" s="372"/>
      <c r="J395" s="146"/>
      <c r="K395" s="146"/>
      <c r="L395" s="146"/>
      <c r="M395" s="148"/>
      <c r="N395" s="150"/>
      <c r="O395" s="147"/>
      <c r="P395" s="147"/>
      <c r="Q395" s="147"/>
      <c r="R395" s="368"/>
      <c r="S395" s="365"/>
      <c r="T395" s="147"/>
      <c r="U395" s="147"/>
      <c r="V395" s="147"/>
      <c r="W395" s="368"/>
      <c r="X395" s="365"/>
      <c r="Y395" s="147"/>
      <c r="Z395" s="147"/>
      <c r="AA395" s="147"/>
      <c r="AB395" s="368"/>
    </row>
    <row r="396" spans="1:28" ht="16.149999999999999" customHeight="1" x14ac:dyDescent="0.2">
      <c r="A396" s="375"/>
      <c r="B396" s="117" t="s">
        <v>901</v>
      </c>
      <c r="C396" s="371"/>
      <c r="D396" s="372"/>
      <c r="E396" s="146"/>
      <c r="F396" s="146"/>
      <c r="G396" s="146"/>
      <c r="H396" s="371"/>
      <c r="I396" s="372"/>
      <c r="J396" s="146"/>
      <c r="K396" s="146"/>
      <c r="L396" s="146"/>
      <c r="M396" s="148"/>
      <c r="N396" s="150"/>
      <c r="O396" s="147"/>
      <c r="P396" s="147"/>
      <c r="Q396" s="147"/>
      <c r="R396" s="368"/>
      <c r="S396" s="365"/>
      <c r="T396" s="147"/>
      <c r="U396" s="147"/>
      <c r="V396" s="147"/>
      <c r="W396" s="368"/>
      <c r="X396" s="365"/>
      <c r="Y396" s="147"/>
      <c r="Z396" s="147"/>
      <c r="AA396" s="147"/>
      <c r="AB396" s="368"/>
    </row>
    <row r="397" spans="1:28" ht="16.149999999999999" customHeight="1" x14ac:dyDescent="0.2">
      <c r="A397" s="375"/>
      <c r="B397" s="117" t="s">
        <v>902</v>
      </c>
      <c r="C397" s="371"/>
      <c r="D397" s="372"/>
      <c r="E397" s="146"/>
      <c r="F397" s="146"/>
      <c r="G397" s="146"/>
      <c r="H397" s="371"/>
      <c r="I397" s="372"/>
      <c r="J397" s="146"/>
      <c r="K397" s="146"/>
      <c r="L397" s="146"/>
      <c r="M397" s="148"/>
      <c r="N397" s="150"/>
      <c r="O397" s="147"/>
      <c r="P397" s="147"/>
      <c r="Q397" s="147"/>
      <c r="R397" s="368"/>
      <c r="S397" s="365"/>
      <c r="T397" s="147"/>
      <c r="U397" s="147"/>
      <c r="V397" s="147"/>
      <c r="W397" s="368"/>
      <c r="X397" s="365"/>
      <c r="Y397" s="147"/>
      <c r="Z397" s="147"/>
      <c r="AA397" s="147"/>
      <c r="AB397" s="368"/>
    </row>
    <row r="398" spans="1:28" ht="16.149999999999999" customHeight="1" x14ac:dyDescent="0.2">
      <c r="A398" s="375"/>
      <c r="B398" s="117" t="s">
        <v>903</v>
      </c>
      <c r="C398" s="371"/>
      <c r="D398" s="372"/>
      <c r="E398" s="146"/>
      <c r="F398" s="146"/>
      <c r="G398" s="146"/>
      <c r="H398" s="371"/>
      <c r="I398" s="372"/>
      <c r="J398" s="146"/>
      <c r="K398" s="146"/>
      <c r="L398" s="146"/>
      <c r="M398" s="148"/>
      <c r="N398" s="150"/>
      <c r="O398" s="147"/>
      <c r="P398" s="147"/>
      <c r="Q398" s="147"/>
      <c r="R398" s="368"/>
      <c r="S398" s="365"/>
      <c r="T398" s="147"/>
      <c r="U398" s="147"/>
      <c r="V398" s="147"/>
      <c r="W398" s="368"/>
      <c r="X398" s="365"/>
      <c r="Y398" s="147"/>
      <c r="Z398" s="147"/>
      <c r="AA398" s="147"/>
      <c r="AB398" s="368"/>
    </row>
    <row r="399" spans="1:28" ht="16.149999999999999" customHeight="1" x14ac:dyDescent="0.2">
      <c r="A399" s="375"/>
      <c r="B399" s="117" t="s">
        <v>904</v>
      </c>
      <c r="C399" s="371"/>
      <c r="D399" s="372"/>
      <c r="E399" s="146"/>
      <c r="F399" s="146"/>
      <c r="G399" s="146"/>
      <c r="H399" s="371"/>
      <c r="I399" s="372"/>
      <c r="J399" s="146"/>
      <c r="K399" s="146"/>
      <c r="L399" s="146"/>
      <c r="M399" s="148"/>
      <c r="N399" s="150"/>
      <c r="O399" s="147"/>
      <c r="P399" s="147"/>
      <c r="Q399" s="147"/>
      <c r="R399" s="368"/>
      <c r="S399" s="365"/>
      <c r="T399" s="147"/>
      <c r="U399" s="147"/>
      <c r="V399" s="147"/>
      <c r="W399" s="368"/>
      <c r="X399" s="365"/>
      <c r="Y399" s="147"/>
      <c r="Z399" s="147"/>
      <c r="AA399" s="147"/>
      <c r="AB399" s="368"/>
    </row>
    <row r="400" spans="1:28" ht="16.149999999999999" customHeight="1" x14ac:dyDescent="0.2">
      <c r="A400" s="375"/>
      <c r="B400" s="117" t="s">
        <v>905</v>
      </c>
      <c r="C400" s="371"/>
      <c r="D400" s="372"/>
      <c r="E400" s="146"/>
      <c r="F400" s="146"/>
      <c r="G400" s="146"/>
      <c r="H400" s="371"/>
      <c r="I400" s="372"/>
      <c r="J400" s="146"/>
      <c r="K400" s="146"/>
      <c r="L400" s="146"/>
      <c r="M400" s="148"/>
      <c r="N400" s="150"/>
      <c r="O400" s="147"/>
      <c r="P400" s="147"/>
      <c r="Q400" s="147"/>
      <c r="R400" s="368"/>
      <c r="S400" s="365"/>
      <c r="T400" s="147"/>
      <c r="U400" s="147"/>
      <c r="V400" s="147"/>
      <c r="W400" s="368"/>
      <c r="X400" s="365"/>
      <c r="Y400" s="147"/>
      <c r="Z400" s="147"/>
      <c r="AA400" s="147"/>
      <c r="AB400" s="368"/>
    </row>
    <row r="401" spans="1:28" ht="16.149999999999999" customHeight="1" x14ac:dyDescent="0.2">
      <c r="A401" s="375"/>
      <c r="B401" s="117" t="s">
        <v>906</v>
      </c>
      <c r="C401" s="371"/>
      <c r="D401" s="372"/>
      <c r="E401" s="146"/>
      <c r="F401" s="146"/>
      <c r="G401" s="146"/>
      <c r="H401" s="371"/>
      <c r="I401" s="372"/>
      <c r="J401" s="146"/>
      <c r="K401" s="146"/>
      <c r="L401" s="146"/>
      <c r="M401" s="148"/>
      <c r="N401" s="150"/>
      <c r="O401" s="147"/>
      <c r="P401" s="147"/>
      <c r="Q401" s="147"/>
      <c r="R401" s="368"/>
      <c r="S401" s="365"/>
      <c r="T401" s="147"/>
      <c r="U401" s="147"/>
      <c r="V401" s="147"/>
      <c r="W401" s="368"/>
      <c r="X401" s="365"/>
      <c r="Y401" s="147"/>
      <c r="Z401" s="147"/>
      <c r="AA401" s="147"/>
      <c r="AB401" s="368"/>
    </row>
    <row r="402" spans="1:28" ht="16.149999999999999" customHeight="1" x14ac:dyDescent="0.2">
      <c r="A402" s="375"/>
      <c r="B402" s="117" t="s">
        <v>907</v>
      </c>
      <c r="C402" s="371"/>
      <c r="D402" s="372"/>
      <c r="E402" s="146"/>
      <c r="F402" s="146"/>
      <c r="G402" s="146"/>
      <c r="H402" s="371"/>
      <c r="I402" s="372"/>
      <c r="J402" s="146"/>
      <c r="K402" s="146"/>
      <c r="L402" s="146"/>
      <c r="M402" s="148"/>
      <c r="N402" s="150"/>
      <c r="O402" s="147"/>
      <c r="P402" s="147"/>
      <c r="Q402" s="147"/>
      <c r="R402" s="368"/>
      <c r="S402" s="365"/>
      <c r="T402" s="147"/>
      <c r="U402" s="147"/>
      <c r="V402" s="147"/>
      <c r="W402" s="368"/>
      <c r="X402" s="365"/>
      <c r="Y402" s="147"/>
      <c r="Z402" s="147"/>
      <c r="AA402" s="147"/>
      <c r="AB402" s="368"/>
    </row>
    <row r="403" spans="1:28" ht="16.149999999999999" customHeight="1" x14ac:dyDescent="0.2">
      <c r="A403" s="375"/>
      <c r="B403" s="117" t="s">
        <v>913</v>
      </c>
      <c r="C403" s="371"/>
      <c r="D403" s="372"/>
      <c r="E403" s="146"/>
      <c r="F403" s="146"/>
      <c r="G403" s="146"/>
      <c r="H403" s="371"/>
      <c r="I403" s="372"/>
      <c r="J403" s="146"/>
      <c r="K403" s="146"/>
      <c r="L403" s="146"/>
      <c r="M403" s="148"/>
      <c r="N403" s="150"/>
      <c r="O403" s="147"/>
      <c r="P403" s="147"/>
      <c r="Q403" s="147"/>
      <c r="R403" s="368"/>
      <c r="S403" s="365"/>
      <c r="T403" s="147"/>
      <c r="U403" s="147"/>
      <c r="V403" s="147"/>
      <c r="W403" s="368"/>
      <c r="X403" s="365"/>
      <c r="Y403" s="147"/>
      <c r="Z403" s="147"/>
      <c r="AA403" s="147"/>
      <c r="AB403" s="368"/>
    </row>
    <row r="404" spans="1:28" ht="16.149999999999999" customHeight="1" x14ac:dyDescent="0.2">
      <c r="A404" s="375"/>
      <c r="B404" s="117" t="s">
        <v>908</v>
      </c>
      <c r="C404" s="371"/>
      <c r="D404" s="372"/>
      <c r="E404" s="146"/>
      <c r="F404" s="146"/>
      <c r="G404" s="146"/>
      <c r="H404" s="371"/>
      <c r="I404" s="372"/>
      <c r="J404" s="146"/>
      <c r="K404" s="146"/>
      <c r="L404" s="146"/>
      <c r="M404" s="148"/>
      <c r="N404" s="150"/>
      <c r="O404" s="147"/>
      <c r="P404" s="147"/>
      <c r="Q404" s="147"/>
      <c r="R404" s="368"/>
      <c r="S404" s="365"/>
      <c r="T404" s="147"/>
      <c r="U404" s="147"/>
      <c r="V404" s="147"/>
      <c r="W404" s="368"/>
      <c r="X404" s="365"/>
      <c r="Y404" s="147"/>
      <c r="Z404" s="147"/>
      <c r="AA404" s="147"/>
      <c r="AB404" s="368"/>
    </row>
    <row r="405" spans="1:28" ht="16.149999999999999" customHeight="1" x14ac:dyDescent="0.2">
      <c r="A405" s="375"/>
      <c r="B405" s="117" t="s">
        <v>912</v>
      </c>
      <c r="C405" s="371"/>
      <c r="D405" s="372"/>
      <c r="E405" s="146"/>
      <c r="F405" s="146"/>
      <c r="G405" s="146"/>
      <c r="H405" s="371"/>
      <c r="I405" s="372"/>
      <c r="J405" s="146"/>
      <c r="K405" s="146"/>
      <c r="L405" s="146"/>
      <c r="M405" s="148"/>
      <c r="N405" s="150"/>
      <c r="O405" s="147"/>
      <c r="P405" s="147"/>
      <c r="Q405" s="147"/>
      <c r="R405" s="368"/>
      <c r="S405" s="365"/>
      <c r="T405" s="147"/>
      <c r="U405" s="147"/>
      <c r="V405" s="147"/>
      <c r="W405" s="368"/>
      <c r="X405" s="365"/>
      <c r="Y405" s="147"/>
      <c r="Z405" s="147"/>
      <c r="AA405" s="147"/>
      <c r="AB405" s="368"/>
    </row>
    <row r="406" spans="1:28" ht="16.149999999999999" customHeight="1" x14ac:dyDescent="0.2">
      <c r="A406" s="375"/>
      <c r="B406" s="117" t="s">
        <v>909</v>
      </c>
      <c r="C406" s="371"/>
      <c r="D406" s="372"/>
      <c r="E406" s="146"/>
      <c r="F406" s="146"/>
      <c r="G406" s="146"/>
      <c r="H406" s="371"/>
      <c r="I406" s="372"/>
      <c r="J406" s="146"/>
      <c r="K406" s="146"/>
      <c r="L406" s="146"/>
      <c r="M406" s="148"/>
      <c r="N406" s="150"/>
      <c r="O406" s="147"/>
      <c r="P406" s="147"/>
      <c r="Q406" s="147"/>
      <c r="R406" s="368"/>
      <c r="S406" s="365"/>
      <c r="T406" s="147"/>
      <c r="U406" s="147"/>
      <c r="V406" s="147"/>
      <c r="W406" s="368"/>
      <c r="X406" s="365"/>
      <c r="Y406" s="147"/>
      <c r="Z406" s="147"/>
      <c r="AA406" s="147"/>
      <c r="AB406" s="368"/>
    </row>
    <row r="407" spans="1:28" ht="16.149999999999999" customHeight="1" x14ac:dyDescent="0.2">
      <c r="A407" s="375"/>
      <c r="B407" s="117" t="s">
        <v>910</v>
      </c>
      <c r="C407" s="371"/>
      <c r="D407" s="372"/>
      <c r="E407" s="146"/>
      <c r="F407" s="146"/>
      <c r="G407" s="146"/>
      <c r="H407" s="371"/>
      <c r="I407" s="372"/>
      <c r="J407" s="146"/>
      <c r="K407" s="146"/>
      <c r="L407" s="146"/>
      <c r="M407" s="148"/>
      <c r="N407" s="150"/>
      <c r="O407" s="147"/>
      <c r="P407" s="147"/>
      <c r="Q407" s="147"/>
      <c r="R407" s="368"/>
      <c r="S407" s="365"/>
      <c r="T407" s="147"/>
      <c r="U407" s="147"/>
      <c r="V407" s="147"/>
      <c r="W407" s="368"/>
      <c r="X407" s="365"/>
      <c r="Y407" s="147"/>
      <c r="Z407" s="147"/>
      <c r="AA407" s="147"/>
      <c r="AB407" s="368"/>
    </row>
    <row r="408" spans="1:28" ht="16.149999999999999" customHeight="1" x14ac:dyDescent="0.2">
      <c r="A408" s="375"/>
      <c r="B408" s="117" t="s">
        <v>911</v>
      </c>
      <c r="C408" s="371"/>
      <c r="D408" s="372"/>
      <c r="E408" s="146"/>
      <c r="F408" s="146"/>
      <c r="G408" s="146"/>
      <c r="H408" s="371"/>
      <c r="I408" s="372"/>
      <c r="J408" s="146"/>
      <c r="K408" s="146"/>
      <c r="L408" s="146"/>
      <c r="M408" s="148"/>
      <c r="N408" s="150"/>
      <c r="O408" s="147"/>
      <c r="P408" s="147"/>
      <c r="Q408" s="147"/>
      <c r="R408" s="368"/>
      <c r="S408" s="365"/>
      <c r="T408" s="147"/>
      <c r="U408" s="147"/>
      <c r="V408" s="147"/>
      <c r="W408" s="368"/>
      <c r="X408" s="365"/>
      <c r="Y408" s="147"/>
      <c r="Z408" s="147"/>
      <c r="AA408" s="147"/>
      <c r="AB408" s="368"/>
    </row>
    <row r="409" spans="1:28" ht="16.149999999999999" customHeight="1" x14ac:dyDescent="0.2">
      <c r="A409" s="375"/>
      <c r="B409" s="117" t="s">
        <v>914</v>
      </c>
      <c r="C409" s="371"/>
      <c r="D409" s="372"/>
      <c r="E409" s="146"/>
      <c r="F409" s="146"/>
      <c r="G409" s="146"/>
      <c r="H409" s="371"/>
      <c r="I409" s="372"/>
      <c r="J409" s="146"/>
      <c r="K409" s="146"/>
      <c r="L409" s="146"/>
      <c r="M409" s="148"/>
      <c r="N409" s="150"/>
      <c r="O409" s="147"/>
      <c r="P409" s="147"/>
      <c r="Q409" s="147"/>
      <c r="R409" s="368"/>
      <c r="S409" s="365"/>
      <c r="T409" s="147"/>
      <c r="U409" s="147"/>
      <c r="V409" s="147"/>
      <c r="W409" s="368"/>
      <c r="X409" s="365"/>
      <c r="Y409" s="147"/>
      <c r="Z409" s="147"/>
      <c r="AA409" s="147"/>
      <c r="AB409" s="368"/>
    </row>
    <row r="410" spans="1:28" ht="16.149999999999999" customHeight="1" x14ac:dyDescent="0.2">
      <c r="A410" s="375"/>
      <c r="B410" s="117" t="s">
        <v>915</v>
      </c>
      <c r="C410" s="371"/>
      <c r="D410" s="372"/>
      <c r="E410" s="146"/>
      <c r="F410" s="146"/>
      <c r="G410" s="146"/>
      <c r="H410" s="371"/>
      <c r="I410" s="372"/>
      <c r="J410" s="146"/>
      <c r="K410" s="146"/>
      <c r="L410" s="146"/>
      <c r="M410" s="148"/>
      <c r="N410" s="150"/>
      <c r="O410" s="147"/>
      <c r="P410" s="147"/>
      <c r="Q410" s="147"/>
      <c r="R410" s="368"/>
      <c r="S410" s="365"/>
      <c r="T410" s="147"/>
      <c r="U410" s="147"/>
      <c r="V410" s="147"/>
      <c r="W410" s="368"/>
      <c r="X410" s="365"/>
      <c r="Y410" s="147"/>
      <c r="Z410" s="147"/>
      <c r="AA410" s="147"/>
      <c r="AB410" s="368"/>
    </row>
    <row r="411" spans="1:28" ht="16.149999999999999" customHeight="1" x14ac:dyDescent="0.2">
      <c r="A411" s="375"/>
      <c r="B411" s="117" t="s">
        <v>916</v>
      </c>
      <c r="C411" s="371"/>
      <c r="D411" s="372"/>
      <c r="E411" s="146"/>
      <c r="F411" s="146"/>
      <c r="G411" s="146"/>
      <c r="H411" s="371"/>
      <c r="I411" s="372"/>
      <c r="J411" s="146"/>
      <c r="K411" s="146"/>
      <c r="L411" s="146"/>
      <c r="M411" s="148"/>
      <c r="N411" s="150"/>
      <c r="O411" s="147"/>
      <c r="P411" s="147"/>
      <c r="Q411" s="147"/>
      <c r="R411" s="368"/>
      <c r="S411" s="365"/>
      <c r="T411" s="147"/>
      <c r="U411" s="147"/>
      <c r="V411" s="147"/>
      <c r="W411" s="368"/>
      <c r="X411" s="365"/>
      <c r="Y411" s="147"/>
      <c r="Z411" s="147"/>
      <c r="AA411" s="147"/>
      <c r="AB411" s="368"/>
    </row>
    <row r="412" spans="1:28" ht="16.149999999999999" customHeight="1" x14ac:dyDescent="0.2">
      <c r="A412" s="375"/>
      <c r="B412" s="117" t="s">
        <v>917</v>
      </c>
      <c r="C412" s="371"/>
      <c r="D412" s="372"/>
      <c r="E412" s="146"/>
      <c r="F412" s="146"/>
      <c r="G412" s="146"/>
      <c r="H412" s="371"/>
      <c r="I412" s="372"/>
      <c r="J412" s="146"/>
      <c r="K412" s="146"/>
      <c r="L412" s="146"/>
      <c r="M412" s="148"/>
      <c r="N412" s="150"/>
      <c r="O412" s="147"/>
      <c r="P412" s="147"/>
      <c r="Q412" s="147"/>
      <c r="R412" s="368"/>
      <c r="S412" s="365"/>
      <c r="T412" s="147"/>
      <c r="U412" s="147"/>
      <c r="V412" s="147"/>
      <c r="W412" s="368"/>
      <c r="X412" s="365"/>
      <c r="Y412" s="147"/>
      <c r="Z412" s="147"/>
      <c r="AA412" s="147"/>
      <c r="AB412" s="368"/>
    </row>
    <row r="413" spans="1:28" ht="16.149999999999999" customHeight="1" x14ac:dyDescent="0.2">
      <c r="A413" s="375"/>
      <c r="B413" s="117" t="s">
        <v>918</v>
      </c>
      <c r="C413" s="371"/>
      <c r="D413" s="372"/>
      <c r="E413" s="146"/>
      <c r="F413" s="146"/>
      <c r="G413" s="146"/>
      <c r="H413" s="371"/>
      <c r="I413" s="372"/>
      <c r="J413" s="146"/>
      <c r="K413" s="146"/>
      <c r="L413" s="146"/>
      <c r="M413" s="148"/>
      <c r="N413" s="150"/>
      <c r="O413" s="147"/>
      <c r="P413" s="147"/>
      <c r="Q413" s="147"/>
      <c r="R413" s="368"/>
      <c r="S413" s="365"/>
      <c r="T413" s="147"/>
      <c r="U413" s="147"/>
      <c r="V413" s="147"/>
      <c r="W413" s="368"/>
      <c r="X413" s="365"/>
      <c r="Y413" s="147"/>
      <c r="Z413" s="147"/>
      <c r="AA413" s="147"/>
      <c r="AB413" s="368"/>
    </row>
    <row r="414" spans="1:28" ht="16.149999999999999" customHeight="1" x14ac:dyDescent="0.2">
      <c r="A414" s="375"/>
      <c r="B414" s="117" t="s">
        <v>919</v>
      </c>
      <c r="C414" s="371"/>
      <c r="D414" s="372"/>
      <c r="E414" s="146"/>
      <c r="F414" s="146"/>
      <c r="G414" s="146"/>
      <c r="H414" s="371"/>
      <c r="I414" s="372"/>
      <c r="J414" s="146"/>
      <c r="K414" s="146"/>
      <c r="L414" s="146"/>
      <c r="M414" s="148"/>
      <c r="N414" s="150"/>
      <c r="O414" s="147"/>
      <c r="P414" s="147"/>
      <c r="Q414" s="147"/>
      <c r="R414" s="368"/>
      <c r="S414" s="365"/>
      <c r="T414" s="147"/>
      <c r="U414" s="147"/>
      <c r="V414" s="147"/>
      <c r="W414" s="368"/>
      <c r="X414" s="365"/>
      <c r="Y414" s="147"/>
      <c r="Z414" s="147"/>
      <c r="AA414" s="147"/>
      <c r="AB414" s="368"/>
    </row>
    <row r="415" spans="1:28" ht="16.149999999999999" customHeight="1" x14ac:dyDescent="0.2">
      <c r="A415" s="375"/>
      <c r="B415" s="116" t="s">
        <v>360</v>
      </c>
      <c r="C415" s="371"/>
      <c r="D415" s="372"/>
      <c r="E415" s="146"/>
      <c r="F415" s="146"/>
      <c r="G415" s="146"/>
      <c r="H415" s="371"/>
      <c r="I415" s="372"/>
      <c r="J415" s="146"/>
      <c r="K415" s="146"/>
      <c r="L415" s="146"/>
      <c r="M415" s="148"/>
      <c r="N415" s="150"/>
      <c r="O415" s="147"/>
      <c r="P415" s="147"/>
      <c r="Q415" s="147"/>
      <c r="R415" s="368"/>
      <c r="S415" s="365"/>
      <c r="T415" s="147"/>
      <c r="U415" s="147"/>
      <c r="V415" s="147"/>
      <c r="W415" s="368"/>
      <c r="X415" s="365"/>
      <c r="Y415" s="147"/>
      <c r="Z415" s="147"/>
      <c r="AA415" s="147"/>
      <c r="AB415" s="368"/>
    </row>
    <row r="416" spans="1:28" ht="16.149999999999999" customHeight="1" x14ac:dyDescent="0.2">
      <c r="A416" s="375"/>
      <c r="B416" s="117" t="s">
        <v>920</v>
      </c>
      <c r="C416" s="371"/>
      <c r="D416" s="372"/>
      <c r="E416" s="146"/>
      <c r="F416" s="146"/>
      <c r="G416" s="146"/>
      <c r="H416" s="371"/>
      <c r="I416" s="372"/>
      <c r="J416" s="146"/>
      <c r="K416" s="146"/>
      <c r="L416" s="146"/>
      <c r="M416" s="148"/>
      <c r="N416" s="150"/>
      <c r="O416" s="147"/>
      <c r="P416" s="147"/>
      <c r="Q416" s="147"/>
      <c r="R416" s="368"/>
      <c r="S416" s="365"/>
      <c r="T416" s="147"/>
      <c r="U416" s="147"/>
      <c r="V416" s="147"/>
      <c r="W416" s="368"/>
      <c r="X416" s="365"/>
      <c r="Y416" s="147"/>
      <c r="Z416" s="147"/>
      <c r="AA416" s="147"/>
      <c r="AB416" s="368"/>
    </row>
    <row r="417" spans="1:28" ht="16.149999999999999" customHeight="1" x14ac:dyDescent="0.2">
      <c r="A417" s="375"/>
      <c r="B417" s="117" t="s">
        <v>921</v>
      </c>
      <c r="C417" s="371"/>
      <c r="D417" s="372"/>
      <c r="E417" s="146"/>
      <c r="F417" s="146"/>
      <c r="G417" s="146"/>
      <c r="H417" s="371"/>
      <c r="I417" s="372"/>
      <c r="J417" s="146"/>
      <c r="K417" s="146"/>
      <c r="L417" s="146"/>
      <c r="M417" s="148"/>
      <c r="N417" s="150"/>
      <c r="O417" s="147"/>
      <c r="P417" s="147"/>
      <c r="Q417" s="147"/>
      <c r="R417" s="368"/>
      <c r="S417" s="365"/>
      <c r="T417" s="147"/>
      <c r="U417" s="147"/>
      <c r="V417" s="147"/>
      <c r="W417" s="368"/>
      <c r="X417" s="365"/>
      <c r="Y417" s="147"/>
      <c r="Z417" s="147"/>
      <c r="AA417" s="147"/>
      <c r="AB417" s="368"/>
    </row>
    <row r="418" spans="1:28" ht="16.149999999999999" customHeight="1" x14ac:dyDescent="0.2">
      <c r="A418" s="375"/>
      <c r="B418" s="117" t="s">
        <v>922</v>
      </c>
      <c r="C418" s="371"/>
      <c r="D418" s="372"/>
      <c r="E418" s="146"/>
      <c r="F418" s="146"/>
      <c r="G418" s="146"/>
      <c r="H418" s="371"/>
      <c r="I418" s="372"/>
      <c r="J418" s="146"/>
      <c r="K418" s="146"/>
      <c r="L418" s="146"/>
      <c r="M418" s="148"/>
      <c r="N418" s="150"/>
      <c r="O418" s="147"/>
      <c r="P418" s="147"/>
      <c r="Q418" s="147"/>
      <c r="R418" s="368"/>
      <c r="S418" s="365"/>
      <c r="T418" s="147"/>
      <c r="U418" s="147"/>
      <c r="V418" s="147"/>
      <c r="W418" s="368"/>
      <c r="X418" s="365"/>
      <c r="Y418" s="147"/>
      <c r="Z418" s="147"/>
      <c r="AA418" s="147"/>
      <c r="AB418" s="368"/>
    </row>
    <row r="419" spans="1:28" ht="16.149999999999999" customHeight="1" x14ac:dyDescent="0.2">
      <c r="A419" s="375"/>
      <c r="B419" s="117" t="s">
        <v>923</v>
      </c>
      <c r="C419" s="371"/>
      <c r="D419" s="372"/>
      <c r="E419" s="146"/>
      <c r="F419" s="146"/>
      <c r="G419" s="146"/>
      <c r="H419" s="371"/>
      <c r="I419" s="372"/>
      <c r="J419" s="146"/>
      <c r="K419" s="146"/>
      <c r="L419" s="146"/>
      <c r="M419" s="148"/>
      <c r="N419" s="150"/>
      <c r="O419" s="147"/>
      <c r="P419" s="147"/>
      <c r="Q419" s="147"/>
      <c r="R419" s="368"/>
      <c r="S419" s="365"/>
      <c r="T419" s="147"/>
      <c r="U419" s="147"/>
      <c r="V419" s="147"/>
      <c r="W419" s="368"/>
      <c r="X419" s="365"/>
      <c r="Y419" s="147"/>
      <c r="Z419" s="147"/>
      <c r="AA419" s="147"/>
      <c r="AB419" s="368"/>
    </row>
    <row r="420" spans="1:28" ht="16.149999999999999" customHeight="1" x14ac:dyDescent="0.2">
      <c r="A420" s="375"/>
      <c r="B420" s="117" t="s">
        <v>924</v>
      </c>
      <c r="C420" s="371"/>
      <c r="D420" s="372"/>
      <c r="E420" s="146"/>
      <c r="F420" s="146"/>
      <c r="G420" s="146"/>
      <c r="H420" s="371"/>
      <c r="I420" s="372"/>
      <c r="J420" s="146"/>
      <c r="K420" s="146"/>
      <c r="L420" s="146"/>
      <c r="M420" s="148"/>
      <c r="N420" s="150"/>
      <c r="O420" s="147"/>
      <c r="P420" s="147"/>
      <c r="Q420" s="147"/>
      <c r="R420" s="368"/>
      <c r="S420" s="365"/>
      <c r="T420" s="147"/>
      <c r="U420" s="147"/>
      <c r="V420" s="147"/>
      <c r="W420" s="368"/>
      <c r="X420" s="365"/>
      <c r="Y420" s="147"/>
      <c r="Z420" s="147"/>
      <c r="AA420" s="147"/>
      <c r="AB420" s="368"/>
    </row>
    <row r="421" spans="1:28" ht="16.149999999999999" customHeight="1" x14ac:dyDescent="0.2">
      <c r="A421" s="375"/>
      <c r="B421" s="117" t="s">
        <v>925</v>
      </c>
      <c r="C421" s="371"/>
      <c r="D421" s="372"/>
      <c r="E421" s="146"/>
      <c r="F421" s="146"/>
      <c r="G421" s="146"/>
      <c r="H421" s="371"/>
      <c r="I421" s="372"/>
      <c r="J421" s="146"/>
      <c r="K421" s="146"/>
      <c r="L421" s="146"/>
      <c r="M421" s="148"/>
      <c r="N421" s="150"/>
      <c r="O421" s="147"/>
      <c r="P421" s="147"/>
      <c r="Q421" s="147"/>
      <c r="R421" s="368"/>
      <c r="S421" s="365"/>
      <c r="T421" s="147"/>
      <c r="U421" s="147"/>
      <c r="V421" s="147"/>
      <c r="W421" s="368"/>
      <c r="X421" s="365"/>
      <c r="Y421" s="147"/>
      <c r="Z421" s="147"/>
      <c r="AA421" s="147"/>
      <c r="AB421" s="368"/>
    </row>
    <row r="422" spans="1:28" ht="16.149999999999999" customHeight="1" x14ac:dyDescent="0.2">
      <c r="A422" s="375"/>
      <c r="B422" s="117" t="s">
        <v>926</v>
      </c>
      <c r="C422" s="371"/>
      <c r="D422" s="372"/>
      <c r="E422" s="146"/>
      <c r="F422" s="146"/>
      <c r="G422" s="146"/>
      <c r="H422" s="371"/>
      <c r="I422" s="372"/>
      <c r="J422" s="146"/>
      <c r="K422" s="146"/>
      <c r="L422" s="146"/>
      <c r="M422" s="148"/>
      <c r="N422" s="150"/>
      <c r="O422" s="147"/>
      <c r="P422" s="147"/>
      <c r="Q422" s="147"/>
      <c r="R422" s="368"/>
      <c r="S422" s="365"/>
      <c r="T422" s="147"/>
      <c r="U422" s="147"/>
      <c r="V422" s="147"/>
      <c r="W422" s="368"/>
      <c r="X422" s="365"/>
      <c r="Y422" s="147"/>
      <c r="Z422" s="147"/>
      <c r="AA422" s="147"/>
      <c r="AB422" s="368"/>
    </row>
    <row r="423" spans="1:28" ht="16.149999999999999" customHeight="1" x14ac:dyDescent="0.2">
      <c r="A423" s="375"/>
      <c r="B423" s="117" t="s">
        <v>927</v>
      </c>
      <c r="C423" s="371"/>
      <c r="D423" s="372"/>
      <c r="E423" s="146"/>
      <c r="F423" s="146"/>
      <c r="G423" s="146"/>
      <c r="H423" s="371"/>
      <c r="I423" s="372"/>
      <c r="J423" s="146"/>
      <c r="K423" s="146"/>
      <c r="L423" s="146"/>
      <c r="M423" s="148"/>
      <c r="N423" s="150"/>
      <c r="O423" s="147"/>
      <c r="P423" s="147"/>
      <c r="Q423" s="147"/>
      <c r="R423" s="368"/>
      <c r="S423" s="365"/>
      <c r="T423" s="147"/>
      <c r="U423" s="147"/>
      <c r="V423" s="147"/>
      <c r="W423" s="368"/>
      <c r="X423" s="365"/>
      <c r="Y423" s="147"/>
      <c r="Z423" s="147"/>
      <c r="AA423" s="147"/>
      <c r="AB423" s="368"/>
    </row>
    <row r="424" spans="1:28" ht="16.149999999999999" customHeight="1" x14ac:dyDescent="0.2">
      <c r="A424" s="375"/>
      <c r="B424" s="117" t="s">
        <v>928</v>
      </c>
      <c r="C424" s="371"/>
      <c r="D424" s="372"/>
      <c r="E424" s="146"/>
      <c r="F424" s="146"/>
      <c r="G424" s="146"/>
      <c r="H424" s="371"/>
      <c r="I424" s="372"/>
      <c r="J424" s="146"/>
      <c r="K424" s="146"/>
      <c r="L424" s="146"/>
      <c r="M424" s="148"/>
      <c r="N424" s="150"/>
      <c r="O424" s="147"/>
      <c r="P424" s="147"/>
      <c r="Q424" s="147"/>
      <c r="R424" s="368"/>
      <c r="S424" s="365"/>
      <c r="T424" s="147"/>
      <c r="U424" s="147"/>
      <c r="V424" s="147"/>
      <c r="W424" s="368"/>
      <c r="X424" s="365"/>
      <c r="Y424" s="147"/>
      <c r="Z424" s="147"/>
      <c r="AA424" s="147"/>
      <c r="AB424" s="368"/>
    </row>
    <row r="425" spans="1:28" ht="16.149999999999999" customHeight="1" x14ac:dyDescent="0.2">
      <c r="A425" s="375"/>
      <c r="B425" s="117" t="s">
        <v>929</v>
      </c>
      <c r="C425" s="371"/>
      <c r="D425" s="372"/>
      <c r="E425" s="146"/>
      <c r="F425" s="146"/>
      <c r="G425" s="146"/>
      <c r="H425" s="371"/>
      <c r="I425" s="372"/>
      <c r="J425" s="146"/>
      <c r="K425" s="146"/>
      <c r="L425" s="146"/>
      <c r="M425" s="148"/>
      <c r="N425" s="150"/>
      <c r="O425" s="147"/>
      <c r="P425" s="147"/>
      <c r="Q425" s="147"/>
      <c r="R425" s="368"/>
      <c r="S425" s="365"/>
      <c r="T425" s="147"/>
      <c r="U425" s="147"/>
      <c r="V425" s="147"/>
      <c r="W425" s="368"/>
      <c r="X425" s="365"/>
      <c r="Y425" s="147"/>
      <c r="Z425" s="147"/>
      <c r="AA425" s="147"/>
      <c r="AB425" s="368"/>
    </row>
    <row r="426" spans="1:28" ht="16.149999999999999" customHeight="1" x14ac:dyDescent="0.2">
      <c r="A426" s="375"/>
      <c r="B426" s="117" t="s">
        <v>930</v>
      </c>
      <c r="C426" s="371"/>
      <c r="D426" s="372"/>
      <c r="E426" s="146"/>
      <c r="F426" s="146"/>
      <c r="G426" s="146"/>
      <c r="H426" s="371"/>
      <c r="I426" s="372"/>
      <c r="J426" s="146"/>
      <c r="K426" s="146"/>
      <c r="L426" s="146"/>
      <c r="M426" s="148"/>
      <c r="N426" s="150"/>
      <c r="O426" s="147"/>
      <c r="P426" s="147"/>
      <c r="Q426" s="147"/>
      <c r="R426" s="368"/>
      <c r="S426" s="365"/>
      <c r="T426" s="147"/>
      <c r="U426" s="147"/>
      <c r="V426" s="147"/>
      <c r="W426" s="368"/>
      <c r="X426" s="365"/>
      <c r="Y426" s="147"/>
      <c r="Z426" s="147"/>
      <c r="AA426" s="147"/>
      <c r="AB426" s="368"/>
    </row>
    <row r="427" spans="1:28" ht="16.149999999999999" customHeight="1" x14ac:dyDescent="0.2">
      <c r="A427" s="375"/>
      <c r="B427" s="117" t="s">
        <v>931</v>
      </c>
      <c r="C427" s="371"/>
      <c r="D427" s="372"/>
      <c r="E427" s="146"/>
      <c r="F427" s="146"/>
      <c r="G427" s="146"/>
      <c r="H427" s="371"/>
      <c r="I427" s="372"/>
      <c r="J427" s="146"/>
      <c r="K427" s="146"/>
      <c r="L427" s="146"/>
      <c r="M427" s="148"/>
      <c r="N427" s="150"/>
      <c r="O427" s="147"/>
      <c r="P427" s="147"/>
      <c r="Q427" s="147"/>
      <c r="R427" s="368"/>
      <c r="S427" s="365"/>
      <c r="T427" s="147"/>
      <c r="U427" s="147"/>
      <c r="V427" s="147"/>
      <c r="W427" s="368"/>
      <c r="X427" s="365"/>
      <c r="Y427" s="147"/>
      <c r="Z427" s="147"/>
      <c r="AA427" s="147"/>
      <c r="AB427" s="368"/>
    </row>
    <row r="428" spans="1:28" ht="16.149999999999999" customHeight="1" x14ac:dyDescent="0.2">
      <c r="A428" s="375"/>
      <c r="B428" s="117" t="s">
        <v>932</v>
      </c>
      <c r="C428" s="371"/>
      <c r="D428" s="372"/>
      <c r="E428" s="146"/>
      <c r="F428" s="146"/>
      <c r="G428" s="146"/>
      <c r="H428" s="371"/>
      <c r="I428" s="372"/>
      <c r="J428" s="146"/>
      <c r="K428" s="146"/>
      <c r="L428" s="146"/>
      <c r="M428" s="148"/>
      <c r="N428" s="150"/>
      <c r="O428" s="147"/>
      <c r="P428" s="147"/>
      <c r="Q428" s="147"/>
      <c r="R428" s="368"/>
      <c r="S428" s="365"/>
      <c r="T428" s="147"/>
      <c r="U428" s="147"/>
      <c r="V428" s="147"/>
      <c r="W428" s="368"/>
      <c r="X428" s="365"/>
      <c r="Y428" s="147"/>
      <c r="Z428" s="147"/>
      <c r="AA428" s="147"/>
      <c r="AB428" s="368"/>
    </row>
    <row r="429" spans="1:28" ht="16.149999999999999" customHeight="1" x14ac:dyDescent="0.2">
      <c r="A429" s="375"/>
      <c r="B429" s="117" t="s">
        <v>933</v>
      </c>
      <c r="C429" s="371"/>
      <c r="D429" s="372"/>
      <c r="E429" s="146"/>
      <c r="F429" s="146"/>
      <c r="G429" s="146"/>
      <c r="H429" s="371"/>
      <c r="I429" s="372"/>
      <c r="J429" s="146"/>
      <c r="K429" s="146"/>
      <c r="L429" s="146"/>
      <c r="M429" s="148"/>
      <c r="N429" s="150"/>
      <c r="O429" s="147"/>
      <c r="P429" s="147"/>
      <c r="Q429" s="147"/>
      <c r="R429" s="368"/>
      <c r="S429" s="365"/>
      <c r="T429" s="147"/>
      <c r="U429" s="147"/>
      <c r="V429" s="147"/>
      <c r="W429" s="368"/>
      <c r="X429" s="365"/>
      <c r="Y429" s="147"/>
      <c r="Z429" s="147"/>
      <c r="AA429" s="147"/>
      <c r="AB429" s="368"/>
    </row>
    <row r="430" spans="1:28" ht="16.149999999999999" customHeight="1" x14ac:dyDescent="0.2">
      <c r="A430" s="375"/>
      <c r="B430" s="117" t="s">
        <v>934</v>
      </c>
      <c r="C430" s="371"/>
      <c r="D430" s="372"/>
      <c r="E430" s="146"/>
      <c r="F430" s="146"/>
      <c r="G430" s="146"/>
      <c r="H430" s="371"/>
      <c r="I430" s="372"/>
      <c r="J430" s="146"/>
      <c r="K430" s="146"/>
      <c r="L430" s="146"/>
      <c r="M430" s="148"/>
      <c r="N430" s="150"/>
      <c r="O430" s="147"/>
      <c r="P430" s="147"/>
      <c r="Q430" s="147"/>
      <c r="R430" s="368"/>
      <c r="S430" s="365"/>
      <c r="T430" s="147"/>
      <c r="U430" s="147"/>
      <c r="V430" s="147"/>
      <c r="W430" s="368"/>
      <c r="X430" s="365"/>
      <c r="Y430" s="147"/>
      <c r="Z430" s="147"/>
      <c r="AA430" s="147"/>
      <c r="AB430" s="368"/>
    </row>
    <row r="431" spans="1:28" ht="16.149999999999999" customHeight="1" x14ac:dyDescent="0.2">
      <c r="A431" s="375"/>
      <c r="B431" s="117" t="s">
        <v>935</v>
      </c>
      <c r="C431" s="371"/>
      <c r="D431" s="372"/>
      <c r="E431" s="146"/>
      <c r="F431" s="146"/>
      <c r="G431" s="146"/>
      <c r="H431" s="371"/>
      <c r="I431" s="372"/>
      <c r="J431" s="146"/>
      <c r="K431" s="146"/>
      <c r="L431" s="146"/>
      <c r="M431" s="148"/>
      <c r="N431" s="150"/>
      <c r="O431" s="147"/>
      <c r="P431" s="147"/>
      <c r="Q431" s="147"/>
      <c r="R431" s="368"/>
      <c r="S431" s="365"/>
      <c r="T431" s="147"/>
      <c r="U431" s="147"/>
      <c r="V431" s="147"/>
      <c r="W431" s="368"/>
      <c r="X431" s="365"/>
      <c r="Y431" s="147"/>
      <c r="Z431" s="147"/>
      <c r="AA431" s="147"/>
      <c r="AB431" s="368"/>
    </row>
    <row r="432" spans="1:28" ht="16.149999999999999" customHeight="1" x14ac:dyDescent="0.2">
      <c r="A432" s="375"/>
      <c r="B432" s="117" t="s">
        <v>936</v>
      </c>
      <c r="C432" s="371"/>
      <c r="D432" s="372"/>
      <c r="E432" s="146"/>
      <c r="F432" s="146"/>
      <c r="G432" s="146"/>
      <c r="H432" s="371"/>
      <c r="I432" s="372"/>
      <c r="J432" s="146"/>
      <c r="K432" s="146"/>
      <c r="L432" s="146"/>
      <c r="M432" s="148"/>
      <c r="N432" s="150"/>
      <c r="O432" s="147"/>
      <c r="P432" s="147"/>
      <c r="Q432" s="147"/>
      <c r="R432" s="368"/>
      <c r="S432" s="365"/>
      <c r="T432" s="147"/>
      <c r="U432" s="147"/>
      <c r="V432" s="147"/>
      <c r="W432" s="368"/>
      <c r="X432" s="365"/>
      <c r="Y432" s="147"/>
      <c r="Z432" s="147"/>
      <c r="AA432" s="147"/>
      <c r="AB432" s="368"/>
    </row>
    <row r="433" spans="1:28" ht="16.149999999999999" customHeight="1" x14ac:dyDescent="0.2">
      <c r="A433" s="375"/>
      <c r="B433" s="117" t="s">
        <v>937</v>
      </c>
      <c r="C433" s="371"/>
      <c r="D433" s="372"/>
      <c r="E433" s="146"/>
      <c r="F433" s="146"/>
      <c r="G433" s="146"/>
      <c r="H433" s="371"/>
      <c r="I433" s="372"/>
      <c r="J433" s="146"/>
      <c r="K433" s="146"/>
      <c r="L433" s="146"/>
      <c r="M433" s="148"/>
      <c r="N433" s="150"/>
      <c r="O433" s="147"/>
      <c r="P433" s="147"/>
      <c r="Q433" s="147"/>
      <c r="R433" s="368"/>
      <c r="S433" s="365"/>
      <c r="T433" s="147"/>
      <c r="U433" s="147"/>
      <c r="V433" s="147"/>
      <c r="W433" s="368"/>
      <c r="X433" s="365"/>
      <c r="Y433" s="147"/>
      <c r="Z433" s="147"/>
      <c r="AA433" s="147"/>
      <c r="AB433" s="368"/>
    </row>
    <row r="434" spans="1:28" ht="16.149999999999999" customHeight="1" x14ac:dyDescent="0.2">
      <c r="A434" s="375"/>
      <c r="B434" s="117" t="s">
        <v>938</v>
      </c>
      <c r="C434" s="371"/>
      <c r="D434" s="372"/>
      <c r="E434" s="146"/>
      <c r="F434" s="146"/>
      <c r="G434" s="146"/>
      <c r="H434" s="371"/>
      <c r="I434" s="372"/>
      <c r="J434" s="146"/>
      <c r="K434" s="146"/>
      <c r="L434" s="146"/>
      <c r="M434" s="148"/>
      <c r="N434" s="150"/>
      <c r="O434" s="147"/>
      <c r="P434" s="147"/>
      <c r="Q434" s="147"/>
      <c r="R434" s="368"/>
      <c r="S434" s="365"/>
      <c r="T434" s="147"/>
      <c r="U434" s="147"/>
      <c r="V434" s="147"/>
      <c r="W434" s="368"/>
      <c r="X434" s="365"/>
      <c r="Y434" s="147"/>
      <c r="Z434" s="147"/>
      <c r="AA434" s="147"/>
      <c r="AB434" s="368"/>
    </row>
    <row r="435" spans="1:28" ht="16.149999999999999" customHeight="1" x14ac:dyDescent="0.2">
      <c r="A435" s="375"/>
      <c r="B435" s="117" t="s">
        <v>939</v>
      </c>
      <c r="C435" s="371"/>
      <c r="D435" s="372"/>
      <c r="E435" s="146"/>
      <c r="F435" s="146"/>
      <c r="G435" s="146"/>
      <c r="H435" s="371"/>
      <c r="I435" s="372"/>
      <c r="J435" s="146"/>
      <c r="K435" s="146"/>
      <c r="L435" s="146"/>
      <c r="M435" s="148"/>
      <c r="N435" s="150"/>
      <c r="O435" s="147"/>
      <c r="P435" s="147"/>
      <c r="Q435" s="147"/>
      <c r="R435" s="368"/>
      <c r="S435" s="365"/>
      <c r="T435" s="147"/>
      <c r="U435" s="147"/>
      <c r="V435" s="147"/>
      <c r="W435" s="368"/>
      <c r="X435" s="365"/>
      <c r="Y435" s="147"/>
      <c r="Z435" s="147"/>
      <c r="AA435" s="147"/>
      <c r="AB435" s="368"/>
    </row>
    <row r="436" spans="1:28" ht="16.149999999999999" customHeight="1" x14ac:dyDescent="0.2">
      <c r="A436" s="375"/>
      <c r="B436" s="117" t="s">
        <v>940</v>
      </c>
      <c r="C436" s="371"/>
      <c r="D436" s="372"/>
      <c r="E436" s="146"/>
      <c r="F436" s="146"/>
      <c r="G436" s="146"/>
      <c r="H436" s="371"/>
      <c r="I436" s="372"/>
      <c r="J436" s="146"/>
      <c r="K436" s="146"/>
      <c r="L436" s="146"/>
      <c r="M436" s="148"/>
      <c r="N436" s="150"/>
      <c r="O436" s="147"/>
      <c r="P436" s="147"/>
      <c r="Q436" s="147"/>
      <c r="R436" s="368"/>
      <c r="S436" s="365"/>
      <c r="T436" s="147"/>
      <c r="U436" s="147"/>
      <c r="V436" s="147"/>
      <c r="W436" s="368"/>
      <c r="X436" s="365"/>
      <c r="Y436" s="147"/>
      <c r="Z436" s="147"/>
      <c r="AA436" s="147"/>
      <c r="AB436" s="368"/>
    </row>
    <row r="437" spans="1:28" ht="16.149999999999999" customHeight="1" x14ac:dyDescent="0.2">
      <c r="A437" s="375"/>
      <c r="B437" s="117" t="s">
        <v>941</v>
      </c>
      <c r="C437" s="371"/>
      <c r="D437" s="372"/>
      <c r="E437" s="146"/>
      <c r="F437" s="146"/>
      <c r="G437" s="146"/>
      <c r="H437" s="371"/>
      <c r="I437" s="372"/>
      <c r="J437" s="146"/>
      <c r="K437" s="146"/>
      <c r="L437" s="146"/>
      <c r="M437" s="148"/>
      <c r="N437" s="150"/>
      <c r="O437" s="147"/>
      <c r="P437" s="147"/>
      <c r="Q437" s="147"/>
      <c r="R437" s="368"/>
      <c r="S437" s="365"/>
      <c r="T437" s="147"/>
      <c r="U437" s="147"/>
      <c r="V437" s="147"/>
      <c r="W437" s="368"/>
      <c r="X437" s="365"/>
      <c r="Y437" s="147"/>
      <c r="Z437" s="147"/>
      <c r="AA437" s="147"/>
      <c r="AB437" s="368"/>
    </row>
    <row r="438" spans="1:28" ht="16.149999999999999" customHeight="1" x14ac:dyDescent="0.2">
      <c r="A438" s="375"/>
      <c r="B438" s="117" t="s">
        <v>942</v>
      </c>
      <c r="C438" s="371"/>
      <c r="D438" s="372"/>
      <c r="E438" s="146"/>
      <c r="F438" s="146"/>
      <c r="G438" s="146"/>
      <c r="H438" s="371"/>
      <c r="I438" s="372"/>
      <c r="J438" s="146"/>
      <c r="K438" s="146"/>
      <c r="L438" s="146"/>
      <c r="M438" s="148"/>
      <c r="N438" s="150"/>
      <c r="O438" s="147"/>
      <c r="P438" s="147"/>
      <c r="Q438" s="147"/>
      <c r="R438" s="368"/>
      <c r="S438" s="365"/>
      <c r="T438" s="147"/>
      <c r="U438" s="147"/>
      <c r="V438" s="147"/>
      <c r="W438" s="368"/>
      <c r="X438" s="365"/>
      <c r="Y438" s="147"/>
      <c r="Z438" s="147"/>
      <c r="AA438" s="147"/>
      <c r="AB438" s="368"/>
    </row>
    <row r="439" spans="1:28" ht="16.149999999999999" customHeight="1" x14ac:dyDescent="0.2">
      <c r="A439" s="375"/>
      <c r="B439" s="117" t="s">
        <v>943</v>
      </c>
      <c r="C439" s="371"/>
      <c r="D439" s="372"/>
      <c r="E439" s="146"/>
      <c r="F439" s="146"/>
      <c r="G439" s="146"/>
      <c r="H439" s="371"/>
      <c r="I439" s="372"/>
      <c r="J439" s="146"/>
      <c r="K439" s="146"/>
      <c r="L439" s="146"/>
      <c r="M439" s="148"/>
      <c r="N439" s="150"/>
      <c r="O439" s="147"/>
      <c r="P439" s="147"/>
      <c r="Q439" s="147"/>
      <c r="R439" s="368"/>
      <c r="S439" s="365"/>
      <c r="T439" s="147"/>
      <c r="U439" s="147"/>
      <c r="V439" s="147"/>
      <c r="W439" s="368"/>
      <c r="X439" s="365"/>
      <c r="Y439" s="147"/>
      <c r="Z439" s="147"/>
      <c r="AA439" s="147"/>
      <c r="AB439" s="368"/>
    </row>
    <row r="440" spans="1:28" ht="16.149999999999999" customHeight="1" x14ac:dyDescent="0.2">
      <c r="A440" s="375"/>
      <c r="B440" s="117" t="s">
        <v>944</v>
      </c>
      <c r="C440" s="371"/>
      <c r="D440" s="372"/>
      <c r="E440" s="146"/>
      <c r="F440" s="146"/>
      <c r="G440" s="146"/>
      <c r="H440" s="371"/>
      <c r="I440" s="372"/>
      <c r="J440" s="146"/>
      <c r="K440" s="146"/>
      <c r="L440" s="146"/>
      <c r="M440" s="148"/>
      <c r="N440" s="150"/>
      <c r="O440" s="147"/>
      <c r="P440" s="147"/>
      <c r="Q440" s="147"/>
      <c r="R440" s="368"/>
      <c r="S440" s="365"/>
      <c r="T440" s="147"/>
      <c r="U440" s="147"/>
      <c r="V440" s="147"/>
      <c r="W440" s="368"/>
      <c r="X440" s="365"/>
      <c r="Y440" s="147"/>
      <c r="Z440" s="147"/>
      <c r="AA440" s="147"/>
      <c r="AB440" s="368"/>
    </row>
    <row r="441" spans="1:28" ht="16.149999999999999" customHeight="1" x14ac:dyDescent="0.2">
      <c r="A441" s="375"/>
      <c r="B441" s="117" t="s">
        <v>945</v>
      </c>
      <c r="C441" s="371"/>
      <c r="D441" s="372"/>
      <c r="E441" s="146"/>
      <c r="F441" s="146"/>
      <c r="G441" s="146"/>
      <c r="H441" s="371"/>
      <c r="I441" s="372"/>
      <c r="J441" s="146"/>
      <c r="K441" s="146"/>
      <c r="L441" s="146"/>
      <c r="M441" s="148"/>
      <c r="N441" s="150"/>
      <c r="O441" s="147"/>
      <c r="P441" s="147"/>
      <c r="Q441" s="147"/>
      <c r="R441" s="368"/>
      <c r="S441" s="365"/>
      <c r="T441" s="147"/>
      <c r="U441" s="147"/>
      <c r="V441" s="147"/>
      <c r="W441" s="368"/>
      <c r="X441" s="365"/>
      <c r="Y441" s="147"/>
      <c r="Z441" s="147"/>
      <c r="AA441" s="147"/>
      <c r="AB441" s="368"/>
    </row>
    <row r="442" spans="1:28" ht="16.149999999999999" customHeight="1" x14ac:dyDescent="0.2">
      <c r="A442" s="375"/>
      <c r="B442" s="117" t="s">
        <v>946</v>
      </c>
      <c r="C442" s="371"/>
      <c r="D442" s="372"/>
      <c r="E442" s="146"/>
      <c r="F442" s="146"/>
      <c r="G442" s="146"/>
      <c r="H442" s="371"/>
      <c r="I442" s="372"/>
      <c r="J442" s="146"/>
      <c r="K442" s="146"/>
      <c r="L442" s="146"/>
      <c r="M442" s="148"/>
      <c r="N442" s="150"/>
      <c r="O442" s="147"/>
      <c r="P442" s="147"/>
      <c r="Q442" s="147"/>
      <c r="R442" s="368"/>
      <c r="S442" s="365"/>
      <c r="T442" s="147"/>
      <c r="U442" s="147"/>
      <c r="V442" s="147"/>
      <c r="W442" s="368"/>
      <c r="X442" s="365"/>
      <c r="Y442" s="147"/>
      <c r="Z442" s="147"/>
      <c r="AA442" s="147"/>
      <c r="AB442" s="368"/>
    </row>
    <row r="443" spans="1:28" ht="16.149999999999999" customHeight="1" x14ac:dyDescent="0.2">
      <c r="A443" s="375"/>
      <c r="B443" s="117" t="s">
        <v>947</v>
      </c>
      <c r="C443" s="371"/>
      <c r="D443" s="372"/>
      <c r="E443" s="146"/>
      <c r="F443" s="146"/>
      <c r="G443" s="146"/>
      <c r="H443" s="371"/>
      <c r="I443" s="372"/>
      <c r="J443" s="146"/>
      <c r="K443" s="146"/>
      <c r="L443" s="146"/>
      <c r="M443" s="148"/>
      <c r="N443" s="150"/>
      <c r="O443" s="147"/>
      <c r="P443" s="147"/>
      <c r="Q443" s="147"/>
      <c r="R443" s="368"/>
      <c r="S443" s="365"/>
      <c r="T443" s="147"/>
      <c r="U443" s="147"/>
      <c r="V443" s="147"/>
      <c r="W443" s="368"/>
      <c r="X443" s="365"/>
      <c r="Y443" s="147"/>
      <c r="Z443" s="147"/>
      <c r="AA443" s="147"/>
      <c r="AB443" s="368"/>
    </row>
    <row r="444" spans="1:28" ht="16.149999999999999" customHeight="1" x14ac:dyDescent="0.2">
      <c r="A444" s="375"/>
      <c r="B444" s="117" t="s">
        <v>948</v>
      </c>
      <c r="C444" s="371"/>
      <c r="D444" s="372"/>
      <c r="E444" s="146"/>
      <c r="F444" s="146"/>
      <c r="G444" s="146"/>
      <c r="H444" s="371"/>
      <c r="I444" s="372"/>
      <c r="J444" s="146"/>
      <c r="K444" s="146"/>
      <c r="L444" s="146"/>
      <c r="M444" s="148"/>
      <c r="N444" s="150"/>
      <c r="O444" s="147"/>
      <c r="P444" s="147"/>
      <c r="Q444" s="147"/>
      <c r="R444" s="368"/>
      <c r="S444" s="365"/>
      <c r="T444" s="147"/>
      <c r="U444" s="147"/>
      <c r="V444" s="147"/>
      <c r="W444" s="368"/>
      <c r="X444" s="365"/>
      <c r="Y444" s="147"/>
      <c r="Z444" s="147"/>
      <c r="AA444" s="147"/>
      <c r="AB444" s="368"/>
    </row>
    <row r="445" spans="1:28" ht="16.149999999999999" customHeight="1" x14ac:dyDescent="0.2">
      <c r="A445" s="375"/>
      <c r="B445" s="117" t="s">
        <v>949</v>
      </c>
      <c r="C445" s="371"/>
      <c r="D445" s="372"/>
      <c r="E445" s="146"/>
      <c r="F445" s="146"/>
      <c r="G445" s="146"/>
      <c r="H445" s="371"/>
      <c r="I445" s="372"/>
      <c r="J445" s="146"/>
      <c r="K445" s="146"/>
      <c r="L445" s="146"/>
      <c r="M445" s="148"/>
      <c r="N445" s="150"/>
      <c r="O445" s="147"/>
      <c r="P445" s="147"/>
      <c r="Q445" s="147"/>
      <c r="R445" s="368"/>
      <c r="S445" s="365"/>
      <c r="T445" s="147"/>
      <c r="U445" s="147"/>
      <c r="V445" s="147"/>
      <c r="W445" s="368"/>
      <c r="X445" s="365"/>
      <c r="Y445" s="147"/>
      <c r="Z445" s="147"/>
      <c r="AA445" s="147"/>
      <c r="AB445" s="368"/>
    </row>
    <row r="446" spans="1:28" ht="16.149999999999999" customHeight="1" x14ac:dyDescent="0.2">
      <c r="A446" s="375"/>
      <c r="B446" s="117" t="s">
        <v>950</v>
      </c>
      <c r="C446" s="371"/>
      <c r="D446" s="372"/>
      <c r="E446" s="146"/>
      <c r="F446" s="146"/>
      <c r="G446" s="146"/>
      <c r="H446" s="371"/>
      <c r="I446" s="372"/>
      <c r="J446" s="146"/>
      <c r="K446" s="146"/>
      <c r="L446" s="146"/>
      <c r="M446" s="148"/>
      <c r="N446" s="150"/>
      <c r="O446" s="147"/>
      <c r="P446" s="147"/>
      <c r="Q446" s="147"/>
      <c r="R446" s="368"/>
      <c r="S446" s="365"/>
      <c r="T446" s="147"/>
      <c r="U446" s="147"/>
      <c r="V446" s="147"/>
      <c r="W446" s="368"/>
      <c r="X446" s="365"/>
      <c r="Y446" s="147"/>
      <c r="Z446" s="147"/>
      <c r="AA446" s="147"/>
      <c r="AB446" s="368"/>
    </row>
    <row r="447" spans="1:28" ht="16.149999999999999" customHeight="1" x14ac:dyDescent="0.2">
      <c r="A447" s="375"/>
      <c r="B447" s="117" t="s">
        <v>951</v>
      </c>
      <c r="C447" s="371"/>
      <c r="D447" s="372"/>
      <c r="E447" s="146"/>
      <c r="F447" s="146"/>
      <c r="G447" s="146"/>
      <c r="H447" s="371"/>
      <c r="I447" s="372"/>
      <c r="J447" s="146"/>
      <c r="K447" s="146"/>
      <c r="L447" s="146"/>
      <c r="M447" s="148"/>
      <c r="N447" s="150"/>
      <c r="O447" s="147"/>
      <c r="P447" s="147"/>
      <c r="Q447" s="147"/>
      <c r="R447" s="368"/>
      <c r="S447" s="365"/>
      <c r="T447" s="147"/>
      <c r="U447" s="147"/>
      <c r="V447" s="147"/>
      <c r="W447" s="368"/>
      <c r="X447" s="365"/>
      <c r="Y447" s="147"/>
      <c r="Z447" s="147"/>
      <c r="AA447" s="147"/>
      <c r="AB447" s="368"/>
    </row>
    <row r="448" spans="1:28" ht="16.149999999999999" customHeight="1" x14ac:dyDescent="0.2">
      <c r="A448" s="375"/>
      <c r="B448" s="117" t="s">
        <v>952</v>
      </c>
      <c r="C448" s="371"/>
      <c r="D448" s="372"/>
      <c r="E448" s="146"/>
      <c r="F448" s="146"/>
      <c r="G448" s="146"/>
      <c r="H448" s="371"/>
      <c r="I448" s="372"/>
      <c r="J448" s="146"/>
      <c r="K448" s="146"/>
      <c r="L448" s="146"/>
      <c r="M448" s="148"/>
      <c r="N448" s="150"/>
      <c r="O448" s="147"/>
      <c r="P448" s="147"/>
      <c r="Q448" s="147"/>
      <c r="R448" s="368"/>
      <c r="S448" s="365"/>
      <c r="T448" s="147"/>
      <c r="U448" s="147"/>
      <c r="V448" s="147"/>
      <c r="W448" s="368"/>
      <c r="X448" s="365"/>
      <c r="Y448" s="147"/>
      <c r="Z448" s="147"/>
      <c r="AA448" s="147"/>
      <c r="AB448" s="368"/>
    </row>
    <row r="449" spans="1:28" ht="16.149999999999999" customHeight="1" x14ac:dyDescent="0.2">
      <c r="A449" s="375"/>
      <c r="B449" s="117" t="s">
        <v>953</v>
      </c>
      <c r="C449" s="371"/>
      <c r="D449" s="372"/>
      <c r="E449" s="146"/>
      <c r="F449" s="146"/>
      <c r="G449" s="146"/>
      <c r="H449" s="371"/>
      <c r="I449" s="372"/>
      <c r="J449" s="146"/>
      <c r="K449" s="146"/>
      <c r="L449" s="146"/>
      <c r="M449" s="148"/>
      <c r="N449" s="150"/>
      <c r="O449" s="147"/>
      <c r="P449" s="147"/>
      <c r="Q449" s="147"/>
      <c r="R449" s="368"/>
      <c r="S449" s="365"/>
      <c r="T449" s="147"/>
      <c r="U449" s="147"/>
      <c r="V449" s="147"/>
      <c r="W449" s="368"/>
      <c r="X449" s="365"/>
      <c r="Y449" s="147"/>
      <c r="Z449" s="147"/>
      <c r="AA449" s="147"/>
      <c r="AB449" s="368"/>
    </row>
    <row r="450" spans="1:28" ht="16.149999999999999" customHeight="1" x14ac:dyDescent="0.2">
      <c r="A450" s="375"/>
      <c r="B450" s="117" t="s">
        <v>954</v>
      </c>
      <c r="C450" s="371"/>
      <c r="D450" s="372"/>
      <c r="E450" s="146"/>
      <c r="F450" s="146"/>
      <c r="G450" s="146"/>
      <c r="H450" s="371"/>
      <c r="I450" s="372"/>
      <c r="J450" s="146"/>
      <c r="K450" s="146"/>
      <c r="L450" s="146"/>
      <c r="M450" s="148"/>
      <c r="N450" s="150"/>
      <c r="O450" s="147"/>
      <c r="P450" s="147"/>
      <c r="Q450" s="147"/>
      <c r="R450" s="368"/>
      <c r="S450" s="365"/>
      <c r="T450" s="147"/>
      <c r="U450" s="147"/>
      <c r="V450" s="147"/>
      <c r="W450" s="368"/>
      <c r="X450" s="365"/>
      <c r="Y450" s="147"/>
      <c r="Z450" s="147"/>
      <c r="AA450" s="147"/>
      <c r="AB450" s="368"/>
    </row>
    <row r="451" spans="1:28" ht="16.149999999999999" customHeight="1" x14ac:dyDescent="0.2">
      <c r="A451" s="375"/>
      <c r="B451" s="117" t="s">
        <v>956</v>
      </c>
      <c r="C451" s="371"/>
      <c r="D451" s="372"/>
      <c r="E451" s="146"/>
      <c r="F451" s="146"/>
      <c r="G451" s="146"/>
      <c r="H451" s="371"/>
      <c r="I451" s="372"/>
      <c r="J451" s="146"/>
      <c r="K451" s="146"/>
      <c r="L451" s="146"/>
      <c r="M451" s="148"/>
      <c r="N451" s="150"/>
      <c r="O451" s="147"/>
      <c r="P451" s="147"/>
      <c r="Q451" s="147"/>
      <c r="R451" s="368"/>
      <c r="S451" s="365"/>
      <c r="T451" s="147"/>
      <c r="U451" s="147"/>
      <c r="V451" s="147"/>
      <c r="W451" s="368"/>
      <c r="X451" s="365"/>
      <c r="Y451" s="147"/>
      <c r="Z451" s="147"/>
      <c r="AA451" s="147"/>
      <c r="AB451" s="368"/>
    </row>
    <row r="452" spans="1:28" ht="16.149999999999999" customHeight="1" x14ac:dyDescent="0.2">
      <c r="A452" s="375"/>
      <c r="B452" s="117" t="s">
        <v>955</v>
      </c>
      <c r="C452" s="371"/>
      <c r="D452" s="372"/>
      <c r="E452" s="146"/>
      <c r="F452" s="146"/>
      <c r="G452" s="146"/>
      <c r="H452" s="371"/>
      <c r="I452" s="372"/>
      <c r="J452" s="146"/>
      <c r="K452" s="146"/>
      <c r="L452" s="146"/>
      <c r="M452" s="148"/>
      <c r="N452" s="150"/>
      <c r="O452" s="147"/>
      <c r="P452" s="147"/>
      <c r="Q452" s="147"/>
      <c r="R452" s="368"/>
      <c r="S452" s="365"/>
      <c r="T452" s="147"/>
      <c r="U452" s="147"/>
      <c r="V452" s="147"/>
      <c r="W452" s="368"/>
      <c r="X452" s="365"/>
      <c r="Y452" s="147"/>
      <c r="Z452" s="147"/>
      <c r="AA452" s="147"/>
      <c r="AB452" s="368"/>
    </row>
    <row r="453" spans="1:28" ht="16.149999999999999" customHeight="1" x14ac:dyDescent="0.2">
      <c r="A453" s="375"/>
      <c r="B453" s="117" t="s">
        <v>957</v>
      </c>
      <c r="C453" s="371"/>
      <c r="D453" s="372"/>
      <c r="E453" s="146"/>
      <c r="F453" s="146"/>
      <c r="G453" s="146"/>
      <c r="H453" s="371"/>
      <c r="I453" s="372"/>
      <c r="J453" s="146"/>
      <c r="K453" s="146"/>
      <c r="L453" s="146"/>
      <c r="M453" s="148"/>
      <c r="N453" s="150"/>
      <c r="O453" s="147"/>
      <c r="P453" s="147"/>
      <c r="Q453" s="147"/>
      <c r="R453" s="368"/>
      <c r="S453" s="365"/>
      <c r="T453" s="147"/>
      <c r="U453" s="147"/>
      <c r="V453" s="147"/>
      <c r="W453" s="368"/>
      <c r="X453" s="365"/>
      <c r="Y453" s="147"/>
      <c r="Z453" s="147"/>
      <c r="AA453" s="147"/>
      <c r="AB453" s="368"/>
    </row>
    <row r="454" spans="1:28" ht="16.149999999999999" customHeight="1" x14ac:dyDescent="0.2">
      <c r="A454" s="375"/>
      <c r="B454" s="117" t="s">
        <v>958</v>
      </c>
      <c r="C454" s="371"/>
      <c r="D454" s="372"/>
      <c r="E454" s="146"/>
      <c r="F454" s="146"/>
      <c r="G454" s="146"/>
      <c r="H454" s="371"/>
      <c r="I454" s="372"/>
      <c r="J454" s="146"/>
      <c r="K454" s="146"/>
      <c r="L454" s="146"/>
      <c r="M454" s="148"/>
      <c r="N454" s="150"/>
      <c r="O454" s="147"/>
      <c r="P454" s="147"/>
      <c r="Q454" s="147"/>
      <c r="R454" s="368"/>
      <c r="S454" s="365"/>
      <c r="T454" s="147"/>
      <c r="U454" s="147"/>
      <c r="V454" s="147"/>
      <c r="W454" s="368"/>
      <c r="X454" s="365"/>
      <c r="Y454" s="147"/>
      <c r="Z454" s="147"/>
      <c r="AA454" s="147"/>
      <c r="AB454" s="368"/>
    </row>
    <row r="455" spans="1:28" ht="16.149999999999999" customHeight="1" x14ac:dyDescent="0.2">
      <c r="A455" s="375"/>
      <c r="B455" s="117" t="s">
        <v>959</v>
      </c>
      <c r="C455" s="371"/>
      <c r="D455" s="372"/>
      <c r="E455" s="146"/>
      <c r="F455" s="146"/>
      <c r="G455" s="146"/>
      <c r="H455" s="371"/>
      <c r="I455" s="372"/>
      <c r="J455" s="146"/>
      <c r="K455" s="146"/>
      <c r="L455" s="146"/>
      <c r="M455" s="148"/>
      <c r="N455" s="150"/>
      <c r="O455" s="147"/>
      <c r="P455" s="147"/>
      <c r="Q455" s="147"/>
      <c r="R455" s="368"/>
      <c r="S455" s="365"/>
      <c r="T455" s="147"/>
      <c r="U455" s="147"/>
      <c r="V455" s="147"/>
      <c r="W455" s="368"/>
      <c r="X455" s="365"/>
      <c r="Y455" s="147"/>
      <c r="Z455" s="147"/>
      <c r="AA455" s="147"/>
      <c r="AB455" s="368"/>
    </row>
    <row r="456" spans="1:28" ht="16.149999999999999" customHeight="1" x14ac:dyDescent="0.2">
      <c r="A456" s="375"/>
      <c r="B456" s="117" t="s">
        <v>960</v>
      </c>
      <c r="C456" s="371"/>
      <c r="D456" s="372"/>
      <c r="E456" s="146"/>
      <c r="F456" s="146"/>
      <c r="G456" s="146"/>
      <c r="H456" s="371"/>
      <c r="I456" s="372"/>
      <c r="J456" s="146"/>
      <c r="K456" s="146"/>
      <c r="L456" s="146"/>
      <c r="M456" s="148"/>
      <c r="N456" s="150"/>
      <c r="O456" s="147"/>
      <c r="P456" s="147"/>
      <c r="Q456" s="147"/>
      <c r="R456" s="368"/>
      <c r="S456" s="365"/>
      <c r="T456" s="147"/>
      <c r="U456" s="147"/>
      <c r="V456" s="147"/>
      <c r="W456" s="368"/>
      <c r="X456" s="365"/>
      <c r="Y456" s="147"/>
      <c r="Z456" s="147"/>
      <c r="AA456" s="147"/>
      <c r="AB456" s="368"/>
    </row>
    <row r="457" spans="1:28" ht="16.149999999999999" customHeight="1" x14ac:dyDescent="0.2">
      <c r="A457" s="375"/>
      <c r="B457" s="117" t="s">
        <v>966</v>
      </c>
      <c r="C457" s="371"/>
      <c r="D457" s="372"/>
      <c r="E457" s="146"/>
      <c r="F457" s="146"/>
      <c r="G457" s="146"/>
      <c r="H457" s="371"/>
      <c r="I457" s="372"/>
      <c r="J457" s="146"/>
      <c r="K457" s="146"/>
      <c r="L457" s="146"/>
      <c r="M457" s="148"/>
      <c r="N457" s="150"/>
      <c r="O457" s="147"/>
      <c r="P457" s="147"/>
      <c r="Q457" s="147"/>
      <c r="R457" s="368"/>
      <c r="S457" s="365"/>
      <c r="T457" s="147"/>
      <c r="U457" s="147"/>
      <c r="V457" s="147"/>
      <c r="W457" s="368"/>
      <c r="X457" s="365"/>
      <c r="Y457" s="147"/>
      <c r="Z457" s="147"/>
      <c r="AA457" s="147"/>
      <c r="AB457" s="368"/>
    </row>
    <row r="458" spans="1:28" ht="16.149999999999999" customHeight="1" x14ac:dyDescent="0.2">
      <c r="A458" s="375"/>
      <c r="B458" s="117" t="s">
        <v>961</v>
      </c>
      <c r="C458" s="371"/>
      <c r="D458" s="372"/>
      <c r="E458" s="146"/>
      <c r="F458" s="146"/>
      <c r="G458" s="146"/>
      <c r="H458" s="371"/>
      <c r="I458" s="372"/>
      <c r="J458" s="146"/>
      <c r="K458" s="146"/>
      <c r="L458" s="146"/>
      <c r="M458" s="148"/>
      <c r="N458" s="150"/>
      <c r="O458" s="147"/>
      <c r="P458" s="147"/>
      <c r="Q458" s="147"/>
      <c r="R458" s="368"/>
      <c r="S458" s="365"/>
      <c r="T458" s="147"/>
      <c r="U458" s="147"/>
      <c r="V458" s="147"/>
      <c r="W458" s="368"/>
      <c r="X458" s="365"/>
      <c r="Y458" s="147"/>
      <c r="Z458" s="147"/>
      <c r="AA458" s="147"/>
      <c r="AB458" s="368"/>
    </row>
    <row r="459" spans="1:28" ht="16.149999999999999" customHeight="1" x14ac:dyDescent="0.2">
      <c r="A459" s="375"/>
      <c r="B459" s="117" t="s">
        <v>962</v>
      </c>
      <c r="C459" s="371"/>
      <c r="D459" s="372"/>
      <c r="E459" s="146"/>
      <c r="F459" s="146"/>
      <c r="G459" s="146"/>
      <c r="H459" s="371"/>
      <c r="I459" s="372"/>
      <c r="J459" s="146"/>
      <c r="K459" s="146"/>
      <c r="L459" s="146"/>
      <c r="M459" s="148"/>
      <c r="N459" s="150"/>
      <c r="O459" s="147"/>
      <c r="P459" s="147"/>
      <c r="Q459" s="147"/>
      <c r="R459" s="368"/>
      <c r="S459" s="365"/>
      <c r="T459" s="147"/>
      <c r="U459" s="147"/>
      <c r="V459" s="147"/>
      <c r="W459" s="368"/>
      <c r="X459" s="365"/>
      <c r="Y459" s="147"/>
      <c r="Z459" s="147"/>
      <c r="AA459" s="147"/>
      <c r="AB459" s="368"/>
    </row>
    <row r="460" spans="1:28" ht="16.149999999999999" customHeight="1" x14ac:dyDescent="0.2">
      <c r="A460" s="375"/>
      <c r="B460" s="117" t="s">
        <v>967</v>
      </c>
      <c r="C460" s="371"/>
      <c r="D460" s="372"/>
      <c r="E460" s="146"/>
      <c r="F460" s="146"/>
      <c r="G460" s="146"/>
      <c r="H460" s="371"/>
      <c r="I460" s="372"/>
      <c r="J460" s="146"/>
      <c r="K460" s="146"/>
      <c r="L460" s="146"/>
      <c r="M460" s="148"/>
      <c r="N460" s="150"/>
      <c r="O460" s="147"/>
      <c r="P460" s="147"/>
      <c r="Q460" s="147"/>
      <c r="R460" s="368"/>
      <c r="S460" s="365"/>
      <c r="T460" s="147"/>
      <c r="U460" s="147"/>
      <c r="V460" s="147"/>
      <c r="W460" s="368"/>
      <c r="X460" s="365"/>
      <c r="Y460" s="147"/>
      <c r="Z460" s="147"/>
      <c r="AA460" s="147"/>
      <c r="AB460" s="368"/>
    </row>
    <row r="461" spans="1:28" ht="16.149999999999999" customHeight="1" x14ac:dyDescent="0.2">
      <c r="A461" s="375"/>
      <c r="B461" s="117" t="s">
        <v>963</v>
      </c>
      <c r="C461" s="371"/>
      <c r="D461" s="372"/>
      <c r="E461" s="146"/>
      <c r="F461" s="146"/>
      <c r="G461" s="146"/>
      <c r="H461" s="371"/>
      <c r="I461" s="372"/>
      <c r="J461" s="146"/>
      <c r="K461" s="146"/>
      <c r="L461" s="146"/>
      <c r="M461" s="148"/>
      <c r="N461" s="150"/>
      <c r="O461" s="147"/>
      <c r="P461" s="147"/>
      <c r="Q461" s="147"/>
      <c r="R461" s="368"/>
      <c r="S461" s="365"/>
      <c r="T461" s="147"/>
      <c r="U461" s="147"/>
      <c r="V461" s="147"/>
      <c r="W461" s="368"/>
      <c r="X461" s="365"/>
      <c r="Y461" s="147"/>
      <c r="Z461" s="147"/>
      <c r="AA461" s="147"/>
      <c r="AB461" s="368"/>
    </row>
    <row r="462" spans="1:28" ht="16.149999999999999" customHeight="1" x14ac:dyDescent="0.2">
      <c r="A462" s="375"/>
      <c r="B462" s="117" t="s">
        <v>968</v>
      </c>
      <c r="C462" s="371"/>
      <c r="D462" s="372"/>
      <c r="E462" s="146"/>
      <c r="F462" s="146"/>
      <c r="G462" s="146"/>
      <c r="H462" s="371"/>
      <c r="I462" s="372"/>
      <c r="J462" s="146"/>
      <c r="K462" s="146"/>
      <c r="L462" s="146"/>
      <c r="M462" s="148"/>
      <c r="N462" s="150"/>
      <c r="O462" s="147"/>
      <c r="P462" s="147"/>
      <c r="Q462" s="147"/>
      <c r="R462" s="368"/>
      <c r="S462" s="365"/>
      <c r="T462" s="147"/>
      <c r="U462" s="147"/>
      <c r="V462" s="147"/>
      <c r="W462" s="368"/>
      <c r="X462" s="365"/>
      <c r="Y462" s="147"/>
      <c r="Z462" s="147"/>
      <c r="AA462" s="147"/>
      <c r="AB462" s="368"/>
    </row>
    <row r="463" spans="1:28" ht="16.149999999999999" customHeight="1" x14ac:dyDescent="0.2">
      <c r="A463" s="375"/>
      <c r="B463" s="117" t="s">
        <v>964</v>
      </c>
      <c r="C463" s="371"/>
      <c r="D463" s="372"/>
      <c r="E463" s="146"/>
      <c r="F463" s="146"/>
      <c r="G463" s="146"/>
      <c r="H463" s="371"/>
      <c r="I463" s="372"/>
      <c r="J463" s="146"/>
      <c r="K463" s="146"/>
      <c r="L463" s="146"/>
      <c r="M463" s="148"/>
      <c r="N463" s="150"/>
      <c r="O463" s="147"/>
      <c r="P463" s="147"/>
      <c r="Q463" s="147"/>
      <c r="R463" s="368"/>
      <c r="S463" s="365"/>
      <c r="T463" s="147"/>
      <c r="U463" s="147"/>
      <c r="V463" s="147"/>
      <c r="W463" s="368"/>
      <c r="X463" s="365"/>
      <c r="Y463" s="147"/>
      <c r="Z463" s="147"/>
      <c r="AA463" s="147"/>
      <c r="AB463" s="368"/>
    </row>
    <row r="464" spans="1:28" ht="16.149999999999999" customHeight="1" x14ac:dyDescent="0.2">
      <c r="A464" s="375"/>
      <c r="B464" s="117" t="s">
        <v>969</v>
      </c>
      <c r="C464" s="371"/>
      <c r="D464" s="372"/>
      <c r="E464" s="146"/>
      <c r="F464" s="146"/>
      <c r="G464" s="146"/>
      <c r="H464" s="371"/>
      <c r="I464" s="372"/>
      <c r="J464" s="146"/>
      <c r="K464" s="146"/>
      <c r="L464" s="146"/>
      <c r="M464" s="148"/>
      <c r="N464" s="150"/>
      <c r="O464" s="147"/>
      <c r="P464" s="147"/>
      <c r="Q464" s="147"/>
      <c r="R464" s="368"/>
      <c r="S464" s="365"/>
      <c r="T464" s="147"/>
      <c r="U464" s="147"/>
      <c r="V464" s="147"/>
      <c r="W464" s="368"/>
      <c r="X464" s="365"/>
      <c r="Y464" s="147"/>
      <c r="Z464" s="147"/>
      <c r="AA464" s="147"/>
      <c r="AB464" s="368"/>
    </row>
    <row r="465" spans="1:28" ht="16.149999999999999" customHeight="1" x14ac:dyDescent="0.2">
      <c r="A465" s="375"/>
      <c r="B465" s="117" t="s">
        <v>970</v>
      </c>
      <c r="C465" s="371"/>
      <c r="D465" s="372"/>
      <c r="E465" s="146"/>
      <c r="F465" s="146"/>
      <c r="G465" s="146"/>
      <c r="H465" s="371"/>
      <c r="I465" s="372"/>
      <c r="J465" s="146"/>
      <c r="K465" s="146"/>
      <c r="L465" s="146"/>
      <c r="M465" s="148"/>
      <c r="N465" s="150"/>
      <c r="O465" s="147"/>
      <c r="P465" s="147"/>
      <c r="Q465" s="147"/>
      <c r="R465" s="368"/>
      <c r="S465" s="365"/>
      <c r="T465" s="147"/>
      <c r="U465" s="147"/>
      <c r="V465" s="147"/>
      <c r="W465" s="368"/>
      <c r="X465" s="365"/>
      <c r="Y465" s="147"/>
      <c r="Z465" s="147"/>
      <c r="AA465" s="147"/>
      <c r="AB465" s="368"/>
    </row>
    <row r="466" spans="1:28" ht="16.149999999999999" customHeight="1" x14ac:dyDescent="0.2">
      <c r="A466" s="375"/>
      <c r="B466" s="117" t="s">
        <v>971</v>
      </c>
      <c r="C466" s="371"/>
      <c r="D466" s="372"/>
      <c r="E466" s="146"/>
      <c r="F466" s="146"/>
      <c r="G466" s="146"/>
      <c r="H466" s="371"/>
      <c r="I466" s="372"/>
      <c r="J466" s="146"/>
      <c r="K466" s="146"/>
      <c r="L466" s="146"/>
      <c r="M466" s="148"/>
      <c r="N466" s="150"/>
      <c r="O466" s="147"/>
      <c r="P466" s="147"/>
      <c r="Q466" s="147"/>
      <c r="R466" s="368"/>
      <c r="S466" s="365"/>
      <c r="T466" s="147"/>
      <c r="U466" s="147"/>
      <c r="V466" s="147"/>
      <c r="W466" s="368"/>
      <c r="X466" s="365"/>
      <c r="Y466" s="147"/>
      <c r="Z466" s="147"/>
      <c r="AA466" s="147"/>
      <c r="AB466" s="368"/>
    </row>
    <row r="467" spans="1:28" ht="16.149999999999999" customHeight="1" x14ac:dyDescent="0.2">
      <c r="A467" s="375"/>
      <c r="B467" s="117" t="s">
        <v>965</v>
      </c>
      <c r="C467" s="371"/>
      <c r="D467" s="372"/>
      <c r="E467" s="146"/>
      <c r="F467" s="146"/>
      <c r="G467" s="146"/>
      <c r="H467" s="371"/>
      <c r="I467" s="372"/>
      <c r="J467" s="146"/>
      <c r="K467" s="146"/>
      <c r="L467" s="146"/>
      <c r="M467" s="148"/>
      <c r="N467" s="150"/>
      <c r="O467" s="147"/>
      <c r="P467" s="147"/>
      <c r="Q467" s="147"/>
      <c r="R467" s="368"/>
      <c r="S467" s="365"/>
      <c r="T467" s="147"/>
      <c r="U467" s="147"/>
      <c r="V467" s="147"/>
      <c r="W467" s="368"/>
      <c r="X467" s="365"/>
      <c r="Y467" s="147"/>
      <c r="Z467" s="147"/>
      <c r="AA467" s="147"/>
      <c r="AB467" s="368"/>
    </row>
    <row r="468" spans="1:28" ht="16.149999999999999" customHeight="1" x14ac:dyDescent="0.2">
      <c r="A468" s="375"/>
      <c r="B468" s="117" t="s">
        <v>972</v>
      </c>
      <c r="C468" s="371"/>
      <c r="D468" s="372"/>
      <c r="E468" s="146"/>
      <c r="F468" s="146"/>
      <c r="G468" s="146"/>
      <c r="H468" s="371"/>
      <c r="I468" s="372"/>
      <c r="J468" s="146"/>
      <c r="K468" s="146"/>
      <c r="L468" s="146"/>
      <c r="M468" s="148"/>
      <c r="N468" s="150"/>
      <c r="O468" s="147"/>
      <c r="P468" s="147"/>
      <c r="Q468" s="147"/>
      <c r="R468" s="368"/>
      <c r="S468" s="365"/>
      <c r="T468" s="147"/>
      <c r="U468" s="147"/>
      <c r="V468" s="147"/>
      <c r="W468" s="368"/>
      <c r="X468" s="365"/>
      <c r="Y468" s="147"/>
      <c r="Z468" s="147"/>
      <c r="AA468" s="147"/>
      <c r="AB468" s="368"/>
    </row>
    <row r="469" spans="1:28" ht="16.149999999999999" customHeight="1" x14ac:dyDescent="0.2">
      <c r="A469" s="375"/>
      <c r="B469" s="117" t="s">
        <v>973</v>
      </c>
      <c r="C469" s="371"/>
      <c r="D469" s="372"/>
      <c r="E469" s="146"/>
      <c r="F469" s="146"/>
      <c r="G469" s="146"/>
      <c r="H469" s="371"/>
      <c r="I469" s="372"/>
      <c r="J469" s="146"/>
      <c r="K469" s="146"/>
      <c r="L469" s="146"/>
      <c r="M469" s="148"/>
      <c r="N469" s="150"/>
      <c r="O469" s="147"/>
      <c r="P469" s="147"/>
      <c r="Q469" s="147"/>
      <c r="R469" s="368"/>
      <c r="S469" s="365"/>
      <c r="T469" s="147"/>
      <c r="U469" s="147"/>
      <c r="V469" s="147"/>
      <c r="W469" s="368"/>
      <c r="X469" s="365"/>
      <c r="Y469" s="147"/>
      <c r="Z469" s="147"/>
      <c r="AA469" s="147"/>
      <c r="AB469" s="368"/>
    </row>
    <row r="470" spans="1:28" ht="16.149999999999999" customHeight="1" x14ac:dyDescent="0.2">
      <c r="A470" s="375"/>
      <c r="B470" s="117" t="s">
        <v>974</v>
      </c>
      <c r="C470" s="371"/>
      <c r="D470" s="372"/>
      <c r="E470" s="146"/>
      <c r="F470" s="146"/>
      <c r="G470" s="146"/>
      <c r="H470" s="371"/>
      <c r="I470" s="372"/>
      <c r="J470" s="146"/>
      <c r="K470" s="146"/>
      <c r="L470" s="146"/>
      <c r="M470" s="148"/>
      <c r="N470" s="150"/>
      <c r="O470" s="147"/>
      <c r="P470" s="147"/>
      <c r="Q470" s="147"/>
      <c r="R470" s="368"/>
      <c r="S470" s="365"/>
      <c r="T470" s="147"/>
      <c r="U470" s="147"/>
      <c r="V470" s="147"/>
      <c r="W470" s="368"/>
      <c r="X470" s="365"/>
      <c r="Y470" s="147"/>
      <c r="Z470" s="147"/>
      <c r="AA470" s="147"/>
      <c r="AB470" s="368"/>
    </row>
    <row r="471" spans="1:28" ht="16.149999999999999" customHeight="1" x14ac:dyDescent="0.2">
      <c r="A471" s="375"/>
      <c r="B471" s="117" t="s">
        <v>975</v>
      </c>
      <c r="C471" s="371"/>
      <c r="D471" s="372"/>
      <c r="E471" s="146"/>
      <c r="F471" s="146"/>
      <c r="G471" s="146"/>
      <c r="H471" s="371"/>
      <c r="I471" s="372"/>
      <c r="J471" s="146"/>
      <c r="K471" s="146"/>
      <c r="L471" s="146"/>
      <c r="M471" s="148"/>
      <c r="N471" s="150"/>
      <c r="O471" s="147"/>
      <c r="P471" s="147"/>
      <c r="Q471" s="147"/>
      <c r="R471" s="368"/>
      <c r="S471" s="365"/>
      <c r="T471" s="147"/>
      <c r="U471" s="147"/>
      <c r="V471" s="147"/>
      <c r="W471" s="368"/>
      <c r="X471" s="365"/>
      <c r="Y471" s="147"/>
      <c r="Z471" s="147"/>
      <c r="AA471" s="147"/>
      <c r="AB471" s="368"/>
    </row>
    <row r="472" spans="1:28" ht="16.149999999999999" customHeight="1" x14ac:dyDescent="0.2">
      <c r="A472" s="375"/>
      <c r="B472" s="117" t="s">
        <v>976</v>
      </c>
      <c r="C472" s="371"/>
      <c r="D472" s="372"/>
      <c r="E472" s="146"/>
      <c r="F472" s="146"/>
      <c r="G472" s="146"/>
      <c r="H472" s="371"/>
      <c r="I472" s="372"/>
      <c r="J472" s="146"/>
      <c r="K472" s="146"/>
      <c r="L472" s="146"/>
      <c r="M472" s="148"/>
      <c r="N472" s="150"/>
      <c r="O472" s="147"/>
      <c r="P472" s="147"/>
      <c r="Q472" s="147"/>
      <c r="R472" s="368"/>
      <c r="S472" s="365"/>
      <c r="T472" s="147"/>
      <c r="U472" s="147"/>
      <c r="V472" s="147"/>
      <c r="W472" s="368"/>
      <c r="X472" s="365"/>
      <c r="Y472" s="147"/>
      <c r="Z472" s="147"/>
      <c r="AA472" s="147"/>
      <c r="AB472" s="368"/>
    </row>
    <row r="473" spans="1:28" ht="16.149999999999999" customHeight="1" x14ac:dyDescent="0.2">
      <c r="A473" s="375"/>
      <c r="B473" s="117" t="s">
        <v>977</v>
      </c>
      <c r="C473" s="371"/>
      <c r="D473" s="372"/>
      <c r="E473" s="146"/>
      <c r="F473" s="146"/>
      <c r="G473" s="146"/>
      <c r="H473" s="371"/>
      <c r="I473" s="372"/>
      <c r="J473" s="146"/>
      <c r="K473" s="146"/>
      <c r="L473" s="146"/>
      <c r="M473" s="148"/>
      <c r="N473" s="150"/>
      <c r="O473" s="147"/>
      <c r="P473" s="147"/>
      <c r="Q473" s="147"/>
      <c r="R473" s="368"/>
      <c r="S473" s="365"/>
      <c r="T473" s="147"/>
      <c r="U473" s="147"/>
      <c r="V473" s="147"/>
      <c r="W473" s="368"/>
      <c r="X473" s="365"/>
      <c r="Y473" s="147"/>
      <c r="Z473" s="147"/>
      <c r="AA473" s="147"/>
      <c r="AB473" s="368"/>
    </row>
    <row r="474" spans="1:28" ht="16.149999999999999" customHeight="1" x14ac:dyDescent="0.2">
      <c r="A474" s="375"/>
      <c r="B474" s="117" t="s">
        <v>978</v>
      </c>
      <c r="C474" s="371"/>
      <c r="D474" s="372"/>
      <c r="E474" s="146"/>
      <c r="F474" s="146"/>
      <c r="G474" s="146"/>
      <c r="H474" s="371"/>
      <c r="I474" s="372"/>
      <c r="J474" s="146"/>
      <c r="K474" s="146"/>
      <c r="L474" s="146"/>
      <c r="M474" s="148"/>
      <c r="N474" s="150"/>
      <c r="O474" s="147"/>
      <c r="P474" s="147"/>
      <c r="Q474" s="147"/>
      <c r="R474" s="368"/>
      <c r="S474" s="365"/>
      <c r="T474" s="147"/>
      <c r="U474" s="147"/>
      <c r="V474" s="147"/>
      <c r="W474" s="368"/>
      <c r="X474" s="365"/>
      <c r="Y474" s="147"/>
      <c r="Z474" s="147"/>
      <c r="AA474" s="147"/>
      <c r="AB474" s="368"/>
    </row>
    <row r="475" spans="1:28" ht="16.149999999999999" customHeight="1" x14ac:dyDescent="0.2">
      <c r="A475" s="375"/>
      <c r="B475" s="117" t="s">
        <v>835</v>
      </c>
      <c r="C475" s="371"/>
      <c r="D475" s="372"/>
      <c r="E475" s="146"/>
      <c r="F475" s="146"/>
      <c r="G475" s="146"/>
      <c r="H475" s="371"/>
      <c r="I475" s="372"/>
      <c r="J475" s="146"/>
      <c r="K475" s="146"/>
      <c r="L475" s="146"/>
      <c r="M475" s="148"/>
      <c r="N475" s="150"/>
      <c r="O475" s="147"/>
      <c r="P475" s="147"/>
      <c r="Q475" s="147"/>
      <c r="R475" s="368"/>
      <c r="S475" s="365"/>
      <c r="T475" s="147"/>
      <c r="U475" s="147"/>
      <c r="V475" s="147"/>
      <c r="W475" s="368"/>
      <c r="X475" s="365"/>
      <c r="Y475" s="147"/>
      <c r="Z475" s="147"/>
      <c r="AA475" s="147"/>
      <c r="AB475" s="368"/>
    </row>
    <row r="476" spans="1:28" ht="16.149999999999999" customHeight="1" x14ac:dyDescent="0.2">
      <c r="A476" s="375"/>
      <c r="B476" s="117" t="s">
        <v>838</v>
      </c>
      <c r="C476" s="371"/>
      <c r="D476" s="372"/>
      <c r="E476" s="146"/>
      <c r="F476" s="146"/>
      <c r="G476" s="146"/>
      <c r="H476" s="371"/>
      <c r="I476" s="372"/>
      <c r="J476" s="146"/>
      <c r="K476" s="146"/>
      <c r="L476" s="146"/>
      <c r="M476" s="148"/>
      <c r="N476" s="150"/>
      <c r="O476" s="147"/>
      <c r="P476" s="147"/>
      <c r="Q476" s="147"/>
      <c r="R476" s="368"/>
      <c r="S476" s="365"/>
      <c r="T476" s="147"/>
      <c r="U476" s="147"/>
      <c r="V476" s="147"/>
      <c r="W476" s="368"/>
      <c r="X476" s="365"/>
      <c r="Y476" s="147"/>
      <c r="Z476" s="147"/>
      <c r="AA476" s="147"/>
      <c r="AB476" s="368"/>
    </row>
    <row r="477" spans="1:28" ht="16.149999999999999" customHeight="1" x14ac:dyDescent="0.2">
      <c r="A477" s="375"/>
      <c r="B477" s="117" t="s">
        <v>979</v>
      </c>
      <c r="C477" s="371"/>
      <c r="D477" s="372"/>
      <c r="E477" s="146"/>
      <c r="F477" s="146"/>
      <c r="G477" s="146"/>
      <c r="H477" s="371"/>
      <c r="I477" s="372"/>
      <c r="J477" s="146"/>
      <c r="K477" s="146"/>
      <c r="L477" s="146"/>
      <c r="M477" s="148"/>
      <c r="N477" s="150"/>
      <c r="O477" s="147"/>
      <c r="P477" s="147"/>
      <c r="Q477" s="147"/>
      <c r="R477" s="368"/>
      <c r="S477" s="365"/>
      <c r="T477" s="147"/>
      <c r="U477" s="147"/>
      <c r="V477" s="147"/>
      <c r="W477" s="368"/>
      <c r="X477" s="365"/>
      <c r="Y477" s="147"/>
      <c r="Z477" s="147"/>
      <c r="AA477" s="147"/>
      <c r="AB477" s="368"/>
    </row>
    <row r="478" spans="1:28" ht="16.149999999999999" customHeight="1" x14ac:dyDescent="0.2">
      <c r="A478" s="375"/>
      <c r="B478" s="117" t="s">
        <v>980</v>
      </c>
      <c r="C478" s="371"/>
      <c r="D478" s="372"/>
      <c r="E478" s="146"/>
      <c r="F478" s="146"/>
      <c r="G478" s="146"/>
      <c r="H478" s="371"/>
      <c r="I478" s="372"/>
      <c r="J478" s="146"/>
      <c r="K478" s="146"/>
      <c r="L478" s="146"/>
      <c r="M478" s="148"/>
      <c r="N478" s="150"/>
      <c r="O478" s="147"/>
      <c r="P478" s="147"/>
      <c r="Q478" s="147"/>
      <c r="R478" s="368"/>
      <c r="S478" s="365"/>
      <c r="T478" s="147"/>
      <c r="U478" s="147"/>
      <c r="V478" s="147"/>
      <c r="W478" s="368"/>
      <c r="X478" s="365"/>
      <c r="Y478" s="147"/>
      <c r="Z478" s="147"/>
      <c r="AA478" s="147"/>
      <c r="AB478" s="368"/>
    </row>
    <row r="479" spans="1:28" ht="16.149999999999999" customHeight="1" x14ac:dyDescent="0.2">
      <c r="A479" s="375"/>
      <c r="B479" s="117" t="s">
        <v>981</v>
      </c>
      <c r="C479" s="371"/>
      <c r="D479" s="372"/>
      <c r="E479" s="146"/>
      <c r="F479" s="146"/>
      <c r="G479" s="146"/>
      <c r="H479" s="371"/>
      <c r="I479" s="372"/>
      <c r="J479" s="146"/>
      <c r="K479" s="146"/>
      <c r="L479" s="146"/>
      <c r="M479" s="148"/>
      <c r="N479" s="150"/>
      <c r="O479" s="147"/>
      <c r="P479" s="147"/>
      <c r="Q479" s="147"/>
      <c r="R479" s="368"/>
      <c r="S479" s="365"/>
      <c r="T479" s="147"/>
      <c r="U479" s="147"/>
      <c r="V479" s="147"/>
      <c r="W479" s="368"/>
      <c r="X479" s="365"/>
      <c r="Y479" s="147"/>
      <c r="Z479" s="147"/>
      <c r="AA479" s="147"/>
      <c r="AB479" s="368"/>
    </row>
    <row r="480" spans="1:28" ht="16.149999999999999" customHeight="1" x14ac:dyDescent="0.2">
      <c r="A480" s="375"/>
      <c r="B480" s="117" t="s">
        <v>982</v>
      </c>
      <c r="C480" s="371"/>
      <c r="D480" s="372"/>
      <c r="E480" s="146"/>
      <c r="F480" s="146"/>
      <c r="G480" s="146"/>
      <c r="H480" s="371"/>
      <c r="I480" s="372"/>
      <c r="J480" s="146"/>
      <c r="K480" s="146"/>
      <c r="L480" s="146"/>
      <c r="M480" s="148"/>
      <c r="N480" s="150"/>
      <c r="O480" s="147"/>
      <c r="P480" s="147"/>
      <c r="Q480" s="147"/>
      <c r="R480" s="368"/>
      <c r="S480" s="365"/>
      <c r="T480" s="147"/>
      <c r="U480" s="147"/>
      <c r="V480" s="147"/>
      <c r="W480" s="368"/>
      <c r="X480" s="365"/>
      <c r="Y480" s="147"/>
      <c r="Z480" s="147"/>
      <c r="AA480" s="147"/>
      <c r="AB480" s="368"/>
    </row>
    <row r="481" spans="1:28" ht="16.149999999999999" customHeight="1" x14ac:dyDescent="0.2">
      <c r="A481" s="375"/>
      <c r="B481" s="117" t="s">
        <v>983</v>
      </c>
      <c r="C481" s="371"/>
      <c r="D481" s="372"/>
      <c r="E481" s="146"/>
      <c r="F481" s="146"/>
      <c r="G481" s="146"/>
      <c r="H481" s="371"/>
      <c r="I481" s="372"/>
      <c r="J481" s="146"/>
      <c r="K481" s="146"/>
      <c r="L481" s="146"/>
      <c r="M481" s="148"/>
      <c r="N481" s="150"/>
      <c r="O481" s="147"/>
      <c r="P481" s="147"/>
      <c r="Q481" s="147"/>
      <c r="R481" s="368"/>
      <c r="S481" s="365"/>
      <c r="T481" s="147"/>
      <c r="U481" s="147"/>
      <c r="V481" s="147"/>
      <c r="W481" s="368"/>
      <c r="X481" s="365"/>
      <c r="Y481" s="147"/>
      <c r="Z481" s="147"/>
      <c r="AA481" s="147"/>
      <c r="AB481" s="368"/>
    </row>
    <row r="482" spans="1:28" ht="16.149999999999999" customHeight="1" x14ac:dyDescent="0.2">
      <c r="A482" s="375"/>
      <c r="B482" s="117" t="s">
        <v>984</v>
      </c>
      <c r="C482" s="371"/>
      <c r="D482" s="372"/>
      <c r="E482" s="146"/>
      <c r="F482" s="146"/>
      <c r="G482" s="146"/>
      <c r="H482" s="371"/>
      <c r="I482" s="372"/>
      <c r="J482" s="146"/>
      <c r="K482" s="146"/>
      <c r="L482" s="146"/>
      <c r="M482" s="148"/>
      <c r="N482" s="150"/>
      <c r="O482" s="147"/>
      <c r="P482" s="147"/>
      <c r="Q482" s="147"/>
      <c r="R482" s="368"/>
      <c r="S482" s="365"/>
      <c r="T482" s="147"/>
      <c r="U482" s="147"/>
      <c r="V482" s="147"/>
      <c r="W482" s="368"/>
      <c r="X482" s="365"/>
      <c r="Y482" s="147"/>
      <c r="Z482" s="147"/>
      <c r="AA482" s="147"/>
      <c r="AB482" s="368"/>
    </row>
    <row r="483" spans="1:28" ht="16.149999999999999" customHeight="1" x14ac:dyDescent="0.2">
      <c r="A483" s="375"/>
      <c r="B483" s="117" t="s">
        <v>985</v>
      </c>
      <c r="C483" s="371"/>
      <c r="D483" s="372"/>
      <c r="E483" s="146"/>
      <c r="F483" s="146"/>
      <c r="G483" s="146"/>
      <c r="H483" s="371"/>
      <c r="I483" s="372"/>
      <c r="J483" s="146"/>
      <c r="K483" s="146"/>
      <c r="L483" s="146"/>
      <c r="M483" s="148"/>
      <c r="N483" s="150"/>
      <c r="O483" s="147"/>
      <c r="P483" s="147"/>
      <c r="Q483" s="147"/>
      <c r="R483" s="368"/>
      <c r="S483" s="365"/>
      <c r="T483" s="147"/>
      <c r="U483" s="147"/>
      <c r="V483" s="147"/>
      <c r="W483" s="368"/>
      <c r="X483" s="365"/>
      <c r="Y483" s="147"/>
      <c r="Z483" s="147"/>
      <c r="AA483" s="147"/>
      <c r="AB483" s="368"/>
    </row>
    <row r="484" spans="1:28" ht="16.149999999999999" customHeight="1" x14ac:dyDescent="0.2">
      <c r="A484" s="375"/>
      <c r="B484" s="117" t="s">
        <v>986</v>
      </c>
      <c r="C484" s="371"/>
      <c r="D484" s="372"/>
      <c r="E484" s="146"/>
      <c r="F484" s="146"/>
      <c r="G484" s="146"/>
      <c r="H484" s="371"/>
      <c r="I484" s="372"/>
      <c r="J484" s="146"/>
      <c r="K484" s="146"/>
      <c r="L484" s="146"/>
      <c r="M484" s="148"/>
      <c r="N484" s="150"/>
      <c r="O484" s="147"/>
      <c r="P484" s="147"/>
      <c r="Q484" s="147"/>
      <c r="R484" s="368"/>
      <c r="S484" s="365"/>
      <c r="T484" s="147"/>
      <c r="U484" s="147"/>
      <c r="V484" s="147"/>
      <c r="W484" s="368"/>
      <c r="X484" s="365"/>
      <c r="Y484" s="147"/>
      <c r="Z484" s="147"/>
      <c r="AA484" s="147"/>
      <c r="AB484" s="368"/>
    </row>
    <row r="485" spans="1:28" ht="18" customHeight="1" x14ac:dyDescent="0.2">
      <c r="A485" s="375"/>
      <c r="B485" s="117" t="s">
        <v>1362</v>
      </c>
      <c r="C485" s="371"/>
      <c r="D485" s="372"/>
      <c r="E485" s="146"/>
      <c r="F485" s="146"/>
      <c r="G485" s="146"/>
      <c r="H485" s="371"/>
      <c r="I485" s="372"/>
      <c r="J485" s="146"/>
      <c r="K485" s="146"/>
      <c r="L485" s="146"/>
      <c r="M485" s="148"/>
      <c r="N485" s="150"/>
      <c r="O485" s="147"/>
      <c r="P485" s="147"/>
      <c r="Q485" s="147"/>
      <c r="R485" s="368"/>
      <c r="S485" s="365"/>
      <c r="T485" s="147"/>
      <c r="U485" s="147"/>
      <c r="V485" s="147"/>
      <c r="W485" s="368"/>
      <c r="X485" s="365"/>
      <c r="Y485" s="147"/>
      <c r="Z485" s="147"/>
      <c r="AA485" s="147"/>
      <c r="AB485" s="368"/>
    </row>
    <row r="486" spans="1:28" ht="18" customHeight="1" x14ac:dyDescent="0.2">
      <c r="A486" s="375"/>
      <c r="B486" s="117" t="s">
        <v>1428</v>
      </c>
      <c r="C486" s="371"/>
      <c r="D486" s="372"/>
      <c r="E486" s="146"/>
      <c r="F486" s="146"/>
      <c r="G486" s="146"/>
      <c r="H486" s="371"/>
      <c r="I486" s="372"/>
      <c r="J486" s="146"/>
      <c r="K486" s="146"/>
      <c r="L486" s="146"/>
      <c r="M486" s="148"/>
      <c r="N486" s="150"/>
      <c r="O486" s="147"/>
      <c r="P486" s="147"/>
      <c r="Q486" s="147"/>
      <c r="R486" s="368"/>
      <c r="S486" s="365"/>
      <c r="T486" s="147"/>
      <c r="U486" s="147"/>
      <c r="V486" s="147"/>
      <c r="W486" s="368"/>
      <c r="X486" s="365"/>
      <c r="Y486" s="147"/>
      <c r="Z486" s="147"/>
      <c r="AA486" s="147"/>
      <c r="AB486" s="368"/>
    </row>
    <row r="487" spans="1:28" ht="16.149999999999999" customHeight="1" x14ac:dyDescent="0.2">
      <c r="A487" s="375"/>
      <c r="B487" s="117" t="s">
        <v>1366</v>
      </c>
      <c r="C487" s="371"/>
      <c r="D487" s="372"/>
      <c r="E487" s="146"/>
      <c r="F487" s="146"/>
      <c r="G487" s="146"/>
      <c r="H487" s="371"/>
      <c r="I487" s="372"/>
      <c r="J487" s="146"/>
      <c r="K487" s="146"/>
      <c r="L487" s="146"/>
      <c r="M487" s="148"/>
      <c r="N487" s="150"/>
      <c r="O487" s="147"/>
      <c r="P487" s="147"/>
      <c r="Q487" s="147"/>
      <c r="R487" s="368"/>
      <c r="S487" s="365"/>
      <c r="T487" s="147"/>
      <c r="U487" s="147"/>
      <c r="V487" s="147"/>
      <c r="W487" s="368"/>
      <c r="X487" s="365"/>
      <c r="Y487" s="147"/>
      <c r="Z487" s="147"/>
      <c r="AA487" s="147"/>
      <c r="AB487" s="368"/>
    </row>
    <row r="488" spans="1:28" ht="16.149999999999999" customHeight="1" x14ac:dyDescent="0.2">
      <c r="A488" s="375"/>
      <c r="B488" s="116" t="s">
        <v>397</v>
      </c>
      <c r="C488" s="371"/>
      <c r="D488" s="372"/>
      <c r="E488" s="146"/>
      <c r="F488" s="146"/>
      <c r="G488" s="146"/>
      <c r="H488" s="371"/>
      <c r="I488" s="372"/>
      <c r="J488" s="146"/>
      <c r="K488" s="146"/>
      <c r="L488" s="146"/>
      <c r="M488" s="148"/>
      <c r="N488" s="150"/>
      <c r="O488" s="147"/>
      <c r="P488" s="147"/>
      <c r="Q488" s="147"/>
      <c r="R488" s="368"/>
      <c r="S488" s="365"/>
      <c r="T488" s="147"/>
      <c r="U488" s="147"/>
      <c r="V488" s="147"/>
      <c r="W488" s="368"/>
      <c r="X488" s="365"/>
      <c r="Y488" s="147"/>
      <c r="Z488" s="147"/>
      <c r="AA488" s="147"/>
      <c r="AB488" s="368"/>
    </row>
    <row r="489" spans="1:28" ht="16.149999999999999" customHeight="1" x14ac:dyDescent="0.2">
      <c r="A489" s="375"/>
      <c r="B489" s="117" t="s">
        <v>987</v>
      </c>
      <c r="C489" s="371"/>
      <c r="D489" s="372"/>
      <c r="E489" s="146"/>
      <c r="F489" s="146"/>
      <c r="G489" s="146"/>
      <c r="H489" s="371"/>
      <c r="I489" s="372"/>
      <c r="J489" s="146"/>
      <c r="K489" s="146"/>
      <c r="L489" s="146"/>
      <c r="M489" s="148"/>
      <c r="N489" s="150"/>
      <c r="O489" s="147"/>
      <c r="P489" s="147"/>
      <c r="Q489" s="147"/>
      <c r="R489" s="368"/>
      <c r="S489" s="365"/>
      <c r="T489" s="147"/>
      <c r="U489" s="147"/>
      <c r="V489" s="147"/>
      <c r="W489" s="368"/>
      <c r="X489" s="365"/>
      <c r="Y489" s="147"/>
      <c r="Z489" s="147"/>
      <c r="AA489" s="147"/>
      <c r="AB489" s="368"/>
    </row>
    <row r="490" spans="1:28" ht="16.149999999999999" customHeight="1" x14ac:dyDescent="0.2">
      <c r="A490" s="375"/>
      <c r="B490" s="117" t="s">
        <v>988</v>
      </c>
      <c r="C490" s="371"/>
      <c r="D490" s="372"/>
      <c r="E490" s="146"/>
      <c r="F490" s="146"/>
      <c r="G490" s="146"/>
      <c r="H490" s="371"/>
      <c r="I490" s="372"/>
      <c r="J490" s="146"/>
      <c r="K490" s="146"/>
      <c r="L490" s="146"/>
      <c r="M490" s="148"/>
      <c r="N490" s="150"/>
      <c r="O490" s="147"/>
      <c r="P490" s="147"/>
      <c r="Q490" s="147"/>
      <c r="R490" s="368"/>
      <c r="S490" s="365"/>
      <c r="T490" s="147"/>
      <c r="U490" s="147"/>
      <c r="V490" s="147"/>
      <c r="W490" s="368"/>
      <c r="X490" s="365"/>
      <c r="Y490" s="147"/>
      <c r="Z490" s="147"/>
      <c r="AA490" s="147"/>
      <c r="AB490" s="368"/>
    </row>
    <row r="491" spans="1:28" ht="16.149999999999999" customHeight="1" x14ac:dyDescent="0.2">
      <c r="A491" s="375"/>
      <c r="B491" s="117" t="s">
        <v>989</v>
      </c>
      <c r="C491" s="371"/>
      <c r="D491" s="372"/>
      <c r="E491" s="146"/>
      <c r="F491" s="146"/>
      <c r="G491" s="146"/>
      <c r="H491" s="371"/>
      <c r="I491" s="372"/>
      <c r="J491" s="146"/>
      <c r="K491" s="146"/>
      <c r="L491" s="146"/>
      <c r="M491" s="148"/>
      <c r="N491" s="150"/>
      <c r="O491" s="147"/>
      <c r="P491" s="147"/>
      <c r="Q491" s="147"/>
      <c r="R491" s="368"/>
      <c r="S491" s="365"/>
      <c r="T491" s="147"/>
      <c r="U491" s="147"/>
      <c r="V491" s="147"/>
      <c r="W491" s="368"/>
      <c r="X491" s="365"/>
      <c r="Y491" s="147"/>
      <c r="Z491" s="147"/>
      <c r="AA491" s="147"/>
      <c r="AB491" s="368"/>
    </row>
    <row r="492" spans="1:28" ht="16.149999999999999" customHeight="1" x14ac:dyDescent="0.2">
      <c r="A492" s="375"/>
      <c r="B492" s="117" t="s">
        <v>990</v>
      </c>
      <c r="C492" s="371"/>
      <c r="D492" s="372"/>
      <c r="E492" s="146"/>
      <c r="F492" s="146"/>
      <c r="G492" s="146"/>
      <c r="H492" s="371"/>
      <c r="I492" s="372"/>
      <c r="J492" s="146"/>
      <c r="K492" s="146"/>
      <c r="L492" s="146"/>
      <c r="M492" s="148"/>
      <c r="N492" s="150"/>
      <c r="O492" s="147"/>
      <c r="P492" s="147"/>
      <c r="Q492" s="147"/>
      <c r="R492" s="368"/>
      <c r="S492" s="365"/>
      <c r="T492" s="147"/>
      <c r="U492" s="147"/>
      <c r="V492" s="147"/>
      <c r="W492" s="368"/>
      <c r="X492" s="365"/>
      <c r="Y492" s="147"/>
      <c r="Z492" s="147"/>
      <c r="AA492" s="147"/>
      <c r="AB492" s="368"/>
    </row>
    <row r="493" spans="1:28" ht="16.149999999999999" customHeight="1" x14ac:dyDescent="0.2">
      <c r="A493" s="375"/>
      <c r="B493" s="117" t="s">
        <v>991</v>
      </c>
      <c r="C493" s="371"/>
      <c r="D493" s="372"/>
      <c r="E493" s="146"/>
      <c r="F493" s="146"/>
      <c r="G493" s="146"/>
      <c r="H493" s="371"/>
      <c r="I493" s="372"/>
      <c r="J493" s="146"/>
      <c r="K493" s="146"/>
      <c r="L493" s="146"/>
      <c r="M493" s="148"/>
      <c r="N493" s="150"/>
      <c r="O493" s="147"/>
      <c r="P493" s="147"/>
      <c r="Q493" s="147"/>
      <c r="R493" s="368"/>
      <c r="S493" s="365"/>
      <c r="T493" s="147"/>
      <c r="U493" s="147"/>
      <c r="V493" s="147"/>
      <c r="W493" s="368"/>
      <c r="X493" s="365"/>
      <c r="Y493" s="147"/>
      <c r="Z493" s="147"/>
      <c r="AA493" s="147"/>
      <c r="AB493" s="368"/>
    </row>
    <row r="494" spans="1:28" ht="16.149999999999999" customHeight="1" x14ac:dyDescent="0.2">
      <c r="A494" s="375"/>
      <c r="B494" s="117" t="s">
        <v>992</v>
      </c>
      <c r="C494" s="371"/>
      <c r="D494" s="372"/>
      <c r="E494" s="146"/>
      <c r="F494" s="146"/>
      <c r="G494" s="146"/>
      <c r="H494" s="371"/>
      <c r="I494" s="372"/>
      <c r="J494" s="146"/>
      <c r="K494" s="146"/>
      <c r="L494" s="146"/>
      <c r="M494" s="148"/>
      <c r="N494" s="150"/>
      <c r="O494" s="147"/>
      <c r="P494" s="147"/>
      <c r="Q494" s="147"/>
      <c r="R494" s="368"/>
      <c r="S494" s="365"/>
      <c r="T494" s="147"/>
      <c r="U494" s="147"/>
      <c r="V494" s="147"/>
      <c r="W494" s="368"/>
      <c r="X494" s="365"/>
      <c r="Y494" s="147"/>
      <c r="Z494" s="147"/>
      <c r="AA494" s="147"/>
      <c r="AB494" s="368"/>
    </row>
    <row r="495" spans="1:28" ht="16.149999999999999" customHeight="1" x14ac:dyDescent="0.2">
      <c r="A495" s="375"/>
      <c r="B495" s="117" t="s">
        <v>993</v>
      </c>
      <c r="C495" s="371"/>
      <c r="D495" s="372"/>
      <c r="E495" s="146"/>
      <c r="F495" s="146"/>
      <c r="G495" s="146"/>
      <c r="H495" s="371"/>
      <c r="I495" s="372"/>
      <c r="J495" s="146"/>
      <c r="K495" s="146"/>
      <c r="L495" s="146"/>
      <c r="M495" s="148"/>
      <c r="N495" s="150"/>
      <c r="O495" s="147"/>
      <c r="P495" s="147"/>
      <c r="Q495" s="147"/>
      <c r="R495" s="368"/>
      <c r="S495" s="365"/>
      <c r="T495" s="147"/>
      <c r="U495" s="147"/>
      <c r="V495" s="147"/>
      <c r="W495" s="368"/>
      <c r="X495" s="365"/>
      <c r="Y495" s="147"/>
      <c r="Z495" s="147"/>
      <c r="AA495" s="147"/>
      <c r="AB495" s="368"/>
    </row>
    <row r="496" spans="1:28" ht="16.149999999999999" customHeight="1" x14ac:dyDescent="0.2">
      <c r="A496" s="375"/>
      <c r="B496" s="117" t="s">
        <v>994</v>
      </c>
      <c r="C496" s="371"/>
      <c r="D496" s="372"/>
      <c r="E496" s="146"/>
      <c r="F496" s="146"/>
      <c r="G496" s="146"/>
      <c r="H496" s="371"/>
      <c r="I496" s="372"/>
      <c r="J496" s="146"/>
      <c r="K496" s="146"/>
      <c r="L496" s="146"/>
      <c r="M496" s="148"/>
      <c r="N496" s="150"/>
      <c r="O496" s="147"/>
      <c r="P496" s="147"/>
      <c r="Q496" s="147"/>
      <c r="R496" s="368"/>
      <c r="S496" s="365"/>
      <c r="T496" s="147"/>
      <c r="U496" s="147"/>
      <c r="V496" s="147"/>
      <c r="W496" s="368"/>
      <c r="X496" s="365"/>
      <c r="Y496" s="147"/>
      <c r="Z496" s="147"/>
      <c r="AA496" s="147"/>
      <c r="AB496" s="368"/>
    </row>
    <row r="497" spans="1:28" ht="15.75" customHeight="1" x14ac:dyDescent="0.2">
      <c r="A497" s="375"/>
      <c r="B497" s="117" t="s">
        <v>995</v>
      </c>
      <c r="C497" s="371"/>
      <c r="D497" s="372"/>
      <c r="E497" s="146"/>
      <c r="F497" s="146"/>
      <c r="G497" s="146"/>
      <c r="H497" s="371"/>
      <c r="I497" s="372"/>
      <c r="J497" s="146"/>
      <c r="K497" s="146"/>
      <c r="L497" s="146"/>
      <c r="M497" s="148"/>
      <c r="N497" s="150"/>
      <c r="O497" s="147"/>
      <c r="P497" s="147"/>
      <c r="Q497" s="147"/>
      <c r="R497" s="368"/>
      <c r="S497" s="365"/>
      <c r="T497" s="147"/>
      <c r="U497" s="147"/>
      <c r="V497" s="147"/>
      <c r="W497" s="368"/>
      <c r="X497" s="365"/>
      <c r="Y497" s="147"/>
      <c r="Z497" s="147"/>
      <c r="AA497" s="147"/>
      <c r="AB497" s="368"/>
    </row>
    <row r="498" spans="1:28" ht="16.149999999999999" customHeight="1" x14ac:dyDescent="0.2">
      <c r="A498" s="375"/>
      <c r="B498" s="117" t="s">
        <v>996</v>
      </c>
      <c r="C498" s="371"/>
      <c r="D498" s="372"/>
      <c r="E498" s="146"/>
      <c r="F498" s="146"/>
      <c r="G498" s="146"/>
      <c r="H498" s="371"/>
      <c r="I498" s="372"/>
      <c r="J498" s="146"/>
      <c r="K498" s="146"/>
      <c r="L498" s="146"/>
      <c r="M498" s="148"/>
      <c r="N498" s="150"/>
      <c r="O498" s="147"/>
      <c r="P498" s="147"/>
      <c r="Q498" s="147"/>
      <c r="R498" s="368"/>
      <c r="S498" s="365"/>
      <c r="T498" s="147"/>
      <c r="U498" s="147"/>
      <c r="V498" s="147"/>
      <c r="W498" s="368"/>
      <c r="X498" s="365"/>
      <c r="Y498" s="147"/>
      <c r="Z498" s="147"/>
      <c r="AA498" s="147"/>
      <c r="AB498" s="368"/>
    </row>
    <row r="499" spans="1:28" ht="15.75" customHeight="1" x14ac:dyDescent="0.2">
      <c r="A499" s="375"/>
      <c r="B499" s="117" t="s">
        <v>997</v>
      </c>
      <c r="C499" s="371"/>
      <c r="D499" s="372"/>
      <c r="E499" s="146"/>
      <c r="F499" s="146"/>
      <c r="G499" s="146"/>
      <c r="H499" s="371"/>
      <c r="I499" s="372"/>
      <c r="J499" s="146"/>
      <c r="K499" s="146"/>
      <c r="L499" s="146"/>
      <c r="M499" s="148"/>
      <c r="N499" s="150"/>
      <c r="O499" s="147"/>
      <c r="P499" s="147"/>
      <c r="Q499" s="147"/>
      <c r="R499" s="368"/>
      <c r="S499" s="365"/>
      <c r="T499" s="147"/>
      <c r="U499" s="147"/>
      <c r="V499" s="147"/>
      <c r="W499" s="368"/>
      <c r="X499" s="365"/>
      <c r="Y499" s="147"/>
      <c r="Z499" s="147"/>
      <c r="AA499" s="147"/>
      <c r="AB499" s="368"/>
    </row>
    <row r="500" spans="1:28" ht="15.75" customHeight="1" x14ac:dyDescent="0.2">
      <c r="A500" s="375"/>
      <c r="B500" s="117" t="s">
        <v>998</v>
      </c>
      <c r="C500" s="371"/>
      <c r="D500" s="372"/>
      <c r="E500" s="146"/>
      <c r="F500" s="146"/>
      <c r="G500" s="146"/>
      <c r="H500" s="371"/>
      <c r="I500" s="372"/>
      <c r="J500" s="146"/>
      <c r="K500" s="146"/>
      <c r="L500" s="146"/>
      <c r="M500" s="148"/>
      <c r="N500" s="150"/>
      <c r="O500" s="147"/>
      <c r="P500" s="147"/>
      <c r="Q500" s="147"/>
      <c r="R500" s="368"/>
      <c r="S500" s="365"/>
      <c r="T500" s="147"/>
      <c r="U500" s="147"/>
      <c r="V500" s="147"/>
      <c r="W500" s="368"/>
      <c r="X500" s="365"/>
      <c r="Y500" s="147"/>
      <c r="Z500" s="147"/>
      <c r="AA500" s="147"/>
      <c r="AB500" s="368"/>
    </row>
    <row r="501" spans="1:28" ht="15.75" customHeight="1" x14ac:dyDescent="0.2">
      <c r="A501" s="375"/>
      <c r="B501" s="117" t="s">
        <v>1011</v>
      </c>
      <c r="C501" s="371"/>
      <c r="D501" s="372"/>
      <c r="E501" s="146"/>
      <c r="F501" s="146"/>
      <c r="G501" s="146"/>
      <c r="H501" s="371"/>
      <c r="I501" s="372"/>
      <c r="J501" s="146"/>
      <c r="K501" s="146"/>
      <c r="L501" s="146"/>
      <c r="M501" s="148"/>
      <c r="N501" s="150"/>
      <c r="O501" s="147"/>
      <c r="P501" s="147"/>
      <c r="Q501" s="147"/>
      <c r="R501" s="368"/>
      <c r="S501" s="365"/>
      <c r="T501" s="147"/>
      <c r="U501" s="147"/>
      <c r="V501" s="147"/>
      <c r="W501" s="368"/>
      <c r="X501" s="365"/>
      <c r="Y501" s="147"/>
      <c r="Z501" s="147"/>
      <c r="AA501" s="147"/>
      <c r="AB501" s="368"/>
    </row>
    <row r="502" spans="1:28" ht="15.75" customHeight="1" x14ac:dyDescent="0.2">
      <c r="A502" s="375"/>
      <c r="B502" s="117" t="s">
        <v>999</v>
      </c>
      <c r="C502" s="371"/>
      <c r="D502" s="372"/>
      <c r="E502" s="146"/>
      <c r="F502" s="146"/>
      <c r="G502" s="146"/>
      <c r="H502" s="371"/>
      <c r="I502" s="372"/>
      <c r="J502" s="146"/>
      <c r="K502" s="146"/>
      <c r="L502" s="146"/>
      <c r="M502" s="148"/>
      <c r="N502" s="150"/>
      <c r="O502" s="147"/>
      <c r="P502" s="147"/>
      <c r="Q502" s="147"/>
      <c r="R502" s="368"/>
      <c r="S502" s="365"/>
      <c r="T502" s="147"/>
      <c r="U502" s="147"/>
      <c r="V502" s="147"/>
      <c r="W502" s="368"/>
      <c r="X502" s="365"/>
      <c r="Y502" s="147"/>
      <c r="Z502" s="147"/>
      <c r="AA502" s="147"/>
      <c r="AB502" s="368"/>
    </row>
    <row r="503" spans="1:28" ht="15.75" customHeight="1" x14ac:dyDescent="0.2">
      <c r="A503" s="375"/>
      <c r="B503" s="117" t="s">
        <v>1000</v>
      </c>
      <c r="C503" s="371"/>
      <c r="D503" s="372"/>
      <c r="E503" s="146"/>
      <c r="F503" s="146"/>
      <c r="G503" s="146"/>
      <c r="H503" s="371"/>
      <c r="I503" s="372"/>
      <c r="J503" s="146"/>
      <c r="K503" s="146"/>
      <c r="L503" s="146"/>
      <c r="M503" s="148"/>
      <c r="N503" s="150"/>
      <c r="O503" s="147"/>
      <c r="P503" s="147"/>
      <c r="Q503" s="147"/>
      <c r="R503" s="368"/>
      <c r="S503" s="365"/>
      <c r="T503" s="147"/>
      <c r="U503" s="147"/>
      <c r="V503" s="147"/>
      <c r="W503" s="368"/>
      <c r="X503" s="365"/>
      <c r="Y503" s="147"/>
      <c r="Z503" s="147"/>
      <c r="AA503" s="147"/>
      <c r="AB503" s="368"/>
    </row>
    <row r="504" spans="1:28" ht="15.75" customHeight="1" x14ac:dyDescent="0.2">
      <c r="A504" s="375"/>
      <c r="B504" s="117" t="s">
        <v>1010</v>
      </c>
      <c r="C504" s="371"/>
      <c r="D504" s="372"/>
      <c r="E504" s="146"/>
      <c r="F504" s="146"/>
      <c r="G504" s="146"/>
      <c r="H504" s="371"/>
      <c r="I504" s="372"/>
      <c r="J504" s="146"/>
      <c r="K504" s="146"/>
      <c r="L504" s="146"/>
      <c r="M504" s="148"/>
      <c r="N504" s="150"/>
      <c r="O504" s="147"/>
      <c r="P504" s="147"/>
      <c r="Q504" s="147"/>
      <c r="R504" s="368"/>
      <c r="S504" s="365"/>
      <c r="T504" s="147"/>
      <c r="U504" s="147"/>
      <c r="V504" s="147"/>
      <c r="W504" s="368"/>
      <c r="X504" s="365"/>
      <c r="Y504" s="147"/>
      <c r="Z504" s="147"/>
      <c r="AA504" s="147"/>
      <c r="AB504" s="368"/>
    </row>
    <row r="505" spans="1:28" ht="16.149999999999999" customHeight="1" x14ac:dyDescent="0.2">
      <c r="A505" s="375"/>
      <c r="B505" s="117" t="s">
        <v>1009</v>
      </c>
      <c r="C505" s="371"/>
      <c r="D505" s="372"/>
      <c r="E505" s="146"/>
      <c r="F505" s="146"/>
      <c r="G505" s="146"/>
      <c r="H505" s="371"/>
      <c r="I505" s="372"/>
      <c r="J505" s="146"/>
      <c r="K505" s="146"/>
      <c r="L505" s="146"/>
      <c r="M505" s="148"/>
      <c r="N505" s="150"/>
      <c r="O505" s="147"/>
      <c r="P505" s="147"/>
      <c r="Q505" s="147"/>
      <c r="R505" s="368"/>
      <c r="S505" s="365"/>
      <c r="T505" s="147"/>
      <c r="U505" s="147"/>
      <c r="V505" s="147"/>
      <c r="W505" s="368"/>
      <c r="X505" s="365"/>
      <c r="Y505" s="147"/>
      <c r="Z505" s="147"/>
      <c r="AA505" s="147"/>
      <c r="AB505" s="368"/>
    </row>
    <row r="506" spans="1:28" ht="16.149999999999999" customHeight="1" x14ac:dyDescent="0.2">
      <c r="A506" s="375"/>
      <c r="B506" s="117" t="s">
        <v>1001</v>
      </c>
      <c r="C506" s="371"/>
      <c r="D506" s="372"/>
      <c r="E506" s="146"/>
      <c r="F506" s="146"/>
      <c r="G506" s="146"/>
      <c r="H506" s="371"/>
      <c r="I506" s="372"/>
      <c r="J506" s="146"/>
      <c r="K506" s="146"/>
      <c r="L506" s="146"/>
      <c r="M506" s="148"/>
      <c r="N506" s="150"/>
      <c r="O506" s="147"/>
      <c r="P506" s="147"/>
      <c r="Q506" s="147"/>
      <c r="R506" s="368"/>
      <c r="S506" s="365"/>
      <c r="T506" s="147"/>
      <c r="U506" s="147"/>
      <c r="V506" s="147"/>
      <c r="W506" s="368"/>
      <c r="X506" s="365"/>
      <c r="Y506" s="147"/>
      <c r="Z506" s="147"/>
      <c r="AA506" s="147"/>
      <c r="AB506" s="368"/>
    </row>
    <row r="507" spans="1:28" ht="16.149999999999999" customHeight="1" x14ac:dyDescent="0.2">
      <c r="A507" s="375"/>
      <c r="B507" s="117" t="s">
        <v>1002</v>
      </c>
      <c r="C507" s="371"/>
      <c r="D507" s="372"/>
      <c r="E507" s="146"/>
      <c r="F507" s="146"/>
      <c r="G507" s="146"/>
      <c r="H507" s="371"/>
      <c r="I507" s="372"/>
      <c r="J507" s="146"/>
      <c r="K507" s="146"/>
      <c r="L507" s="146"/>
      <c r="M507" s="148"/>
      <c r="N507" s="150"/>
      <c r="O507" s="147"/>
      <c r="P507" s="147"/>
      <c r="Q507" s="147"/>
      <c r="R507" s="368"/>
      <c r="S507" s="365"/>
      <c r="T507" s="147"/>
      <c r="U507" s="147"/>
      <c r="V507" s="147"/>
      <c r="W507" s="368"/>
      <c r="X507" s="365"/>
      <c r="Y507" s="147"/>
      <c r="Z507" s="147"/>
      <c r="AA507" s="147"/>
      <c r="AB507" s="368"/>
    </row>
    <row r="508" spans="1:28" ht="16.149999999999999" customHeight="1" x14ac:dyDescent="0.2">
      <c r="A508" s="375"/>
      <c r="B508" s="117" t="s">
        <v>1003</v>
      </c>
      <c r="C508" s="371"/>
      <c r="D508" s="372"/>
      <c r="E508" s="146"/>
      <c r="F508" s="146"/>
      <c r="G508" s="146"/>
      <c r="H508" s="371"/>
      <c r="I508" s="372"/>
      <c r="J508" s="146"/>
      <c r="K508" s="146"/>
      <c r="L508" s="146"/>
      <c r="M508" s="148"/>
      <c r="N508" s="150"/>
      <c r="O508" s="147"/>
      <c r="P508" s="147"/>
      <c r="Q508" s="147"/>
      <c r="R508" s="368"/>
      <c r="S508" s="365"/>
      <c r="T508" s="147"/>
      <c r="U508" s="147"/>
      <c r="V508" s="147"/>
      <c r="W508" s="368"/>
      <c r="X508" s="365"/>
      <c r="Y508" s="147"/>
      <c r="Z508" s="147"/>
      <c r="AA508" s="147"/>
      <c r="AB508" s="368"/>
    </row>
    <row r="509" spans="1:28" ht="16.149999999999999" customHeight="1" x14ac:dyDescent="0.2">
      <c r="A509" s="375"/>
      <c r="B509" s="117" t="s">
        <v>1004</v>
      </c>
      <c r="C509" s="371"/>
      <c r="D509" s="372"/>
      <c r="E509" s="146"/>
      <c r="F509" s="146"/>
      <c r="G509" s="146"/>
      <c r="H509" s="371"/>
      <c r="I509" s="372"/>
      <c r="J509" s="146"/>
      <c r="K509" s="146"/>
      <c r="L509" s="146"/>
      <c r="M509" s="148"/>
      <c r="N509" s="150"/>
      <c r="O509" s="147"/>
      <c r="P509" s="147"/>
      <c r="Q509" s="147"/>
      <c r="R509" s="368"/>
      <c r="S509" s="365"/>
      <c r="T509" s="147"/>
      <c r="U509" s="147"/>
      <c r="V509" s="147"/>
      <c r="W509" s="368"/>
      <c r="X509" s="365"/>
      <c r="Y509" s="147"/>
      <c r="Z509" s="147"/>
      <c r="AA509" s="147"/>
      <c r="AB509" s="368"/>
    </row>
    <row r="510" spans="1:28" ht="16.149999999999999" customHeight="1" x14ac:dyDescent="0.2">
      <c r="A510" s="375"/>
      <c r="B510" s="117" t="s">
        <v>1005</v>
      </c>
      <c r="C510" s="371"/>
      <c r="D510" s="372"/>
      <c r="E510" s="146"/>
      <c r="F510" s="146"/>
      <c r="G510" s="146"/>
      <c r="H510" s="371"/>
      <c r="I510" s="372"/>
      <c r="J510" s="146"/>
      <c r="K510" s="146"/>
      <c r="L510" s="146"/>
      <c r="M510" s="148"/>
      <c r="N510" s="150"/>
      <c r="O510" s="147"/>
      <c r="P510" s="147"/>
      <c r="Q510" s="147"/>
      <c r="R510" s="368"/>
      <c r="S510" s="365"/>
      <c r="T510" s="147"/>
      <c r="U510" s="147"/>
      <c r="V510" s="147"/>
      <c r="W510" s="368"/>
      <c r="X510" s="365"/>
      <c r="Y510" s="147"/>
      <c r="Z510" s="147"/>
      <c r="AA510" s="147"/>
      <c r="AB510" s="368"/>
    </row>
    <row r="511" spans="1:28" ht="16.149999999999999" customHeight="1" x14ac:dyDescent="0.2">
      <c r="A511" s="375"/>
      <c r="B511" s="117" t="s">
        <v>1006</v>
      </c>
      <c r="C511" s="371"/>
      <c r="D511" s="372"/>
      <c r="E511" s="146"/>
      <c r="F511" s="146"/>
      <c r="G511" s="146"/>
      <c r="H511" s="371"/>
      <c r="I511" s="372"/>
      <c r="J511" s="146"/>
      <c r="K511" s="146"/>
      <c r="L511" s="146"/>
      <c r="M511" s="148"/>
      <c r="N511" s="150"/>
      <c r="O511" s="147"/>
      <c r="P511" s="147"/>
      <c r="Q511" s="147"/>
      <c r="R511" s="368"/>
      <c r="S511" s="365"/>
      <c r="T511" s="147"/>
      <c r="U511" s="147"/>
      <c r="V511" s="147"/>
      <c r="W511" s="368"/>
      <c r="X511" s="365"/>
      <c r="Y511" s="147"/>
      <c r="Z511" s="147"/>
      <c r="AA511" s="147"/>
      <c r="AB511" s="368"/>
    </row>
    <row r="512" spans="1:28" ht="16.149999999999999" customHeight="1" x14ac:dyDescent="0.2">
      <c r="A512" s="375"/>
      <c r="B512" s="117" t="s">
        <v>1007</v>
      </c>
      <c r="C512" s="371"/>
      <c r="D512" s="372"/>
      <c r="E512" s="146"/>
      <c r="F512" s="146"/>
      <c r="G512" s="146"/>
      <c r="H512" s="371"/>
      <c r="I512" s="372"/>
      <c r="J512" s="146"/>
      <c r="K512" s="146"/>
      <c r="L512" s="146"/>
      <c r="M512" s="148"/>
      <c r="N512" s="150"/>
      <c r="O512" s="147"/>
      <c r="P512" s="147"/>
      <c r="Q512" s="147"/>
      <c r="R512" s="368"/>
      <c r="S512" s="365"/>
      <c r="T512" s="147"/>
      <c r="U512" s="147"/>
      <c r="V512" s="147"/>
      <c r="W512" s="368"/>
      <c r="X512" s="365"/>
      <c r="Y512" s="147"/>
      <c r="Z512" s="147"/>
      <c r="AA512" s="147"/>
      <c r="AB512" s="368"/>
    </row>
    <row r="513" spans="1:28" ht="16.149999999999999" customHeight="1" x14ac:dyDescent="0.2">
      <c r="A513" s="375"/>
      <c r="B513" s="117" t="s">
        <v>1008</v>
      </c>
      <c r="C513" s="371"/>
      <c r="D513" s="372"/>
      <c r="E513" s="146"/>
      <c r="F513" s="146"/>
      <c r="G513" s="146"/>
      <c r="H513" s="371"/>
      <c r="I513" s="372"/>
      <c r="J513" s="146"/>
      <c r="K513" s="146"/>
      <c r="L513" s="146"/>
      <c r="M513" s="148"/>
      <c r="N513" s="150"/>
      <c r="O513" s="147"/>
      <c r="P513" s="147"/>
      <c r="Q513" s="147"/>
      <c r="R513" s="368"/>
      <c r="S513" s="365"/>
      <c r="T513" s="147"/>
      <c r="U513" s="147"/>
      <c r="V513" s="147"/>
      <c r="W513" s="368"/>
      <c r="X513" s="365"/>
      <c r="Y513" s="147"/>
      <c r="Z513" s="147"/>
      <c r="AA513" s="147"/>
      <c r="AB513" s="368"/>
    </row>
    <row r="514" spans="1:28" ht="16.149999999999999" customHeight="1" x14ac:dyDescent="0.2">
      <c r="A514" s="375"/>
      <c r="B514" s="117" t="s">
        <v>1525</v>
      </c>
      <c r="C514" s="371"/>
      <c r="D514" s="372"/>
      <c r="E514" s="146"/>
      <c r="F514" s="146"/>
      <c r="G514" s="146"/>
      <c r="H514" s="371"/>
      <c r="I514" s="372"/>
      <c r="J514" s="146"/>
      <c r="K514" s="146"/>
      <c r="L514" s="146"/>
      <c r="M514" s="148"/>
      <c r="N514" s="150"/>
      <c r="O514" s="147"/>
      <c r="P514" s="147"/>
      <c r="Q514" s="147"/>
      <c r="R514" s="368"/>
      <c r="S514" s="365"/>
      <c r="T514" s="147"/>
      <c r="U514" s="147"/>
      <c r="V514" s="147"/>
      <c r="W514" s="368"/>
      <c r="X514" s="365"/>
      <c r="Y514" s="147"/>
      <c r="Z514" s="147"/>
      <c r="AA514" s="147"/>
      <c r="AB514" s="368"/>
    </row>
    <row r="515" spans="1:28" ht="16.149999999999999" customHeight="1" x14ac:dyDescent="0.2">
      <c r="A515" s="375"/>
      <c r="B515" s="117" t="s">
        <v>1527</v>
      </c>
      <c r="C515" s="371"/>
      <c r="D515" s="372"/>
      <c r="E515" s="146"/>
      <c r="F515" s="146"/>
      <c r="G515" s="146"/>
      <c r="H515" s="371"/>
      <c r="I515" s="372"/>
      <c r="J515" s="146"/>
      <c r="K515" s="146"/>
      <c r="L515" s="146"/>
      <c r="M515" s="148"/>
      <c r="N515" s="150"/>
      <c r="O515" s="147"/>
      <c r="P515" s="147"/>
      <c r="Q515" s="147"/>
      <c r="R515" s="368"/>
      <c r="S515" s="365"/>
      <c r="T515" s="147"/>
      <c r="U515" s="147"/>
      <c r="V515" s="147"/>
      <c r="W515" s="368"/>
      <c r="X515" s="365"/>
      <c r="Y515" s="147"/>
      <c r="Z515" s="147"/>
      <c r="AA515" s="147"/>
      <c r="AB515" s="368"/>
    </row>
    <row r="516" spans="1:28" ht="16.149999999999999" customHeight="1" x14ac:dyDescent="0.2">
      <c r="A516" s="375"/>
      <c r="B516" s="117" t="s">
        <v>1528</v>
      </c>
      <c r="C516" s="371"/>
      <c r="D516" s="372"/>
      <c r="E516" s="146"/>
      <c r="F516" s="146"/>
      <c r="G516" s="146"/>
      <c r="H516" s="371"/>
      <c r="I516" s="372"/>
      <c r="J516" s="146"/>
      <c r="K516" s="146"/>
      <c r="L516" s="146"/>
      <c r="M516" s="148"/>
      <c r="N516" s="150"/>
      <c r="O516" s="147"/>
      <c r="P516" s="147"/>
      <c r="Q516" s="147"/>
      <c r="R516" s="368"/>
      <c r="S516" s="365"/>
      <c r="T516" s="147"/>
      <c r="U516" s="147"/>
      <c r="V516" s="147"/>
      <c r="W516" s="368"/>
      <c r="X516" s="365"/>
      <c r="Y516" s="147"/>
      <c r="Z516" s="147"/>
      <c r="AA516" s="147"/>
      <c r="AB516" s="368"/>
    </row>
    <row r="517" spans="1:28" ht="16.149999999999999" customHeight="1" x14ac:dyDescent="0.2">
      <c r="A517" s="375"/>
      <c r="B517" s="117" t="s">
        <v>1529</v>
      </c>
      <c r="C517" s="371"/>
      <c r="D517" s="372"/>
      <c r="E517" s="146"/>
      <c r="F517" s="146"/>
      <c r="G517" s="146"/>
      <c r="H517" s="371"/>
      <c r="I517" s="372"/>
      <c r="J517" s="146"/>
      <c r="K517" s="146"/>
      <c r="L517" s="146"/>
      <c r="M517" s="148"/>
      <c r="N517" s="150"/>
      <c r="O517" s="147"/>
      <c r="P517" s="147"/>
      <c r="Q517" s="147"/>
      <c r="R517" s="368"/>
      <c r="S517" s="365"/>
      <c r="T517" s="147"/>
      <c r="U517" s="147"/>
      <c r="V517" s="147"/>
      <c r="W517" s="368"/>
      <c r="X517" s="365"/>
      <c r="Y517" s="147"/>
      <c r="Z517" s="147"/>
      <c r="AA517" s="147"/>
      <c r="AB517" s="368"/>
    </row>
    <row r="518" spans="1:28" ht="16.149999999999999" customHeight="1" x14ac:dyDescent="0.2">
      <c r="A518" s="375"/>
      <c r="B518" s="117" t="s">
        <v>1530</v>
      </c>
      <c r="C518" s="371"/>
      <c r="D518" s="372"/>
      <c r="E518" s="146"/>
      <c r="F518" s="146"/>
      <c r="G518" s="146"/>
      <c r="H518" s="371"/>
      <c r="I518" s="372"/>
      <c r="J518" s="146"/>
      <c r="K518" s="146"/>
      <c r="L518" s="146"/>
      <c r="M518" s="148"/>
      <c r="N518" s="150"/>
      <c r="O518" s="147"/>
      <c r="P518" s="147"/>
      <c r="Q518" s="147"/>
      <c r="R518" s="368"/>
      <c r="S518" s="365"/>
      <c r="T518" s="147"/>
      <c r="U518" s="147"/>
      <c r="V518" s="147"/>
      <c r="W518" s="368"/>
      <c r="X518" s="365"/>
      <c r="Y518" s="147"/>
      <c r="Z518" s="147"/>
      <c r="AA518" s="147"/>
      <c r="AB518" s="368"/>
    </row>
    <row r="519" spans="1:28" ht="16.149999999999999" customHeight="1" x14ac:dyDescent="0.2">
      <c r="A519" s="375"/>
      <c r="B519" s="117" t="s">
        <v>1531</v>
      </c>
      <c r="C519" s="371"/>
      <c r="D519" s="372"/>
      <c r="E519" s="146"/>
      <c r="F519" s="146"/>
      <c r="G519" s="146"/>
      <c r="H519" s="371"/>
      <c r="I519" s="372"/>
      <c r="J519" s="146"/>
      <c r="K519" s="146"/>
      <c r="L519" s="146"/>
      <c r="M519" s="148"/>
      <c r="N519" s="150"/>
      <c r="O519" s="147"/>
      <c r="P519" s="147"/>
      <c r="Q519" s="147"/>
      <c r="R519" s="368"/>
      <c r="S519" s="365"/>
      <c r="T519" s="147"/>
      <c r="U519" s="147"/>
      <c r="V519" s="147"/>
      <c r="W519" s="368"/>
      <c r="X519" s="365"/>
      <c r="Y519" s="147"/>
      <c r="Z519" s="147"/>
      <c r="AA519" s="147"/>
      <c r="AB519" s="368"/>
    </row>
    <row r="520" spans="1:28" ht="16.149999999999999" customHeight="1" x14ac:dyDescent="0.2">
      <c r="A520" s="375"/>
      <c r="B520" s="117" t="s">
        <v>1532</v>
      </c>
      <c r="C520" s="371"/>
      <c r="D520" s="372"/>
      <c r="E520" s="146"/>
      <c r="F520" s="146"/>
      <c r="G520" s="146"/>
      <c r="H520" s="371"/>
      <c r="I520" s="372"/>
      <c r="J520" s="146"/>
      <c r="K520" s="146"/>
      <c r="L520" s="146"/>
      <c r="M520" s="148"/>
      <c r="N520" s="150"/>
      <c r="O520" s="147"/>
      <c r="P520" s="147"/>
      <c r="Q520" s="147"/>
      <c r="R520" s="368"/>
      <c r="S520" s="365"/>
      <c r="T520" s="147"/>
      <c r="U520" s="147"/>
      <c r="V520" s="147"/>
      <c r="W520" s="368"/>
      <c r="X520" s="365"/>
      <c r="Y520" s="147"/>
      <c r="Z520" s="147"/>
      <c r="AA520" s="147"/>
      <c r="AB520" s="368"/>
    </row>
    <row r="521" spans="1:28" ht="16.149999999999999" customHeight="1" x14ac:dyDescent="0.2">
      <c r="A521" s="375"/>
      <c r="B521" s="117" t="s">
        <v>1533</v>
      </c>
      <c r="C521" s="371"/>
      <c r="D521" s="372"/>
      <c r="E521" s="146"/>
      <c r="F521" s="146"/>
      <c r="G521" s="146"/>
      <c r="H521" s="371"/>
      <c r="I521" s="372"/>
      <c r="J521" s="146"/>
      <c r="K521" s="146"/>
      <c r="L521" s="146"/>
      <c r="M521" s="148"/>
      <c r="N521" s="150"/>
      <c r="O521" s="147"/>
      <c r="P521" s="147"/>
      <c r="Q521" s="147"/>
      <c r="R521" s="368"/>
      <c r="S521" s="365"/>
      <c r="T521" s="147"/>
      <c r="U521" s="147"/>
      <c r="V521" s="147"/>
      <c r="W521" s="368"/>
      <c r="X521" s="365"/>
      <c r="Y521" s="147"/>
      <c r="Z521" s="147"/>
      <c r="AA521" s="147"/>
      <c r="AB521" s="368"/>
    </row>
    <row r="522" spans="1:28" ht="16.149999999999999" customHeight="1" x14ac:dyDescent="0.2">
      <c r="A522" s="375"/>
      <c r="B522" s="117" t="s">
        <v>1526</v>
      </c>
      <c r="C522" s="371"/>
      <c r="D522" s="372"/>
      <c r="E522" s="146"/>
      <c r="F522" s="146"/>
      <c r="G522" s="146"/>
      <c r="H522" s="371"/>
      <c r="I522" s="372"/>
      <c r="J522" s="146"/>
      <c r="K522" s="146"/>
      <c r="L522" s="146"/>
      <c r="M522" s="148"/>
      <c r="N522" s="150"/>
      <c r="O522" s="147"/>
      <c r="P522" s="147"/>
      <c r="Q522" s="147"/>
      <c r="R522" s="368"/>
      <c r="S522" s="365"/>
      <c r="T522" s="147"/>
      <c r="U522" s="147"/>
      <c r="V522" s="147"/>
      <c r="W522" s="368"/>
      <c r="X522" s="365"/>
      <c r="Y522" s="147"/>
      <c r="Z522" s="147"/>
      <c r="AA522" s="147"/>
      <c r="AB522" s="368"/>
    </row>
    <row r="523" spans="1:28" ht="32.25" customHeight="1" x14ac:dyDescent="0.2">
      <c r="A523" s="376" t="s">
        <v>11</v>
      </c>
      <c r="B523" s="115" t="s">
        <v>146</v>
      </c>
      <c r="C523" s="370">
        <f>D523+E523+F523+G523</f>
        <v>0</v>
      </c>
      <c r="D523" s="373">
        <v>0</v>
      </c>
      <c r="E523" s="320">
        <v>0</v>
      </c>
      <c r="F523" s="320">
        <v>0</v>
      </c>
      <c r="G523" s="320">
        <v>0</v>
      </c>
      <c r="H523" s="370">
        <f>I523+J523+K523+L523</f>
        <v>0</v>
      </c>
      <c r="I523" s="373">
        <v>0</v>
      </c>
      <c r="J523" s="320">
        <v>0</v>
      </c>
      <c r="K523" s="320">
        <v>0</v>
      </c>
      <c r="L523" s="320">
        <v>0</v>
      </c>
      <c r="M523" s="370">
        <f>N523</f>
        <v>0</v>
      </c>
      <c r="N523" s="373">
        <f>1417-578-583-29-214-13</f>
        <v>0</v>
      </c>
      <c r="O523" s="327">
        <v>0</v>
      </c>
      <c r="P523" s="327">
        <v>0</v>
      </c>
      <c r="Q523" s="327">
        <v>0</v>
      </c>
      <c r="R523" s="370">
        <f>S523</f>
        <v>821</v>
      </c>
      <c r="S523" s="373">
        <f>1417+3469-4281-10+271-22-23</f>
        <v>821</v>
      </c>
      <c r="T523" s="320">
        <v>0</v>
      </c>
      <c r="U523" s="320">
        <v>0</v>
      </c>
      <c r="V523" s="320">
        <v>0</v>
      </c>
      <c r="W523" s="370">
        <f>X523</f>
        <v>2247</v>
      </c>
      <c r="X523" s="373">
        <f>256-69+2060</f>
        <v>2247</v>
      </c>
      <c r="Y523" s="320">
        <v>0</v>
      </c>
      <c r="Z523" s="320">
        <v>0</v>
      </c>
      <c r="AA523" s="320">
        <v>0</v>
      </c>
      <c r="AB523" s="370">
        <f>C523+H523+M523+R523+W523</f>
        <v>3068</v>
      </c>
    </row>
    <row r="524" spans="1:28" ht="18" customHeight="1" x14ac:dyDescent="0.2">
      <c r="A524" s="377"/>
      <c r="B524" s="116" t="s">
        <v>360</v>
      </c>
      <c r="C524" s="371"/>
      <c r="D524" s="372"/>
      <c r="E524" s="320"/>
      <c r="F524" s="320"/>
      <c r="G524" s="320"/>
      <c r="H524" s="371"/>
      <c r="I524" s="372"/>
      <c r="J524" s="320"/>
      <c r="K524" s="320"/>
      <c r="L524" s="320"/>
      <c r="M524" s="371"/>
      <c r="N524" s="372"/>
      <c r="O524" s="327"/>
      <c r="P524" s="327"/>
      <c r="Q524" s="327"/>
      <c r="R524" s="371"/>
      <c r="S524" s="372"/>
      <c r="T524" s="320"/>
      <c r="U524" s="320"/>
      <c r="V524" s="320"/>
      <c r="W524" s="371"/>
      <c r="X524" s="372"/>
      <c r="Y524" s="320"/>
      <c r="Z524" s="320"/>
      <c r="AA524" s="320"/>
      <c r="AB524" s="371"/>
    </row>
    <row r="525" spans="1:28" ht="15.75" customHeight="1" x14ac:dyDescent="0.2">
      <c r="A525" s="377"/>
      <c r="B525" s="117" t="s">
        <v>1012</v>
      </c>
      <c r="C525" s="371"/>
      <c r="D525" s="372"/>
      <c r="E525" s="320"/>
      <c r="F525" s="320"/>
      <c r="G525" s="320"/>
      <c r="H525" s="371"/>
      <c r="I525" s="372"/>
      <c r="J525" s="320"/>
      <c r="K525" s="320"/>
      <c r="L525" s="320"/>
      <c r="M525" s="371"/>
      <c r="N525" s="372"/>
      <c r="O525" s="327"/>
      <c r="P525" s="327"/>
      <c r="Q525" s="327"/>
      <c r="R525" s="371"/>
      <c r="S525" s="372"/>
      <c r="T525" s="320"/>
      <c r="U525" s="320"/>
      <c r="V525" s="320"/>
      <c r="W525" s="371"/>
      <c r="X525" s="372"/>
      <c r="Y525" s="320"/>
      <c r="Z525" s="320"/>
      <c r="AA525" s="320"/>
      <c r="AB525" s="371"/>
    </row>
    <row r="526" spans="1:28" ht="15.75" customHeight="1" x14ac:dyDescent="0.2">
      <c r="A526" s="377"/>
      <c r="B526" s="117" t="s">
        <v>1013</v>
      </c>
      <c r="C526" s="371"/>
      <c r="D526" s="372"/>
      <c r="E526" s="320"/>
      <c r="F526" s="320"/>
      <c r="G526" s="320"/>
      <c r="H526" s="371"/>
      <c r="I526" s="372"/>
      <c r="J526" s="320"/>
      <c r="K526" s="320"/>
      <c r="L526" s="320"/>
      <c r="M526" s="371"/>
      <c r="N526" s="372"/>
      <c r="O526" s="327"/>
      <c r="P526" s="327"/>
      <c r="Q526" s="327"/>
      <c r="R526" s="371"/>
      <c r="S526" s="372"/>
      <c r="T526" s="320"/>
      <c r="U526" s="320"/>
      <c r="V526" s="320"/>
      <c r="W526" s="371"/>
      <c r="X526" s="372"/>
      <c r="Y526" s="320"/>
      <c r="Z526" s="320"/>
      <c r="AA526" s="320"/>
      <c r="AB526" s="371"/>
    </row>
    <row r="527" spans="1:28" ht="15.75" customHeight="1" x14ac:dyDescent="0.2">
      <c r="A527" s="377"/>
      <c r="B527" s="117" t="s">
        <v>1014</v>
      </c>
      <c r="C527" s="371"/>
      <c r="D527" s="372"/>
      <c r="E527" s="320"/>
      <c r="F527" s="320"/>
      <c r="G527" s="320"/>
      <c r="H527" s="371"/>
      <c r="I527" s="372"/>
      <c r="J527" s="320"/>
      <c r="K527" s="320"/>
      <c r="L527" s="320"/>
      <c r="M527" s="371"/>
      <c r="N527" s="372"/>
      <c r="O527" s="327"/>
      <c r="P527" s="327"/>
      <c r="Q527" s="327"/>
      <c r="R527" s="371"/>
      <c r="S527" s="372"/>
      <c r="T527" s="320"/>
      <c r="U527" s="320"/>
      <c r="V527" s="320"/>
      <c r="W527" s="371"/>
      <c r="X527" s="372"/>
      <c r="Y527" s="320"/>
      <c r="Z527" s="320"/>
      <c r="AA527" s="320"/>
      <c r="AB527" s="371"/>
    </row>
    <row r="528" spans="1:28" ht="15.75" customHeight="1" x14ac:dyDescent="0.2">
      <c r="A528" s="322"/>
      <c r="B528" s="117" t="s">
        <v>1087</v>
      </c>
      <c r="C528" s="310"/>
      <c r="D528" s="312"/>
      <c r="E528" s="320"/>
      <c r="F528" s="320"/>
      <c r="G528" s="320"/>
      <c r="H528" s="310"/>
      <c r="I528" s="312"/>
      <c r="J528" s="320"/>
      <c r="K528" s="320"/>
      <c r="L528" s="320"/>
      <c r="M528" s="310"/>
      <c r="N528" s="312"/>
      <c r="O528" s="327"/>
      <c r="P528" s="327"/>
      <c r="Q528" s="327"/>
      <c r="R528" s="310"/>
      <c r="S528" s="312"/>
      <c r="T528" s="320"/>
      <c r="U528" s="320"/>
      <c r="V528" s="320"/>
      <c r="W528" s="310"/>
      <c r="X528" s="312"/>
      <c r="Y528" s="320"/>
      <c r="Z528" s="320"/>
      <c r="AA528" s="320"/>
      <c r="AB528" s="310"/>
    </row>
    <row r="529" spans="1:28" ht="14.25" customHeight="1" x14ac:dyDescent="0.2">
      <c r="A529" s="375"/>
      <c r="B529" s="116" t="s">
        <v>397</v>
      </c>
      <c r="C529" s="371"/>
      <c r="D529" s="372"/>
      <c r="E529" s="320"/>
      <c r="F529" s="320"/>
      <c r="G529" s="320"/>
      <c r="H529" s="371"/>
      <c r="I529" s="372"/>
      <c r="J529" s="320"/>
      <c r="K529" s="320"/>
      <c r="L529" s="320"/>
      <c r="M529" s="371"/>
      <c r="N529" s="372"/>
      <c r="O529" s="327"/>
      <c r="P529" s="327"/>
      <c r="Q529" s="327"/>
      <c r="R529" s="368"/>
      <c r="S529" s="365"/>
      <c r="T529" s="327"/>
      <c r="U529" s="327"/>
      <c r="V529" s="327"/>
      <c r="W529" s="368"/>
      <c r="X529" s="365"/>
      <c r="Y529" s="327"/>
      <c r="Z529" s="327"/>
      <c r="AA529" s="327"/>
      <c r="AB529" s="368"/>
    </row>
    <row r="530" spans="1:28" ht="14.25" customHeight="1" x14ac:dyDescent="0.2">
      <c r="A530" s="375"/>
      <c r="B530" s="117" t="s">
        <v>1411</v>
      </c>
      <c r="C530" s="371"/>
      <c r="D530" s="372"/>
      <c r="E530" s="320"/>
      <c r="F530" s="320"/>
      <c r="G530" s="320"/>
      <c r="H530" s="371"/>
      <c r="I530" s="372"/>
      <c r="J530" s="320"/>
      <c r="K530" s="320"/>
      <c r="L530" s="320"/>
      <c r="M530" s="371"/>
      <c r="N530" s="372"/>
      <c r="O530" s="327"/>
      <c r="P530" s="327"/>
      <c r="Q530" s="327"/>
      <c r="R530" s="368"/>
      <c r="S530" s="365"/>
      <c r="T530" s="327"/>
      <c r="U530" s="327"/>
      <c r="V530" s="327"/>
      <c r="W530" s="368"/>
      <c r="X530" s="365"/>
      <c r="Y530" s="327"/>
      <c r="Z530" s="327"/>
      <c r="AA530" s="327"/>
      <c r="AB530" s="368"/>
    </row>
    <row r="531" spans="1:28" ht="14.25" customHeight="1" x14ac:dyDescent="0.2">
      <c r="A531" s="375"/>
      <c r="B531" s="117" t="s">
        <v>1412</v>
      </c>
      <c r="C531" s="371"/>
      <c r="D531" s="372"/>
      <c r="E531" s="320"/>
      <c r="F531" s="320"/>
      <c r="G531" s="320"/>
      <c r="H531" s="371"/>
      <c r="I531" s="372"/>
      <c r="J531" s="320"/>
      <c r="K531" s="320"/>
      <c r="L531" s="320"/>
      <c r="M531" s="371"/>
      <c r="N531" s="372"/>
      <c r="O531" s="327"/>
      <c r="P531" s="327"/>
      <c r="Q531" s="327"/>
      <c r="R531" s="368"/>
      <c r="S531" s="365"/>
      <c r="T531" s="327"/>
      <c r="U531" s="327"/>
      <c r="V531" s="327"/>
      <c r="W531" s="368"/>
      <c r="X531" s="365"/>
      <c r="Y531" s="327"/>
      <c r="Z531" s="327"/>
      <c r="AA531" s="327"/>
      <c r="AB531" s="368"/>
    </row>
    <row r="532" spans="1:28" ht="14.25" customHeight="1" x14ac:dyDescent="0.2">
      <c r="A532" s="375"/>
      <c r="B532" s="298" t="s">
        <v>1413</v>
      </c>
      <c r="C532" s="371"/>
      <c r="D532" s="372"/>
      <c r="E532" s="320"/>
      <c r="F532" s="320"/>
      <c r="G532" s="320"/>
      <c r="H532" s="371"/>
      <c r="I532" s="372"/>
      <c r="J532" s="320"/>
      <c r="K532" s="320"/>
      <c r="L532" s="320"/>
      <c r="M532" s="371"/>
      <c r="N532" s="372"/>
      <c r="O532" s="327"/>
      <c r="P532" s="327"/>
      <c r="Q532" s="327"/>
      <c r="R532" s="368"/>
      <c r="S532" s="365"/>
      <c r="T532" s="327"/>
      <c r="U532" s="327"/>
      <c r="V532" s="327"/>
      <c r="W532" s="368"/>
      <c r="X532" s="365"/>
      <c r="Y532" s="327"/>
      <c r="Z532" s="327"/>
      <c r="AA532" s="327"/>
      <c r="AB532" s="368"/>
    </row>
    <row r="533" spans="1:28" ht="14.25" customHeight="1" x14ac:dyDescent="0.2">
      <c r="A533" s="375"/>
      <c r="B533" s="117" t="s">
        <v>1414</v>
      </c>
      <c r="C533" s="371"/>
      <c r="D533" s="372"/>
      <c r="E533" s="320"/>
      <c r="F533" s="320"/>
      <c r="G533" s="320"/>
      <c r="H533" s="371"/>
      <c r="I533" s="372"/>
      <c r="J533" s="320"/>
      <c r="K533" s="320"/>
      <c r="L533" s="320"/>
      <c r="M533" s="371"/>
      <c r="N533" s="372"/>
      <c r="O533" s="327"/>
      <c r="P533" s="327"/>
      <c r="Q533" s="327"/>
      <c r="R533" s="368"/>
      <c r="S533" s="365"/>
      <c r="T533" s="327"/>
      <c r="U533" s="327"/>
      <c r="V533" s="327"/>
      <c r="W533" s="368"/>
      <c r="X533" s="365"/>
      <c r="Y533" s="327"/>
      <c r="Z533" s="327"/>
      <c r="AA533" s="327"/>
      <c r="AB533" s="368"/>
    </row>
    <row r="534" spans="1:28" ht="14.25" customHeight="1" x14ac:dyDescent="0.2">
      <c r="A534" s="375"/>
      <c r="B534" s="298" t="s">
        <v>1415</v>
      </c>
      <c r="C534" s="371"/>
      <c r="D534" s="372"/>
      <c r="E534" s="320"/>
      <c r="F534" s="320"/>
      <c r="G534" s="320"/>
      <c r="H534" s="371"/>
      <c r="I534" s="372"/>
      <c r="J534" s="320"/>
      <c r="K534" s="320"/>
      <c r="L534" s="320"/>
      <c r="M534" s="371"/>
      <c r="N534" s="372"/>
      <c r="O534" s="327"/>
      <c r="P534" s="327"/>
      <c r="Q534" s="327"/>
      <c r="R534" s="368"/>
      <c r="S534" s="365"/>
      <c r="T534" s="327"/>
      <c r="U534" s="327"/>
      <c r="V534" s="327"/>
      <c r="W534" s="368"/>
      <c r="X534" s="365"/>
      <c r="Y534" s="327"/>
      <c r="Z534" s="327"/>
      <c r="AA534" s="327"/>
      <c r="AB534" s="368"/>
    </row>
    <row r="535" spans="1:28" ht="14.25" customHeight="1" x14ac:dyDescent="0.2">
      <c r="A535" s="375"/>
      <c r="B535" s="298" t="s">
        <v>1416</v>
      </c>
      <c r="C535" s="371"/>
      <c r="D535" s="372"/>
      <c r="E535" s="320"/>
      <c r="F535" s="320"/>
      <c r="G535" s="320"/>
      <c r="H535" s="371"/>
      <c r="I535" s="372"/>
      <c r="J535" s="320"/>
      <c r="K535" s="320"/>
      <c r="L535" s="320"/>
      <c r="M535" s="371"/>
      <c r="N535" s="372"/>
      <c r="O535" s="327"/>
      <c r="P535" s="327"/>
      <c r="Q535" s="327"/>
      <c r="R535" s="368"/>
      <c r="S535" s="365"/>
      <c r="T535" s="327"/>
      <c r="U535" s="327"/>
      <c r="V535" s="327"/>
      <c r="W535" s="368"/>
      <c r="X535" s="365"/>
      <c r="Y535" s="327"/>
      <c r="Z535" s="327"/>
      <c r="AA535" s="327"/>
      <c r="AB535" s="368"/>
    </row>
    <row r="536" spans="1:28" ht="14.25" customHeight="1" x14ac:dyDescent="0.2">
      <c r="A536" s="375"/>
      <c r="B536" s="117" t="s">
        <v>1417</v>
      </c>
      <c r="C536" s="371"/>
      <c r="D536" s="372"/>
      <c r="E536" s="320"/>
      <c r="F536" s="320"/>
      <c r="G536" s="320"/>
      <c r="H536" s="371"/>
      <c r="I536" s="372"/>
      <c r="J536" s="320"/>
      <c r="K536" s="320"/>
      <c r="L536" s="320"/>
      <c r="M536" s="371"/>
      <c r="N536" s="372"/>
      <c r="O536" s="327"/>
      <c r="P536" s="327"/>
      <c r="Q536" s="327"/>
      <c r="R536" s="368"/>
      <c r="S536" s="365"/>
      <c r="T536" s="327"/>
      <c r="U536" s="327"/>
      <c r="V536" s="327"/>
      <c r="W536" s="368"/>
      <c r="X536" s="365"/>
      <c r="Y536" s="327"/>
      <c r="Z536" s="327"/>
      <c r="AA536" s="327"/>
      <c r="AB536" s="368"/>
    </row>
    <row r="537" spans="1:28" ht="14.25" customHeight="1" x14ac:dyDescent="0.2">
      <c r="A537" s="375"/>
      <c r="B537" s="298" t="s">
        <v>1418</v>
      </c>
      <c r="C537" s="371"/>
      <c r="D537" s="372"/>
      <c r="E537" s="320"/>
      <c r="F537" s="320"/>
      <c r="G537" s="320"/>
      <c r="H537" s="371"/>
      <c r="I537" s="372"/>
      <c r="J537" s="320"/>
      <c r="K537" s="320"/>
      <c r="L537" s="320"/>
      <c r="M537" s="371"/>
      <c r="N537" s="372"/>
      <c r="O537" s="327"/>
      <c r="P537" s="327"/>
      <c r="Q537" s="327"/>
      <c r="R537" s="368"/>
      <c r="S537" s="365"/>
      <c r="T537" s="327"/>
      <c r="U537" s="327"/>
      <c r="V537" s="327"/>
      <c r="W537" s="368"/>
      <c r="X537" s="365"/>
      <c r="Y537" s="327"/>
      <c r="Z537" s="327"/>
      <c r="AA537" s="327"/>
      <c r="AB537" s="368"/>
    </row>
    <row r="538" spans="1:28" ht="14.25" customHeight="1" x14ac:dyDescent="0.2">
      <c r="A538" s="375"/>
      <c r="B538" s="298" t="s">
        <v>1419</v>
      </c>
      <c r="C538" s="371"/>
      <c r="D538" s="372"/>
      <c r="E538" s="320"/>
      <c r="F538" s="320"/>
      <c r="G538" s="320"/>
      <c r="H538" s="371"/>
      <c r="I538" s="372"/>
      <c r="J538" s="320"/>
      <c r="K538" s="320"/>
      <c r="L538" s="320"/>
      <c r="M538" s="371"/>
      <c r="N538" s="372"/>
      <c r="O538" s="327"/>
      <c r="P538" s="327"/>
      <c r="Q538" s="327"/>
      <c r="R538" s="368"/>
      <c r="S538" s="365"/>
      <c r="T538" s="327"/>
      <c r="U538" s="327"/>
      <c r="V538" s="327"/>
      <c r="W538" s="368"/>
      <c r="X538" s="365"/>
      <c r="Y538" s="327"/>
      <c r="Z538" s="327"/>
      <c r="AA538" s="327"/>
      <c r="AB538" s="368"/>
    </row>
    <row r="539" spans="1:28" ht="18" customHeight="1" x14ac:dyDescent="0.2">
      <c r="A539" s="378"/>
      <c r="B539" s="117" t="s">
        <v>585</v>
      </c>
      <c r="C539" s="379"/>
      <c r="D539" s="374"/>
      <c r="E539" s="320"/>
      <c r="F539" s="320"/>
      <c r="G539" s="320"/>
      <c r="H539" s="379"/>
      <c r="I539" s="374"/>
      <c r="J539" s="320"/>
      <c r="K539" s="320"/>
      <c r="L539" s="320"/>
      <c r="M539" s="379"/>
      <c r="N539" s="374"/>
      <c r="O539" s="327"/>
      <c r="P539" s="327"/>
      <c r="Q539" s="327"/>
      <c r="R539" s="369"/>
      <c r="S539" s="366"/>
      <c r="T539" s="327"/>
      <c r="U539" s="327"/>
      <c r="V539" s="327"/>
      <c r="W539" s="369"/>
      <c r="X539" s="366"/>
      <c r="Y539" s="327"/>
      <c r="Z539" s="327"/>
      <c r="AA539" s="327"/>
      <c r="AB539" s="369"/>
    </row>
    <row r="540" spans="1:28" ht="36" customHeight="1" x14ac:dyDescent="0.2">
      <c r="A540" s="376" t="s">
        <v>16</v>
      </c>
      <c r="B540" s="115" t="s">
        <v>148</v>
      </c>
      <c r="C540" s="370">
        <f>D540+E540+F540+G540</f>
        <v>5379</v>
      </c>
      <c r="D540" s="373">
        <v>5379</v>
      </c>
      <c r="E540" s="320">
        <v>0</v>
      </c>
      <c r="F540" s="320">
        <v>0</v>
      </c>
      <c r="G540" s="320">
        <v>0</v>
      </c>
      <c r="H540" s="370">
        <f>I540+J540+K540+L540</f>
        <v>8539</v>
      </c>
      <c r="I540" s="373">
        <f>5209+3483-153</f>
        <v>8539</v>
      </c>
      <c r="J540" s="320">
        <v>0</v>
      </c>
      <c r="K540" s="320">
        <v>0</v>
      </c>
      <c r="L540" s="320">
        <v>0</v>
      </c>
      <c r="M540" s="370">
        <f>N540</f>
        <v>1149</v>
      </c>
      <c r="N540" s="373">
        <f>12265-10932-82-20-82</f>
        <v>1149</v>
      </c>
      <c r="O540" s="327">
        <v>0</v>
      </c>
      <c r="P540" s="327">
        <v>0</v>
      </c>
      <c r="Q540" s="327">
        <v>0</v>
      </c>
      <c r="R540" s="370">
        <f>S540</f>
        <v>0</v>
      </c>
      <c r="S540" s="373">
        <f>12265-12265+18810-8428-6805-3577</f>
        <v>0</v>
      </c>
      <c r="T540" s="320">
        <v>0</v>
      </c>
      <c r="U540" s="320">
        <v>0</v>
      </c>
      <c r="V540" s="320">
        <v>0</v>
      </c>
      <c r="W540" s="370">
        <f>X540</f>
        <v>4698</v>
      </c>
      <c r="X540" s="373">
        <v>4698</v>
      </c>
      <c r="Y540" s="320">
        <v>0</v>
      </c>
      <c r="Z540" s="320">
        <v>0</v>
      </c>
      <c r="AA540" s="320">
        <v>0</v>
      </c>
      <c r="AB540" s="370">
        <f>C540+H540+M540+R540+W540</f>
        <v>19765</v>
      </c>
    </row>
    <row r="541" spans="1:28" ht="18" customHeight="1" x14ac:dyDescent="0.2">
      <c r="A541" s="377"/>
      <c r="B541" s="116" t="s">
        <v>147</v>
      </c>
      <c r="C541" s="371"/>
      <c r="D541" s="372"/>
      <c r="E541" s="320"/>
      <c r="F541" s="320"/>
      <c r="G541" s="320"/>
      <c r="H541" s="371"/>
      <c r="I541" s="372"/>
      <c r="J541" s="320"/>
      <c r="K541" s="320"/>
      <c r="L541" s="320"/>
      <c r="M541" s="371"/>
      <c r="N541" s="372"/>
      <c r="O541" s="327"/>
      <c r="P541" s="327"/>
      <c r="Q541" s="327"/>
      <c r="R541" s="371"/>
      <c r="S541" s="372"/>
      <c r="T541" s="320"/>
      <c r="U541" s="320"/>
      <c r="V541" s="320"/>
      <c r="W541" s="371"/>
      <c r="X541" s="372"/>
      <c r="Y541" s="320"/>
      <c r="Z541" s="320"/>
      <c r="AA541" s="320"/>
      <c r="AB541" s="371"/>
    </row>
    <row r="542" spans="1:28" ht="18" customHeight="1" x14ac:dyDescent="0.2">
      <c r="A542" s="377"/>
      <c r="B542" s="117" t="s">
        <v>149</v>
      </c>
      <c r="C542" s="371"/>
      <c r="D542" s="372"/>
      <c r="E542" s="320"/>
      <c r="F542" s="320"/>
      <c r="G542" s="320"/>
      <c r="H542" s="371"/>
      <c r="I542" s="372"/>
      <c r="J542" s="320"/>
      <c r="K542" s="320"/>
      <c r="L542" s="320"/>
      <c r="M542" s="371"/>
      <c r="N542" s="372"/>
      <c r="O542" s="327"/>
      <c r="P542" s="327"/>
      <c r="Q542" s="327"/>
      <c r="R542" s="371"/>
      <c r="S542" s="372"/>
      <c r="T542" s="320"/>
      <c r="U542" s="320"/>
      <c r="V542" s="320"/>
      <c r="W542" s="371"/>
      <c r="X542" s="372"/>
      <c r="Y542" s="320"/>
      <c r="Z542" s="320"/>
      <c r="AA542" s="320"/>
      <c r="AB542" s="371"/>
    </row>
    <row r="543" spans="1:28" ht="18" customHeight="1" x14ac:dyDescent="0.2">
      <c r="A543" s="377"/>
      <c r="B543" s="117" t="s">
        <v>1015</v>
      </c>
      <c r="C543" s="371"/>
      <c r="D543" s="372"/>
      <c r="E543" s="320"/>
      <c r="F543" s="320"/>
      <c r="G543" s="320"/>
      <c r="H543" s="371"/>
      <c r="I543" s="372"/>
      <c r="J543" s="320"/>
      <c r="K543" s="320"/>
      <c r="L543" s="320"/>
      <c r="M543" s="371"/>
      <c r="N543" s="372"/>
      <c r="O543" s="327"/>
      <c r="P543" s="327"/>
      <c r="Q543" s="327"/>
      <c r="R543" s="371"/>
      <c r="S543" s="372"/>
      <c r="T543" s="320"/>
      <c r="U543" s="320"/>
      <c r="V543" s="320"/>
      <c r="W543" s="371"/>
      <c r="X543" s="372"/>
      <c r="Y543" s="320"/>
      <c r="Z543" s="320"/>
      <c r="AA543" s="320"/>
      <c r="AB543" s="371"/>
    </row>
    <row r="544" spans="1:28" ht="18" customHeight="1" x14ac:dyDescent="0.2">
      <c r="A544" s="377"/>
      <c r="B544" s="116" t="s">
        <v>139</v>
      </c>
      <c r="C544" s="371"/>
      <c r="D544" s="372"/>
      <c r="E544" s="320"/>
      <c r="F544" s="320"/>
      <c r="G544" s="320"/>
      <c r="H544" s="371"/>
      <c r="I544" s="372"/>
      <c r="J544" s="320"/>
      <c r="K544" s="320"/>
      <c r="L544" s="320"/>
      <c r="M544" s="371"/>
      <c r="N544" s="372"/>
      <c r="O544" s="327"/>
      <c r="P544" s="327"/>
      <c r="Q544" s="327"/>
      <c r="R544" s="371"/>
      <c r="S544" s="372"/>
      <c r="T544" s="320"/>
      <c r="U544" s="320"/>
      <c r="V544" s="320"/>
      <c r="W544" s="371"/>
      <c r="X544" s="372"/>
      <c r="Y544" s="320"/>
      <c r="Z544" s="320"/>
      <c r="AA544" s="320"/>
      <c r="AB544" s="371"/>
    </row>
    <row r="545" spans="1:28" ht="18" customHeight="1" x14ac:dyDescent="0.2">
      <c r="A545" s="377"/>
      <c r="B545" s="117" t="s">
        <v>1018</v>
      </c>
      <c r="C545" s="371"/>
      <c r="D545" s="372"/>
      <c r="E545" s="320"/>
      <c r="F545" s="320"/>
      <c r="G545" s="320"/>
      <c r="H545" s="371"/>
      <c r="I545" s="372"/>
      <c r="J545" s="320"/>
      <c r="K545" s="320"/>
      <c r="L545" s="320"/>
      <c r="M545" s="371"/>
      <c r="N545" s="372"/>
      <c r="O545" s="327"/>
      <c r="P545" s="327"/>
      <c r="Q545" s="327"/>
      <c r="R545" s="371"/>
      <c r="S545" s="372"/>
      <c r="T545" s="320"/>
      <c r="U545" s="320"/>
      <c r="V545" s="320"/>
      <c r="W545" s="371"/>
      <c r="X545" s="372"/>
      <c r="Y545" s="320"/>
      <c r="Z545" s="320"/>
      <c r="AA545" s="320"/>
      <c r="AB545" s="371"/>
    </row>
    <row r="546" spans="1:28" ht="18" customHeight="1" x14ac:dyDescent="0.2">
      <c r="A546" s="377"/>
      <c r="B546" s="117" t="s">
        <v>1016</v>
      </c>
      <c r="C546" s="371"/>
      <c r="D546" s="372"/>
      <c r="E546" s="320"/>
      <c r="F546" s="320"/>
      <c r="G546" s="320"/>
      <c r="H546" s="371"/>
      <c r="I546" s="372"/>
      <c r="J546" s="320"/>
      <c r="K546" s="320"/>
      <c r="L546" s="320"/>
      <c r="M546" s="371"/>
      <c r="N546" s="372"/>
      <c r="O546" s="327"/>
      <c r="P546" s="327"/>
      <c r="Q546" s="327"/>
      <c r="R546" s="371"/>
      <c r="S546" s="372"/>
      <c r="T546" s="320"/>
      <c r="U546" s="320"/>
      <c r="V546" s="320"/>
      <c r="W546" s="371"/>
      <c r="X546" s="372"/>
      <c r="Y546" s="320"/>
      <c r="Z546" s="320"/>
      <c r="AA546" s="320"/>
      <c r="AB546" s="371"/>
    </row>
    <row r="547" spans="1:28" ht="18" customHeight="1" x14ac:dyDescent="0.2">
      <c r="A547" s="377"/>
      <c r="B547" s="116" t="s">
        <v>311</v>
      </c>
      <c r="C547" s="371"/>
      <c r="D547" s="372"/>
      <c r="E547" s="320"/>
      <c r="F547" s="320"/>
      <c r="G547" s="320"/>
      <c r="H547" s="371"/>
      <c r="I547" s="372"/>
      <c r="J547" s="320"/>
      <c r="K547" s="320"/>
      <c r="L547" s="320"/>
      <c r="M547" s="371"/>
      <c r="N547" s="372"/>
      <c r="O547" s="327"/>
      <c r="P547" s="327"/>
      <c r="Q547" s="327"/>
      <c r="R547" s="371"/>
      <c r="S547" s="372"/>
      <c r="T547" s="320"/>
      <c r="U547" s="320"/>
      <c r="V547" s="320"/>
      <c r="W547" s="371"/>
      <c r="X547" s="372"/>
      <c r="Y547" s="320"/>
      <c r="Z547" s="320"/>
      <c r="AA547" s="320"/>
      <c r="AB547" s="371"/>
    </row>
    <row r="548" spans="1:28" ht="18" customHeight="1" x14ac:dyDescent="0.2">
      <c r="A548" s="377"/>
      <c r="B548" s="117" t="s">
        <v>1017</v>
      </c>
      <c r="C548" s="371"/>
      <c r="D548" s="372"/>
      <c r="E548" s="320"/>
      <c r="F548" s="320"/>
      <c r="G548" s="320"/>
      <c r="H548" s="371"/>
      <c r="I548" s="372"/>
      <c r="J548" s="320"/>
      <c r="K548" s="320"/>
      <c r="L548" s="320"/>
      <c r="M548" s="371"/>
      <c r="N548" s="372"/>
      <c r="O548" s="327"/>
      <c r="P548" s="327"/>
      <c r="Q548" s="327"/>
      <c r="R548" s="371"/>
      <c r="S548" s="372"/>
      <c r="T548" s="320"/>
      <c r="U548" s="320"/>
      <c r="V548" s="320"/>
      <c r="W548" s="371"/>
      <c r="X548" s="372"/>
      <c r="Y548" s="320"/>
      <c r="Z548" s="320"/>
      <c r="AA548" s="320"/>
      <c r="AB548" s="371"/>
    </row>
    <row r="549" spans="1:28" ht="18" customHeight="1" x14ac:dyDescent="0.2">
      <c r="A549" s="322"/>
      <c r="B549" s="116" t="s">
        <v>397</v>
      </c>
      <c r="C549" s="310"/>
      <c r="D549" s="312"/>
      <c r="E549" s="320"/>
      <c r="F549" s="320"/>
      <c r="G549" s="320"/>
      <c r="H549" s="310"/>
      <c r="I549" s="312"/>
      <c r="J549" s="320"/>
      <c r="K549" s="320"/>
      <c r="L549" s="320"/>
      <c r="M549" s="310"/>
      <c r="N549" s="312"/>
      <c r="O549" s="327"/>
      <c r="P549" s="327"/>
      <c r="Q549" s="327"/>
      <c r="R549" s="310"/>
      <c r="S549" s="312"/>
      <c r="T549" s="320"/>
      <c r="U549" s="320"/>
      <c r="V549" s="320"/>
      <c r="W549" s="310"/>
      <c r="X549" s="312"/>
      <c r="Y549" s="320"/>
      <c r="Z549" s="320"/>
      <c r="AA549" s="320"/>
      <c r="AB549" s="310"/>
    </row>
    <row r="550" spans="1:28" ht="18" customHeight="1" x14ac:dyDescent="0.2">
      <c r="A550" s="322"/>
      <c r="B550" s="117" t="s">
        <v>1420</v>
      </c>
      <c r="C550" s="310"/>
      <c r="D550" s="312"/>
      <c r="E550" s="320"/>
      <c r="F550" s="320"/>
      <c r="G550" s="320"/>
      <c r="H550" s="310"/>
      <c r="I550" s="312"/>
      <c r="J550" s="320"/>
      <c r="K550" s="320"/>
      <c r="L550" s="320"/>
      <c r="M550" s="310"/>
      <c r="N550" s="312"/>
      <c r="O550" s="327"/>
      <c r="P550" s="327"/>
      <c r="Q550" s="327"/>
      <c r="R550" s="310"/>
      <c r="S550" s="312"/>
      <c r="T550" s="320"/>
      <c r="U550" s="320"/>
      <c r="V550" s="320"/>
      <c r="W550" s="310"/>
      <c r="X550" s="312"/>
      <c r="Y550" s="320"/>
      <c r="Z550" s="320"/>
      <c r="AA550" s="320"/>
      <c r="AB550" s="310"/>
    </row>
    <row r="551" spans="1:28" ht="18.75" customHeight="1" x14ac:dyDescent="0.2">
      <c r="A551" s="376" t="s">
        <v>445</v>
      </c>
      <c r="B551" s="115" t="s">
        <v>361</v>
      </c>
      <c r="C551" s="370">
        <v>0</v>
      </c>
      <c r="D551" s="373">
        <v>0</v>
      </c>
      <c r="E551" s="320"/>
      <c r="F551" s="320"/>
      <c r="G551" s="320"/>
      <c r="H551" s="370">
        <f>I551</f>
        <v>65</v>
      </c>
      <c r="I551" s="373">
        <v>65</v>
      </c>
      <c r="J551" s="320"/>
      <c r="K551" s="320"/>
      <c r="L551" s="320"/>
      <c r="M551" s="370">
        <f>N551</f>
        <v>1041</v>
      </c>
      <c r="N551" s="373">
        <f>1076-35</f>
        <v>1041</v>
      </c>
      <c r="O551" s="327"/>
      <c r="P551" s="327"/>
      <c r="Q551" s="327"/>
      <c r="R551" s="370">
        <f>S551</f>
        <v>0</v>
      </c>
      <c r="S551" s="373">
        <f>1752-1752</f>
        <v>0</v>
      </c>
      <c r="T551" s="320"/>
      <c r="U551" s="320"/>
      <c r="V551" s="320"/>
      <c r="W551" s="370">
        <f>X551</f>
        <v>0</v>
      </c>
      <c r="X551" s="373">
        <v>0</v>
      </c>
      <c r="Y551" s="320"/>
      <c r="Z551" s="320"/>
      <c r="AA551" s="320"/>
      <c r="AB551" s="370">
        <f>C551+H551+M551+R551+W551</f>
        <v>1106</v>
      </c>
    </row>
    <row r="552" spans="1:28" ht="18" customHeight="1" x14ac:dyDescent="0.2">
      <c r="A552" s="377"/>
      <c r="B552" s="116" t="s">
        <v>311</v>
      </c>
      <c r="C552" s="371"/>
      <c r="D552" s="372"/>
      <c r="E552" s="320"/>
      <c r="F552" s="320"/>
      <c r="G552" s="320"/>
      <c r="H552" s="371"/>
      <c r="I552" s="372"/>
      <c r="J552" s="320"/>
      <c r="K552" s="320"/>
      <c r="L552" s="320"/>
      <c r="M552" s="371"/>
      <c r="N552" s="372"/>
      <c r="O552" s="327"/>
      <c r="P552" s="327"/>
      <c r="Q552" s="327"/>
      <c r="R552" s="371"/>
      <c r="S552" s="372"/>
      <c r="T552" s="320"/>
      <c r="U552" s="320"/>
      <c r="V552" s="320"/>
      <c r="W552" s="371"/>
      <c r="X552" s="372"/>
      <c r="Y552" s="320"/>
      <c r="Z552" s="320"/>
      <c r="AA552" s="320"/>
      <c r="AB552" s="371"/>
    </row>
    <row r="553" spans="1:28" ht="18" customHeight="1" x14ac:dyDescent="0.2">
      <c r="A553" s="377"/>
      <c r="B553" s="117" t="s">
        <v>513</v>
      </c>
      <c r="C553" s="371"/>
      <c r="D553" s="372"/>
      <c r="E553" s="320"/>
      <c r="F553" s="320"/>
      <c r="G553" s="320"/>
      <c r="H553" s="371"/>
      <c r="I553" s="372"/>
      <c r="J553" s="320"/>
      <c r="K553" s="320"/>
      <c r="L553" s="320"/>
      <c r="M553" s="371"/>
      <c r="N553" s="372"/>
      <c r="O553" s="327"/>
      <c r="P553" s="327"/>
      <c r="Q553" s="327"/>
      <c r="R553" s="371"/>
      <c r="S553" s="372"/>
      <c r="T553" s="320"/>
      <c r="U553" s="320"/>
      <c r="V553" s="320"/>
      <c r="W553" s="371"/>
      <c r="X553" s="372"/>
      <c r="Y553" s="320"/>
      <c r="Z553" s="320"/>
      <c r="AA553" s="320"/>
      <c r="AB553" s="371"/>
    </row>
    <row r="554" spans="1:28" ht="13.5" customHeight="1" x14ac:dyDescent="0.2">
      <c r="A554" s="376" t="s">
        <v>446</v>
      </c>
      <c r="B554" s="115" t="s">
        <v>150</v>
      </c>
      <c r="C554" s="370">
        <f>D554+E554+F554+G554</f>
        <v>3478</v>
      </c>
      <c r="D554" s="373">
        <v>3478</v>
      </c>
      <c r="E554" s="320">
        <v>0</v>
      </c>
      <c r="F554" s="320">
        <v>0</v>
      </c>
      <c r="G554" s="320">
        <v>0</v>
      </c>
      <c r="H554" s="370">
        <f>I554+J554+K554+L554</f>
        <v>797</v>
      </c>
      <c r="I554" s="373">
        <f>4667-3870</f>
        <v>797</v>
      </c>
      <c r="J554" s="320">
        <v>0</v>
      </c>
      <c r="K554" s="320">
        <v>0</v>
      </c>
      <c r="L554" s="320">
        <v>0</v>
      </c>
      <c r="M554" s="370">
        <f>N554</f>
        <v>2723</v>
      </c>
      <c r="N554" s="373">
        <f>0+2619+104</f>
        <v>2723</v>
      </c>
      <c r="O554" s="327">
        <v>0</v>
      </c>
      <c r="P554" s="327">
        <v>0</v>
      </c>
      <c r="Q554" s="327">
        <v>0</v>
      </c>
      <c r="R554" s="370">
        <f>S554</f>
        <v>0</v>
      </c>
      <c r="S554" s="373">
        <v>0</v>
      </c>
      <c r="T554" s="320">
        <v>0</v>
      </c>
      <c r="U554" s="320">
        <v>0</v>
      </c>
      <c r="V554" s="320">
        <v>0</v>
      </c>
      <c r="W554" s="373">
        <v>0</v>
      </c>
      <c r="X554" s="373">
        <v>0</v>
      </c>
      <c r="Y554" s="320">
        <v>0</v>
      </c>
      <c r="Z554" s="320">
        <v>0</v>
      </c>
      <c r="AA554" s="320">
        <v>0</v>
      </c>
      <c r="AB554" s="370">
        <f>C554+H554+M554+R554+W554</f>
        <v>6998</v>
      </c>
    </row>
    <row r="555" spans="1:28" ht="15.75" customHeight="1" x14ac:dyDescent="0.2">
      <c r="A555" s="377"/>
      <c r="B555" s="116" t="s">
        <v>147</v>
      </c>
      <c r="C555" s="371"/>
      <c r="D555" s="372"/>
      <c r="E555" s="320"/>
      <c r="F555" s="320"/>
      <c r="G555" s="320"/>
      <c r="H555" s="371"/>
      <c r="I555" s="372"/>
      <c r="J555" s="320"/>
      <c r="K555" s="320"/>
      <c r="L555" s="320"/>
      <c r="M555" s="371"/>
      <c r="N555" s="372"/>
      <c r="O555" s="327"/>
      <c r="P555" s="327"/>
      <c r="Q555" s="327"/>
      <c r="R555" s="371"/>
      <c r="S555" s="372"/>
      <c r="T555" s="320"/>
      <c r="U555" s="320"/>
      <c r="V555" s="320"/>
      <c r="W555" s="372"/>
      <c r="X555" s="372"/>
      <c r="Y555" s="320"/>
      <c r="Z555" s="320"/>
      <c r="AA555" s="320"/>
      <c r="AB555" s="371"/>
    </row>
    <row r="556" spans="1:28" ht="15" customHeight="1" x14ac:dyDescent="0.2">
      <c r="A556" s="377"/>
      <c r="B556" s="117" t="s">
        <v>1019</v>
      </c>
      <c r="C556" s="371"/>
      <c r="D556" s="372"/>
      <c r="E556" s="320"/>
      <c r="F556" s="320"/>
      <c r="G556" s="320"/>
      <c r="H556" s="371"/>
      <c r="I556" s="372"/>
      <c r="J556" s="320"/>
      <c r="K556" s="320"/>
      <c r="L556" s="320"/>
      <c r="M556" s="371"/>
      <c r="N556" s="372"/>
      <c r="O556" s="327"/>
      <c r="P556" s="327"/>
      <c r="Q556" s="327"/>
      <c r="R556" s="371"/>
      <c r="S556" s="372"/>
      <c r="T556" s="320"/>
      <c r="U556" s="320"/>
      <c r="V556" s="320"/>
      <c r="W556" s="372"/>
      <c r="X556" s="372"/>
      <c r="Y556" s="320"/>
      <c r="Z556" s="320"/>
      <c r="AA556" s="320"/>
      <c r="AB556" s="371"/>
    </row>
    <row r="557" spans="1:28" ht="15.75" customHeight="1" x14ac:dyDescent="0.2">
      <c r="A557" s="377"/>
      <c r="B557" s="116" t="s">
        <v>139</v>
      </c>
      <c r="C557" s="371"/>
      <c r="D557" s="372"/>
      <c r="E557" s="312"/>
      <c r="F557" s="312"/>
      <c r="G557" s="312"/>
      <c r="H557" s="371"/>
      <c r="I557" s="372"/>
      <c r="J557" s="312"/>
      <c r="K557" s="312"/>
      <c r="L557" s="312"/>
      <c r="M557" s="371"/>
      <c r="N557" s="372"/>
      <c r="O557" s="314"/>
      <c r="P557" s="314"/>
      <c r="Q557" s="314"/>
      <c r="R557" s="371"/>
      <c r="S557" s="372"/>
      <c r="T557" s="312"/>
      <c r="U557" s="312"/>
      <c r="V557" s="312"/>
      <c r="W557" s="372"/>
      <c r="X557" s="372"/>
      <c r="Y557" s="312"/>
      <c r="Z557" s="312"/>
      <c r="AA557" s="312"/>
      <c r="AB557" s="371"/>
    </row>
    <row r="558" spans="1:28" ht="13.5" customHeight="1" x14ac:dyDescent="0.2">
      <c r="A558" s="377"/>
      <c r="B558" s="117" t="s">
        <v>1020</v>
      </c>
      <c r="C558" s="371"/>
      <c r="D558" s="372"/>
      <c r="E558" s="311"/>
      <c r="F558" s="311"/>
      <c r="G558" s="311"/>
      <c r="H558" s="371"/>
      <c r="I558" s="372"/>
      <c r="J558" s="311"/>
      <c r="K558" s="311"/>
      <c r="L558" s="311"/>
      <c r="M558" s="371"/>
      <c r="N558" s="372"/>
      <c r="O558" s="328"/>
      <c r="P558" s="328"/>
      <c r="Q558" s="328"/>
      <c r="R558" s="371"/>
      <c r="S558" s="372"/>
      <c r="T558" s="311"/>
      <c r="U558" s="311"/>
      <c r="V558" s="311"/>
      <c r="W558" s="372"/>
      <c r="X558" s="372"/>
      <c r="Y558" s="311"/>
      <c r="Z558" s="311"/>
      <c r="AA558" s="311"/>
      <c r="AB558" s="371"/>
    </row>
    <row r="559" spans="1:28" ht="18" customHeight="1" x14ac:dyDescent="0.2">
      <c r="A559" s="377"/>
      <c r="B559" s="117" t="s">
        <v>1021</v>
      </c>
      <c r="C559" s="371"/>
      <c r="D559" s="372"/>
      <c r="E559" s="320"/>
      <c r="F559" s="320"/>
      <c r="G559" s="320"/>
      <c r="H559" s="371"/>
      <c r="I559" s="372"/>
      <c r="J559" s="320"/>
      <c r="K559" s="320"/>
      <c r="L559" s="320"/>
      <c r="M559" s="371"/>
      <c r="N559" s="372"/>
      <c r="O559" s="327"/>
      <c r="P559" s="327"/>
      <c r="Q559" s="327"/>
      <c r="R559" s="371"/>
      <c r="S559" s="372"/>
      <c r="T559" s="320"/>
      <c r="U559" s="320"/>
      <c r="V559" s="320"/>
      <c r="W559" s="372"/>
      <c r="X559" s="372"/>
      <c r="Y559" s="320"/>
      <c r="Z559" s="320"/>
      <c r="AA559" s="320"/>
      <c r="AB559" s="371"/>
    </row>
    <row r="560" spans="1:28" ht="18" customHeight="1" x14ac:dyDescent="0.2">
      <c r="A560" s="383"/>
      <c r="B560" s="116" t="s">
        <v>311</v>
      </c>
      <c r="C560" s="371"/>
      <c r="D560" s="372"/>
      <c r="E560" s="320"/>
      <c r="F560" s="320"/>
      <c r="G560" s="320"/>
      <c r="H560" s="371"/>
      <c r="I560" s="372"/>
      <c r="J560" s="320"/>
      <c r="K560" s="320"/>
      <c r="L560" s="320"/>
      <c r="M560" s="371"/>
      <c r="N560" s="372"/>
      <c r="O560" s="327"/>
      <c r="P560" s="327"/>
      <c r="Q560" s="327"/>
      <c r="R560" s="371"/>
      <c r="S560" s="372"/>
      <c r="T560" s="320"/>
      <c r="U560" s="320"/>
      <c r="V560" s="320"/>
      <c r="W560" s="372"/>
      <c r="X560" s="372"/>
      <c r="Y560" s="320"/>
      <c r="Z560" s="320"/>
      <c r="AA560" s="320"/>
      <c r="AB560" s="371"/>
    </row>
    <row r="561" spans="1:28" ht="18" customHeight="1" x14ac:dyDescent="0.2">
      <c r="A561" s="384"/>
      <c r="B561" s="151" t="s">
        <v>555</v>
      </c>
      <c r="C561" s="379"/>
      <c r="D561" s="374"/>
      <c r="E561" s="320"/>
      <c r="F561" s="320"/>
      <c r="G561" s="320"/>
      <c r="H561" s="379"/>
      <c r="I561" s="374"/>
      <c r="J561" s="320"/>
      <c r="K561" s="320"/>
      <c r="L561" s="320"/>
      <c r="M561" s="379"/>
      <c r="N561" s="374"/>
      <c r="O561" s="327"/>
      <c r="P561" s="327"/>
      <c r="Q561" s="327"/>
      <c r="R561" s="379"/>
      <c r="S561" s="374"/>
      <c r="T561" s="320"/>
      <c r="U561" s="320"/>
      <c r="V561" s="320"/>
      <c r="W561" s="374"/>
      <c r="X561" s="374"/>
      <c r="Y561" s="320"/>
      <c r="Z561" s="320"/>
      <c r="AA561" s="320"/>
      <c r="AB561" s="379"/>
    </row>
    <row r="562" spans="1:28" ht="18" customHeight="1" x14ac:dyDescent="0.2">
      <c r="A562" s="309" t="s">
        <v>447</v>
      </c>
      <c r="B562" s="127" t="s">
        <v>215</v>
      </c>
      <c r="C562" s="317">
        <f>SUM(D562:G562)</f>
        <v>1700</v>
      </c>
      <c r="D562" s="320">
        <v>1700</v>
      </c>
      <c r="E562" s="320"/>
      <c r="F562" s="320"/>
      <c r="G562" s="320"/>
      <c r="H562" s="317">
        <f>I562</f>
        <v>2742</v>
      </c>
      <c r="I562" s="320">
        <f>2000+147+411+184</f>
        <v>2742</v>
      </c>
      <c r="J562" s="320"/>
      <c r="K562" s="320"/>
      <c r="L562" s="320"/>
      <c r="M562" s="317">
        <f>N562</f>
        <v>2996</v>
      </c>
      <c r="N562" s="320">
        <f>2000+996</f>
        <v>2996</v>
      </c>
      <c r="O562" s="327"/>
      <c r="P562" s="327"/>
      <c r="Q562" s="327"/>
      <c r="R562" s="326">
        <f>S562</f>
        <v>5529</v>
      </c>
      <c r="S562" s="327">
        <f>2000+3529+1838-1838</f>
        <v>5529</v>
      </c>
      <c r="T562" s="327"/>
      <c r="U562" s="327"/>
      <c r="V562" s="327"/>
      <c r="W562" s="326">
        <f>X562</f>
        <v>0</v>
      </c>
      <c r="X562" s="327">
        <f>4500+1029+2742-8271</f>
        <v>0</v>
      </c>
      <c r="Y562" s="327"/>
      <c r="Z562" s="327"/>
      <c r="AA562" s="327"/>
      <c r="AB562" s="326">
        <f>R562+W562+C562+H562+M562</f>
        <v>12967</v>
      </c>
    </row>
    <row r="563" spans="1:28" ht="18" customHeight="1" x14ac:dyDescent="0.2">
      <c r="A563" s="309" t="s">
        <v>448</v>
      </c>
      <c r="B563" s="127" t="s">
        <v>1364</v>
      </c>
      <c r="C563" s="317">
        <f>SUM(D563:G563)</f>
        <v>0</v>
      </c>
      <c r="D563" s="320">
        <v>0</v>
      </c>
      <c r="E563" s="320">
        <v>0</v>
      </c>
      <c r="F563" s="320">
        <v>0</v>
      </c>
      <c r="G563" s="320">
        <v>0</v>
      </c>
      <c r="H563" s="317">
        <f>SUM(I563:L563)</f>
        <v>0</v>
      </c>
      <c r="I563" s="320">
        <v>0</v>
      </c>
      <c r="J563" s="320">
        <v>0</v>
      </c>
      <c r="K563" s="320">
        <v>0</v>
      </c>
      <c r="L563" s="320">
        <v>0</v>
      </c>
      <c r="M563" s="317">
        <f>SUM(N563:Q563)</f>
        <v>0</v>
      </c>
      <c r="N563" s="320">
        <v>0</v>
      </c>
      <c r="O563" s="327">
        <v>0</v>
      </c>
      <c r="P563" s="327">
        <v>0</v>
      </c>
      <c r="Q563" s="327">
        <v>0</v>
      </c>
      <c r="R563" s="326">
        <f>SUM(S563:V563)</f>
        <v>6896</v>
      </c>
      <c r="S563" s="327">
        <f>7370-474</f>
        <v>6896</v>
      </c>
      <c r="T563" s="327">
        <v>0</v>
      </c>
      <c r="U563" s="327">
        <v>0</v>
      </c>
      <c r="V563" s="327">
        <v>0</v>
      </c>
      <c r="W563" s="326">
        <f>SUM(X563:AA563)</f>
        <v>0</v>
      </c>
      <c r="X563" s="327">
        <v>0</v>
      </c>
      <c r="Y563" s="327">
        <v>0</v>
      </c>
      <c r="Z563" s="327">
        <v>0</v>
      </c>
      <c r="AA563" s="327">
        <v>0</v>
      </c>
      <c r="AB563" s="326">
        <f>C563+H563+M563+R563+W563</f>
        <v>6896</v>
      </c>
    </row>
    <row r="564" spans="1:28" ht="18" customHeight="1" x14ac:dyDescent="0.2">
      <c r="A564" s="309" t="s">
        <v>449</v>
      </c>
      <c r="B564" s="127" t="s">
        <v>49</v>
      </c>
      <c r="C564" s="317">
        <f>SUM(D564:G564)</f>
        <v>3594</v>
      </c>
      <c r="D564" s="320">
        <v>3594</v>
      </c>
      <c r="E564" s="320">
        <v>0</v>
      </c>
      <c r="F564" s="320">
        <v>0</v>
      </c>
      <c r="G564" s="320">
        <v>0</v>
      </c>
      <c r="H564" s="317">
        <f>SUM(I564:L564)</f>
        <v>3788</v>
      </c>
      <c r="I564" s="320">
        <f>4176-388</f>
        <v>3788</v>
      </c>
      <c r="J564" s="320">
        <v>0</v>
      </c>
      <c r="K564" s="320">
        <v>0</v>
      </c>
      <c r="L564" s="320">
        <v>0</v>
      </c>
      <c r="M564" s="317">
        <f>SUM(N564:Q564)</f>
        <v>5988</v>
      </c>
      <c r="N564" s="320">
        <f>4575-399+1812</f>
        <v>5988</v>
      </c>
      <c r="O564" s="327">
        <v>0</v>
      </c>
      <c r="P564" s="327">
        <v>0</v>
      </c>
      <c r="Q564" s="327">
        <v>0</v>
      </c>
      <c r="R564" s="326">
        <f>SUM(S564:V564)</f>
        <v>4666</v>
      </c>
      <c r="S564" s="327">
        <f>4342+1005-1608-95-536-617+2175</f>
        <v>4666</v>
      </c>
      <c r="T564" s="327">
        <v>0</v>
      </c>
      <c r="U564" s="327">
        <v>0</v>
      </c>
      <c r="V564" s="327">
        <v>0</v>
      </c>
      <c r="W564" s="326">
        <f>SUM(X564:AA564)</f>
        <v>5812</v>
      </c>
      <c r="X564" s="327">
        <f>4176+166-1768+2935+303</f>
        <v>5812</v>
      </c>
      <c r="Y564" s="327">
        <v>0</v>
      </c>
      <c r="Z564" s="327">
        <v>0</v>
      </c>
      <c r="AA564" s="327">
        <v>0</v>
      </c>
      <c r="AB564" s="326">
        <f>C564+H564+M564+R564+W564</f>
        <v>23848</v>
      </c>
    </row>
    <row r="565" spans="1:28" ht="18" customHeight="1" x14ac:dyDescent="0.2">
      <c r="A565" s="395" t="s">
        <v>450</v>
      </c>
      <c r="B565" s="117" t="s">
        <v>421</v>
      </c>
      <c r="C565" s="385">
        <f>SUM(D565:G565)</f>
        <v>0</v>
      </c>
      <c r="D565" s="373">
        <v>0</v>
      </c>
      <c r="E565" s="320">
        <v>0</v>
      </c>
      <c r="F565" s="320">
        <v>0</v>
      </c>
      <c r="G565" s="320">
        <v>0</v>
      </c>
      <c r="H565" s="370">
        <f>SUM(I565:L565)</f>
        <v>716</v>
      </c>
      <c r="I565" s="373">
        <f>1557-841</f>
        <v>716</v>
      </c>
      <c r="J565" s="320">
        <v>0</v>
      </c>
      <c r="K565" s="320">
        <v>0</v>
      </c>
      <c r="L565" s="320">
        <v>0</v>
      </c>
      <c r="M565" s="370">
        <f>SUM(N565:Q565)</f>
        <v>1049</v>
      </c>
      <c r="N565" s="373">
        <f>117+684-117-486+518+687+161+23+130-668</f>
        <v>1049</v>
      </c>
      <c r="O565" s="327">
        <v>0</v>
      </c>
      <c r="P565" s="327">
        <v>0</v>
      </c>
      <c r="Q565" s="327">
        <v>0</v>
      </c>
      <c r="R565" s="370">
        <f>SUM(S565:V565)</f>
        <v>5020</v>
      </c>
      <c r="S565" s="373">
        <f>716-113+4656-408+221-52</f>
        <v>5020</v>
      </c>
      <c r="T565" s="320">
        <v>0</v>
      </c>
      <c r="U565" s="320">
        <v>0</v>
      </c>
      <c r="V565" s="320">
        <v>0</v>
      </c>
      <c r="W565" s="370">
        <f>SUM(X565:AA565)</f>
        <v>1785</v>
      </c>
      <c r="X565" s="373">
        <v>1785</v>
      </c>
      <c r="Y565" s="320">
        <v>0</v>
      </c>
      <c r="Z565" s="320">
        <v>0</v>
      </c>
      <c r="AA565" s="320">
        <v>0</v>
      </c>
      <c r="AB565" s="370">
        <f>C565+H565+M565+R565+W565</f>
        <v>8570</v>
      </c>
    </row>
    <row r="566" spans="1:28" ht="18" customHeight="1" x14ac:dyDescent="0.2">
      <c r="A566" s="377"/>
      <c r="B566" s="116" t="s">
        <v>139</v>
      </c>
      <c r="C566" s="371"/>
      <c r="D566" s="372"/>
      <c r="E566" s="320"/>
      <c r="F566" s="320"/>
      <c r="G566" s="320"/>
      <c r="H566" s="371"/>
      <c r="I566" s="372"/>
      <c r="J566" s="320"/>
      <c r="K566" s="320"/>
      <c r="L566" s="320"/>
      <c r="M566" s="371"/>
      <c r="N566" s="372"/>
      <c r="O566" s="327"/>
      <c r="P566" s="327"/>
      <c r="Q566" s="327"/>
      <c r="R566" s="371"/>
      <c r="S566" s="372"/>
      <c r="T566" s="320"/>
      <c r="U566" s="320"/>
      <c r="V566" s="320"/>
      <c r="W566" s="371"/>
      <c r="X566" s="372"/>
      <c r="Y566" s="320"/>
      <c r="Z566" s="320"/>
      <c r="AA566" s="320"/>
      <c r="AB566" s="371"/>
    </row>
    <row r="567" spans="1:28" ht="18" customHeight="1" x14ac:dyDescent="0.2">
      <c r="A567" s="377"/>
      <c r="B567" s="117" t="s">
        <v>1022</v>
      </c>
      <c r="C567" s="371"/>
      <c r="D567" s="372"/>
      <c r="E567" s="320"/>
      <c r="F567" s="320"/>
      <c r="G567" s="320"/>
      <c r="H567" s="371"/>
      <c r="I567" s="372"/>
      <c r="J567" s="320"/>
      <c r="K567" s="320"/>
      <c r="L567" s="320"/>
      <c r="M567" s="371"/>
      <c r="N567" s="372"/>
      <c r="O567" s="327"/>
      <c r="P567" s="327"/>
      <c r="Q567" s="327"/>
      <c r="R567" s="371"/>
      <c r="S567" s="372"/>
      <c r="T567" s="320"/>
      <c r="U567" s="320"/>
      <c r="V567" s="320"/>
      <c r="W567" s="371"/>
      <c r="X567" s="372"/>
      <c r="Y567" s="320"/>
      <c r="Z567" s="320"/>
      <c r="AA567" s="320"/>
      <c r="AB567" s="371"/>
    </row>
    <row r="568" spans="1:28" ht="18" customHeight="1" x14ac:dyDescent="0.2">
      <c r="A568" s="377"/>
      <c r="B568" s="117" t="s">
        <v>1023</v>
      </c>
      <c r="C568" s="371"/>
      <c r="D568" s="372"/>
      <c r="E568" s="320"/>
      <c r="F568" s="320"/>
      <c r="G568" s="320"/>
      <c r="H568" s="371"/>
      <c r="I568" s="372"/>
      <c r="J568" s="320"/>
      <c r="K568" s="320"/>
      <c r="L568" s="320"/>
      <c r="M568" s="371"/>
      <c r="N568" s="372"/>
      <c r="O568" s="327"/>
      <c r="P568" s="327"/>
      <c r="Q568" s="327"/>
      <c r="R568" s="371"/>
      <c r="S568" s="372"/>
      <c r="T568" s="320"/>
      <c r="U568" s="320"/>
      <c r="V568" s="320"/>
      <c r="W568" s="371"/>
      <c r="X568" s="372"/>
      <c r="Y568" s="320"/>
      <c r="Z568" s="320"/>
      <c r="AA568" s="320"/>
      <c r="AB568" s="371"/>
    </row>
    <row r="569" spans="1:28" ht="18" customHeight="1" x14ac:dyDescent="0.2">
      <c r="A569" s="377"/>
      <c r="B569" s="117" t="s">
        <v>1024</v>
      </c>
      <c r="C569" s="371"/>
      <c r="D569" s="372"/>
      <c r="E569" s="320"/>
      <c r="F569" s="320"/>
      <c r="G569" s="320"/>
      <c r="H569" s="371"/>
      <c r="I569" s="372"/>
      <c r="J569" s="320"/>
      <c r="K569" s="320"/>
      <c r="L569" s="320"/>
      <c r="M569" s="371"/>
      <c r="N569" s="372"/>
      <c r="O569" s="327"/>
      <c r="P569" s="327"/>
      <c r="Q569" s="327"/>
      <c r="R569" s="371"/>
      <c r="S569" s="372"/>
      <c r="T569" s="320"/>
      <c r="U569" s="320"/>
      <c r="V569" s="320"/>
      <c r="W569" s="371"/>
      <c r="X569" s="372"/>
      <c r="Y569" s="320"/>
      <c r="Z569" s="320"/>
      <c r="AA569" s="320"/>
      <c r="AB569" s="371"/>
    </row>
    <row r="570" spans="1:28" ht="18" customHeight="1" x14ac:dyDescent="0.2">
      <c r="A570" s="377"/>
      <c r="B570" s="117" t="s">
        <v>1025</v>
      </c>
      <c r="C570" s="371"/>
      <c r="D570" s="372"/>
      <c r="E570" s="320"/>
      <c r="F570" s="320"/>
      <c r="G570" s="320"/>
      <c r="H570" s="371"/>
      <c r="I570" s="372"/>
      <c r="J570" s="320"/>
      <c r="K570" s="320"/>
      <c r="L570" s="320"/>
      <c r="M570" s="371"/>
      <c r="N570" s="372"/>
      <c r="O570" s="327"/>
      <c r="P570" s="327"/>
      <c r="Q570" s="327"/>
      <c r="R570" s="371"/>
      <c r="S570" s="372"/>
      <c r="T570" s="320"/>
      <c r="U570" s="320"/>
      <c r="V570" s="320"/>
      <c r="W570" s="371"/>
      <c r="X570" s="372"/>
      <c r="Y570" s="320"/>
      <c r="Z570" s="320"/>
      <c r="AA570" s="320"/>
      <c r="AB570" s="371"/>
    </row>
    <row r="571" spans="1:28" ht="18" customHeight="1" x14ac:dyDescent="0.2">
      <c r="A571" s="377"/>
      <c r="B571" s="116" t="s">
        <v>311</v>
      </c>
      <c r="C571" s="371"/>
      <c r="D571" s="372"/>
      <c r="E571" s="320"/>
      <c r="F571" s="320"/>
      <c r="G571" s="320"/>
      <c r="H571" s="371"/>
      <c r="I571" s="372"/>
      <c r="J571" s="320"/>
      <c r="K571" s="320"/>
      <c r="L571" s="320"/>
      <c r="M571" s="371"/>
      <c r="N571" s="372"/>
      <c r="O571" s="327"/>
      <c r="P571" s="327"/>
      <c r="Q571" s="327"/>
      <c r="R571" s="371"/>
      <c r="S571" s="372"/>
      <c r="T571" s="320"/>
      <c r="U571" s="320"/>
      <c r="V571" s="320"/>
      <c r="W571" s="371"/>
      <c r="X571" s="372"/>
      <c r="Y571" s="320"/>
      <c r="Z571" s="320"/>
      <c r="AA571" s="320"/>
      <c r="AB571" s="371"/>
    </row>
    <row r="572" spans="1:28" ht="32.25" customHeight="1" x14ac:dyDescent="0.2">
      <c r="A572" s="377"/>
      <c r="B572" s="117" t="s">
        <v>1026</v>
      </c>
      <c r="C572" s="371"/>
      <c r="D572" s="372"/>
      <c r="E572" s="320"/>
      <c r="F572" s="320"/>
      <c r="G572" s="320"/>
      <c r="H572" s="371"/>
      <c r="I572" s="372"/>
      <c r="J572" s="320"/>
      <c r="K572" s="320"/>
      <c r="L572" s="320"/>
      <c r="M572" s="371"/>
      <c r="N572" s="372"/>
      <c r="O572" s="327"/>
      <c r="P572" s="327"/>
      <c r="Q572" s="327"/>
      <c r="R572" s="371"/>
      <c r="S572" s="372"/>
      <c r="T572" s="320"/>
      <c r="U572" s="320"/>
      <c r="V572" s="320"/>
      <c r="W572" s="371"/>
      <c r="X572" s="372"/>
      <c r="Y572" s="320"/>
      <c r="Z572" s="320"/>
      <c r="AA572" s="320"/>
      <c r="AB572" s="371"/>
    </row>
    <row r="573" spans="1:28" ht="33.75" customHeight="1" x14ac:dyDescent="0.2">
      <c r="A573" s="377"/>
      <c r="B573" s="117" t="s">
        <v>1027</v>
      </c>
      <c r="C573" s="371"/>
      <c r="D573" s="372"/>
      <c r="E573" s="320"/>
      <c r="F573" s="320"/>
      <c r="G573" s="320"/>
      <c r="H573" s="371"/>
      <c r="I573" s="372"/>
      <c r="J573" s="320"/>
      <c r="K573" s="320"/>
      <c r="L573" s="320"/>
      <c r="M573" s="371"/>
      <c r="N573" s="372"/>
      <c r="O573" s="327"/>
      <c r="P573" s="327"/>
      <c r="Q573" s="327"/>
      <c r="R573" s="371"/>
      <c r="S573" s="372"/>
      <c r="T573" s="320"/>
      <c r="U573" s="320"/>
      <c r="V573" s="320"/>
      <c r="W573" s="371"/>
      <c r="X573" s="372"/>
      <c r="Y573" s="320"/>
      <c r="Z573" s="320"/>
      <c r="AA573" s="320"/>
      <c r="AB573" s="371"/>
    </row>
    <row r="574" spans="1:28" ht="33.75" customHeight="1" x14ac:dyDescent="0.2">
      <c r="A574" s="377"/>
      <c r="B574" s="117" t="s">
        <v>1028</v>
      </c>
      <c r="C574" s="371"/>
      <c r="D574" s="372"/>
      <c r="E574" s="320"/>
      <c r="F574" s="320"/>
      <c r="G574" s="320"/>
      <c r="H574" s="371"/>
      <c r="I574" s="372"/>
      <c r="J574" s="320"/>
      <c r="K574" s="320"/>
      <c r="L574" s="320"/>
      <c r="M574" s="371"/>
      <c r="N574" s="372"/>
      <c r="O574" s="327"/>
      <c r="P574" s="327"/>
      <c r="Q574" s="327"/>
      <c r="R574" s="371"/>
      <c r="S574" s="372"/>
      <c r="T574" s="320"/>
      <c r="U574" s="320"/>
      <c r="V574" s="320"/>
      <c r="W574" s="371"/>
      <c r="X574" s="372"/>
      <c r="Y574" s="320"/>
      <c r="Z574" s="320"/>
      <c r="AA574" s="320"/>
      <c r="AB574" s="371"/>
    </row>
    <row r="575" spans="1:28" ht="18" customHeight="1" x14ac:dyDescent="0.2">
      <c r="A575" s="377"/>
      <c r="B575" s="116" t="s">
        <v>360</v>
      </c>
      <c r="C575" s="371"/>
      <c r="D575" s="372"/>
      <c r="E575" s="320"/>
      <c r="F575" s="320"/>
      <c r="G575" s="320"/>
      <c r="H575" s="371"/>
      <c r="I575" s="372"/>
      <c r="J575" s="320"/>
      <c r="K575" s="320"/>
      <c r="L575" s="320"/>
      <c r="M575" s="371"/>
      <c r="N575" s="372"/>
      <c r="O575" s="327"/>
      <c r="P575" s="327"/>
      <c r="Q575" s="327"/>
      <c r="R575" s="371"/>
      <c r="S575" s="372"/>
      <c r="T575" s="320"/>
      <c r="U575" s="320"/>
      <c r="V575" s="320"/>
      <c r="W575" s="371"/>
      <c r="X575" s="372"/>
      <c r="Y575" s="320"/>
      <c r="Z575" s="320"/>
      <c r="AA575" s="320"/>
      <c r="AB575" s="371"/>
    </row>
    <row r="576" spans="1:28" ht="18" customHeight="1" x14ac:dyDescent="0.2">
      <c r="A576" s="377"/>
      <c r="B576" s="117" t="s">
        <v>1029</v>
      </c>
      <c r="C576" s="371"/>
      <c r="D576" s="372"/>
      <c r="E576" s="311"/>
      <c r="F576" s="311"/>
      <c r="G576" s="311"/>
      <c r="H576" s="371"/>
      <c r="I576" s="372"/>
      <c r="J576" s="311"/>
      <c r="K576" s="311"/>
      <c r="L576" s="311"/>
      <c r="M576" s="371"/>
      <c r="N576" s="372"/>
      <c r="O576" s="328"/>
      <c r="P576" s="328"/>
      <c r="Q576" s="328"/>
      <c r="R576" s="371"/>
      <c r="S576" s="372"/>
      <c r="T576" s="311"/>
      <c r="U576" s="311"/>
      <c r="V576" s="311"/>
      <c r="W576" s="371"/>
      <c r="X576" s="372"/>
      <c r="Y576" s="311"/>
      <c r="Z576" s="311"/>
      <c r="AA576" s="311"/>
      <c r="AB576" s="371"/>
    </row>
    <row r="577" spans="1:28" ht="18" customHeight="1" x14ac:dyDescent="0.2">
      <c r="A577" s="377"/>
      <c r="B577" s="117" t="s">
        <v>1030</v>
      </c>
      <c r="C577" s="371"/>
      <c r="D577" s="372"/>
      <c r="E577" s="311"/>
      <c r="F577" s="311"/>
      <c r="G577" s="311"/>
      <c r="H577" s="371"/>
      <c r="I577" s="372"/>
      <c r="J577" s="311"/>
      <c r="K577" s="311"/>
      <c r="L577" s="311"/>
      <c r="M577" s="371"/>
      <c r="N577" s="372"/>
      <c r="O577" s="328"/>
      <c r="P577" s="328"/>
      <c r="Q577" s="328"/>
      <c r="R577" s="371"/>
      <c r="S577" s="372"/>
      <c r="T577" s="311"/>
      <c r="U577" s="311"/>
      <c r="V577" s="311"/>
      <c r="W577" s="371"/>
      <c r="X577" s="372"/>
      <c r="Y577" s="311"/>
      <c r="Z577" s="311"/>
      <c r="AA577" s="311"/>
      <c r="AB577" s="371"/>
    </row>
    <row r="578" spans="1:28" ht="18" customHeight="1" x14ac:dyDescent="0.2">
      <c r="A578" s="377"/>
      <c r="B578" s="117" t="s">
        <v>1031</v>
      </c>
      <c r="C578" s="371"/>
      <c r="D578" s="372"/>
      <c r="E578" s="311"/>
      <c r="F578" s="311"/>
      <c r="G578" s="311"/>
      <c r="H578" s="371"/>
      <c r="I578" s="372"/>
      <c r="J578" s="311"/>
      <c r="K578" s="311"/>
      <c r="L578" s="311"/>
      <c r="M578" s="371"/>
      <c r="N578" s="372"/>
      <c r="O578" s="328"/>
      <c r="P578" s="328"/>
      <c r="Q578" s="328"/>
      <c r="R578" s="371"/>
      <c r="S578" s="372"/>
      <c r="T578" s="311"/>
      <c r="U578" s="311"/>
      <c r="V578" s="311"/>
      <c r="W578" s="371"/>
      <c r="X578" s="372"/>
      <c r="Y578" s="311"/>
      <c r="Z578" s="311"/>
      <c r="AA578" s="311"/>
      <c r="AB578" s="371"/>
    </row>
    <row r="579" spans="1:28" ht="18" customHeight="1" x14ac:dyDescent="0.2">
      <c r="A579" s="377"/>
      <c r="B579" s="117" t="s">
        <v>1032</v>
      </c>
      <c r="C579" s="371"/>
      <c r="D579" s="372"/>
      <c r="E579" s="311"/>
      <c r="F579" s="311"/>
      <c r="G579" s="311"/>
      <c r="H579" s="371"/>
      <c r="I579" s="372"/>
      <c r="J579" s="311"/>
      <c r="K579" s="311"/>
      <c r="L579" s="311"/>
      <c r="M579" s="371"/>
      <c r="N579" s="372"/>
      <c r="O579" s="328"/>
      <c r="P579" s="328"/>
      <c r="Q579" s="328"/>
      <c r="R579" s="371"/>
      <c r="S579" s="372"/>
      <c r="T579" s="311"/>
      <c r="U579" s="311"/>
      <c r="V579" s="311"/>
      <c r="W579" s="371"/>
      <c r="X579" s="372"/>
      <c r="Y579" s="311"/>
      <c r="Z579" s="311"/>
      <c r="AA579" s="311"/>
      <c r="AB579" s="371"/>
    </row>
    <row r="580" spans="1:28" ht="18" customHeight="1" x14ac:dyDescent="0.2">
      <c r="A580" s="377"/>
      <c r="B580" s="117" t="s">
        <v>1033</v>
      </c>
      <c r="C580" s="371"/>
      <c r="D580" s="372"/>
      <c r="E580" s="311"/>
      <c r="F580" s="311"/>
      <c r="G580" s="311"/>
      <c r="H580" s="371"/>
      <c r="I580" s="372"/>
      <c r="J580" s="311"/>
      <c r="K580" s="311"/>
      <c r="L580" s="311"/>
      <c r="M580" s="371"/>
      <c r="N580" s="372"/>
      <c r="O580" s="328"/>
      <c r="P580" s="328"/>
      <c r="Q580" s="328"/>
      <c r="R580" s="371"/>
      <c r="S580" s="372"/>
      <c r="T580" s="311"/>
      <c r="U580" s="311"/>
      <c r="V580" s="311"/>
      <c r="W580" s="371"/>
      <c r="X580" s="372"/>
      <c r="Y580" s="311"/>
      <c r="Z580" s="311"/>
      <c r="AA580" s="311"/>
      <c r="AB580" s="371"/>
    </row>
    <row r="581" spans="1:28" ht="18" customHeight="1" x14ac:dyDescent="0.2">
      <c r="A581" s="377"/>
      <c r="B581" s="117" t="s">
        <v>1034</v>
      </c>
      <c r="C581" s="371"/>
      <c r="D581" s="372"/>
      <c r="E581" s="311"/>
      <c r="F581" s="311"/>
      <c r="G581" s="311"/>
      <c r="H581" s="371"/>
      <c r="I581" s="372"/>
      <c r="J581" s="311"/>
      <c r="K581" s="311"/>
      <c r="L581" s="311"/>
      <c r="M581" s="371"/>
      <c r="N581" s="372"/>
      <c r="O581" s="328"/>
      <c r="P581" s="328"/>
      <c r="Q581" s="328"/>
      <c r="R581" s="371"/>
      <c r="S581" s="372"/>
      <c r="T581" s="311"/>
      <c r="U581" s="311"/>
      <c r="V581" s="311"/>
      <c r="W581" s="371"/>
      <c r="X581" s="372"/>
      <c r="Y581" s="311"/>
      <c r="Z581" s="311"/>
      <c r="AA581" s="311"/>
      <c r="AB581" s="371"/>
    </row>
    <row r="582" spans="1:28" ht="18" customHeight="1" x14ac:dyDescent="0.2">
      <c r="A582" s="377"/>
      <c r="B582" s="117" t="s">
        <v>1035</v>
      </c>
      <c r="C582" s="371"/>
      <c r="D582" s="372"/>
      <c r="E582" s="311"/>
      <c r="F582" s="311"/>
      <c r="G582" s="311"/>
      <c r="H582" s="371"/>
      <c r="I582" s="372"/>
      <c r="J582" s="311"/>
      <c r="K582" s="311"/>
      <c r="L582" s="311"/>
      <c r="M582" s="371"/>
      <c r="N582" s="372"/>
      <c r="O582" s="328"/>
      <c r="P582" s="328"/>
      <c r="Q582" s="328"/>
      <c r="R582" s="371"/>
      <c r="S582" s="372"/>
      <c r="T582" s="311"/>
      <c r="U582" s="311"/>
      <c r="V582" s="311"/>
      <c r="W582" s="371"/>
      <c r="X582" s="372"/>
      <c r="Y582" s="311"/>
      <c r="Z582" s="311"/>
      <c r="AA582" s="311"/>
      <c r="AB582" s="371"/>
    </row>
    <row r="583" spans="1:28" ht="25.5" customHeight="1" x14ac:dyDescent="0.2">
      <c r="A583" s="377"/>
      <c r="B583" s="117" t="s">
        <v>1036</v>
      </c>
      <c r="C583" s="371"/>
      <c r="D583" s="372"/>
      <c r="E583" s="311"/>
      <c r="F583" s="311"/>
      <c r="G583" s="311"/>
      <c r="H583" s="371"/>
      <c r="I583" s="372"/>
      <c r="J583" s="311"/>
      <c r="K583" s="311"/>
      <c r="L583" s="311"/>
      <c r="M583" s="371"/>
      <c r="N583" s="372"/>
      <c r="O583" s="328"/>
      <c r="P583" s="328"/>
      <c r="Q583" s="328"/>
      <c r="R583" s="371"/>
      <c r="S583" s="372"/>
      <c r="T583" s="311"/>
      <c r="U583" s="311"/>
      <c r="V583" s="311"/>
      <c r="W583" s="371"/>
      <c r="X583" s="372"/>
      <c r="Y583" s="311"/>
      <c r="Z583" s="311"/>
      <c r="AA583" s="311"/>
      <c r="AB583" s="371"/>
    </row>
    <row r="584" spans="1:28" ht="30" customHeight="1" x14ac:dyDescent="0.2">
      <c r="A584" s="377"/>
      <c r="B584" s="117" t="s">
        <v>1037</v>
      </c>
      <c r="C584" s="371"/>
      <c r="D584" s="372"/>
      <c r="E584" s="311"/>
      <c r="F584" s="311"/>
      <c r="G584" s="311"/>
      <c r="H584" s="371"/>
      <c r="I584" s="372"/>
      <c r="J584" s="311"/>
      <c r="K584" s="311"/>
      <c r="L584" s="311"/>
      <c r="M584" s="371"/>
      <c r="N584" s="372"/>
      <c r="O584" s="328"/>
      <c r="P584" s="328"/>
      <c r="Q584" s="328"/>
      <c r="R584" s="371"/>
      <c r="S584" s="372"/>
      <c r="T584" s="311"/>
      <c r="U584" s="311"/>
      <c r="V584" s="311"/>
      <c r="W584" s="371"/>
      <c r="X584" s="372"/>
      <c r="Y584" s="311"/>
      <c r="Z584" s="311"/>
      <c r="AA584" s="311"/>
      <c r="AB584" s="371"/>
    </row>
    <row r="585" spans="1:28" ht="18" customHeight="1" x14ac:dyDescent="0.2">
      <c r="A585" s="377"/>
      <c r="B585" s="117" t="s">
        <v>1038</v>
      </c>
      <c r="C585" s="371"/>
      <c r="D585" s="372"/>
      <c r="E585" s="311"/>
      <c r="F585" s="311"/>
      <c r="G585" s="311"/>
      <c r="H585" s="371"/>
      <c r="I585" s="372"/>
      <c r="J585" s="311"/>
      <c r="K585" s="311"/>
      <c r="L585" s="311"/>
      <c r="M585" s="371"/>
      <c r="N585" s="372"/>
      <c r="O585" s="328"/>
      <c r="P585" s="328"/>
      <c r="Q585" s="328"/>
      <c r="R585" s="371"/>
      <c r="S585" s="372"/>
      <c r="T585" s="311"/>
      <c r="U585" s="311"/>
      <c r="V585" s="311"/>
      <c r="W585" s="371"/>
      <c r="X585" s="372"/>
      <c r="Y585" s="311"/>
      <c r="Z585" s="311"/>
      <c r="AA585" s="311"/>
      <c r="AB585" s="371"/>
    </row>
    <row r="586" spans="1:28" ht="18" customHeight="1" x14ac:dyDescent="0.2">
      <c r="A586" s="377"/>
      <c r="B586" s="117" t="s">
        <v>1039</v>
      </c>
      <c r="C586" s="371"/>
      <c r="D586" s="372"/>
      <c r="E586" s="311"/>
      <c r="F586" s="311"/>
      <c r="G586" s="311"/>
      <c r="H586" s="371"/>
      <c r="I586" s="372"/>
      <c r="J586" s="311"/>
      <c r="K586" s="311"/>
      <c r="L586" s="311"/>
      <c r="M586" s="371"/>
      <c r="N586" s="372"/>
      <c r="O586" s="328"/>
      <c r="P586" s="328"/>
      <c r="Q586" s="328"/>
      <c r="R586" s="371"/>
      <c r="S586" s="372"/>
      <c r="T586" s="311"/>
      <c r="U586" s="311"/>
      <c r="V586" s="311"/>
      <c r="W586" s="371"/>
      <c r="X586" s="372"/>
      <c r="Y586" s="311"/>
      <c r="Z586" s="311"/>
      <c r="AA586" s="311"/>
      <c r="AB586" s="371"/>
    </row>
    <row r="587" spans="1:28" ht="18" customHeight="1" x14ac:dyDescent="0.2">
      <c r="A587" s="377"/>
      <c r="B587" s="116" t="s">
        <v>397</v>
      </c>
      <c r="C587" s="371"/>
      <c r="D587" s="372"/>
      <c r="E587" s="311"/>
      <c r="F587" s="311"/>
      <c r="G587" s="311"/>
      <c r="H587" s="371"/>
      <c r="I587" s="372"/>
      <c r="J587" s="311"/>
      <c r="K587" s="311"/>
      <c r="L587" s="311"/>
      <c r="M587" s="371"/>
      <c r="N587" s="372"/>
      <c r="O587" s="328"/>
      <c r="P587" s="328"/>
      <c r="Q587" s="328"/>
      <c r="R587" s="371"/>
      <c r="S587" s="372"/>
      <c r="T587" s="311"/>
      <c r="U587" s="311"/>
      <c r="V587" s="311"/>
      <c r="W587" s="371"/>
      <c r="X587" s="372"/>
      <c r="Y587" s="311"/>
      <c r="Z587" s="311"/>
      <c r="AA587" s="311"/>
      <c r="AB587" s="371"/>
    </row>
    <row r="588" spans="1:28" ht="18" customHeight="1" x14ac:dyDescent="0.2">
      <c r="A588" s="377"/>
      <c r="B588" s="117" t="s">
        <v>1399</v>
      </c>
      <c r="C588" s="371"/>
      <c r="D588" s="372"/>
      <c r="E588" s="311"/>
      <c r="F588" s="311"/>
      <c r="G588" s="311"/>
      <c r="H588" s="371"/>
      <c r="I588" s="372"/>
      <c r="J588" s="311"/>
      <c r="K588" s="311"/>
      <c r="L588" s="311"/>
      <c r="M588" s="371"/>
      <c r="N588" s="372"/>
      <c r="O588" s="328"/>
      <c r="P588" s="328"/>
      <c r="Q588" s="328"/>
      <c r="R588" s="371"/>
      <c r="S588" s="372"/>
      <c r="T588" s="311"/>
      <c r="U588" s="311"/>
      <c r="V588" s="311"/>
      <c r="W588" s="371"/>
      <c r="X588" s="372"/>
      <c r="Y588" s="311"/>
      <c r="Z588" s="311"/>
      <c r="AA588" s="311"/>
      <c r="AB588" s="371"/>
    </row>
    <row r="589" spans="1:28" ht="18" customHeight="1" x14ac:dyDescent="0.2">
      <c r="A589" s="377"/>
      <c r="B589" s="117" t="s">
        <v>1400</v>
      </c>
      <c r="C589" s="371"/>
      <c r="D589" s="372"/>
      <c r="E589" s="311"/>
      <c r="F589" s="311"/>
      <c r="G589" s="311"/>
      <c r="H589" s="371"/>
      <c r="I589" s="372"/>
      <c r="J589" s="311"/>
      <c r="K589" s="311"/>
      <c r="L589" s="311"/>
      <c r="M589" s="371"/>
      <c r="N589" s="372"/>
      <c r="O589" s="328"/>
      <c r="P589" s="328"/>
      <c r="Q589" s="328"/>
      <c r="R589" s="371"/>
      <c r="S589" s="372"/>
      <c r="T589" s="311"/>
      <c r="U589" s="311"/>
      <c r="V589" s="311"/>
      <c r="W589" s="371"/>
      <c r="X589" s="372"/>
      <c r="Y589" s="311"/>
      <c r="Z589" s="311"/>
      <c r="AA589" s="311"/>
      <c r="AB589" s="371"/>
    </row>
    <row r="590" spans="1:28" ht="18" customHeight="1" x14ac:dyDescent="0.2">
      <c r="A590" s="377"/>
      <c r="B590" s="117" t="s">
        <v>1401</v>
      </c>
      <c r="C590" s="371"/>
      <c r="D590" s="372"/>
      <c r="E590" s="311"/>
      <c r="F590" s="311"/>
      <c r="G590" s="311"/>
      <c r="H590" s="371"/>
      <c r="I590" s="372"/>
      <c r="J590" s="311"/>
      <c r="K590" s="311"/>
      <c r="L590" s="311"/>
      <c r="M590" s="371"/>
      <c r="N590" s="374"/>
      <c r="O590" s="328"/>
      <c r="P590" s="328"/>
      <c r="Q590" s="328"/>
      <c r="R590" s="371"/>
      <c r="S590" s="372"/>
      <c r="T590" s="311"/>
      <c r="U590" s="311"/>
      <c r="V590" s="311"/>
      <c r="W590" s="371"/>
      <c r="X590" s="372"/>
      <c r="Y590" s="311"/>
      <c r="Z590" s="311"/>
      <c r="AA590" s="311"/>
      <c r="AB590" s="371"/>
    </row>
    <row r="591" spans="1:28" ht="18" customHeight="1" x14ac:dyDescent="0.2">
      <c r="A591" s="376" t="s">
        <v>451</v>
      </c>
      <c r="B591" s="115" t="s">
        <v>609</v>
      </c>
      <c r="C591" s="370">
        <v>0</v>
      </c>
      <c r="D591" s="373">
        <v>0</v>
      </c>
      <c r="E591" s="320"/>
      <c r="F591" s="320"/>
      <c r="G591" s="320"/>
      <c r="H591" s="370">
        <f>SUM(I591+L591)</f>
        <v>314</v>
      </c>
      <c r="I591" s="373">
        <v>314</v>
      </c>
      <c r="J591" s="320"/>
      <c r="K591" s="320"/>
      <c r="L591" s="320"/>
      <c r="M591" s="370">
        <f>N591</f>
        <v>314</v>
      </c>
      <c r="N591" s="373">
        <v>314</v>
      </c>
      <c r="O591" s="327"/>
      <c r="P591" s="327"/>
      <c r="Q591" s="327"/>
      <c r="R591" s="370">
        <f>SUM(S591:V591)</f>
        <v>3317</v>
      </c>
      <c r="S591" s="373">
        <f>458+2386+1183-458-126-126</f>
        <v>3317</v>
      </c>
      <c r="T591" s="320"/>
      <c r="U591" s="320"/>
      <c r="V591" s="320"/>
      <c r="W591" s="370">
        <v>0</v>
      </c>
      <c r="X591" s="373">
        <v>0</v>
      </c>
      <c r="Y591" s="320"/>
      <c r="Z591" s="320"/>
      <c r="AA591" s="320"/>
      <c r="AB591" s="370">
        <f>C591+H591+M591+R591+W591</f>
        <v>3945</v>
      </c>
    </row>
    <row r="592" spans="1:28" ht="18" customHeight="1" x14ac:dyDescent="0.2">
      <c r="A592" s="377"/>
      <c r="B592" s="116" t="s">
        <v>572</v>
      </c>
      <c r="C592" s="371"/>
      <c r="D592" s="372"/>
      <c r="E592" s="320"/>
      <c r="F592" s="320"/>
      <c r="G592" s="320"/>
      <c r="H592" s="371"/>
      <c r="I592" s="372"/>
      <c r="J592" s="320"/>
      <c r="K592" s="320"/>
      <c r="L592" s="320"/>
      <c r="M592" s="371"/>
      <c r="N592" s="372"/>
      <c r="O592" s="327"/>
      <c r="P592" s="327"/>
      <c r="Q592" s="327"/>
      <c r="R592" s="371"/>
      <c r="S592" s="372"/>
      <c r="T592" s="320"/>
      <c r="U592" s="320"/>
      <c r="V592" s="320"/>
      <c r="W592" s="371"/>
      <c r="X592" s="372"/>
      <c r="Y592" s="320"/>
      <c r="Z592" s="320"/>
      <c r="AA592" s="320"/>
      <c r="AB592" s="371"/>
    </row>
    <row r="593" spans="1:28" ht="18" customHeight="1" x14ac:dyDescent="0.2">
      <c r="A593" s="377"/>
      <c r="B593" s="117" t="s">
        <v>1040</v>
      </c>
      <c r="C593" s="371"/>
      <c r="D593" s="372"/>
      <c r="E593" s="320"/>
      <c r="F593" s="320"/>
      <c r="G593" s="320"/>
      <c r="H593" s="371"/>
      <c r="I593" s="372"/>
      <c r="J593" s="320"/>
      <c r="K593" s="320"/>
      <c r="L593" s="320"/>
      <c r="M593" s="371"/>
      <c r="N593" s="372"/>
      <c r="O593" s="327"/>
      <c r="P593" s="327"/>
      <c r="Q593" s="327"/>
      <c r="R593" s="371"/>
      <c r="S593" s="372"/>
      <c r="T593" s="320"/>
      <c r="U593" s="320"/>
      <c r="V593" s="320"/>
      <c r="W593" s="371"/>
      <c r="X593" s="372"/>
      <c r="Y593" s="320"/>
      <c r="Z593" s="320"/>
      <c r="AA593" s="320"/>
      <c r="AB593" s="371"/>
    </row>
    <row r="594" spans="1:28" ht="18" customHeight="1" x14ac:dyDescent="0.2">
      <c r="A594" s="377"/>
      <c r="B594" s="116" t="s">
        <v>573</v>
      </c>
      <c r="C594" s="371"/>
      <c r="D594" s="372"/>
      <c r="E594" s="320"/>
      <c r="F594" s="320"/>
      <c r="G594" s="320"/>
      <c r="H594" s="371"/>
      <c r="I594" s="372"/>
      <c r="J594" s="320"/>
      <c r="K594" s="320"/>
      <c r="L594" s="320"/>
      <c r="M594" s="371"/>
      <c r="N594" s="372"/>
      <c r="O594" s="327"/>
      <c r="P594" s="327"/>
      <c r="Q594" s="327"/>
      <c r="R594" s="371"/>
      <c r="S594" s="372"/>
      <c r="T594" s="320"/>
      <c r="U594" s="320"/>
      <c r="V594" s="320"/>
      <c r="W594" s="371"/>
      <c r="X594" s="372"/>
      <c r="Y594" s="320"/>
      <c r="Z594" s="320"/>
      <c r="AA594" s="320"/>
      <c r="AB594" s="371"/>
    </row>
    <row r="595" spans="1:28" ht="18" customHeight="1" x14ac:dyDescent="0.2">
      <c r="A595" s="377"/>
      <c r="B595" s="117" t="s">
        <v>1041</v>
      </c>
      <c r="C595" s="371"/>
      <c r="D595" s="372"/>
      <c r="E595" s="320"/>
      <c r="F595" s="320"/>
      <c r="G595" s="320"/>
      <c r="H595" s="371"/>
      <c r="I595" s="372"/>
      <c r="J595" s="320"/>
      <c r="K595" s="320"/>
      <c r="L595" s="320"/>
      <c r="M595" s="371"/>
      <c r="N595" s="372"/>
      <c r="O595" s="327"/>
      <c r="P595" s="327"/>
      <c r="Q595" s="327"/>
      <c r="R595" s="371"/>
      <c r="S595" s="372"/>
      <c r="T595" s="320"/>
      <c r="U595" s="320"/>
      <c r="V595" s="320"/>
      <c r="W595" s="371"/>
      <c r="X595" s="372"/>
      <c r="Y595" s="320"/>
      <c r="Z595" s="320"/>
      <c r="AA595" s="320"/>
      <c r="AB595" s="371"/>
    </row>
    <row r="596" spans="1:28" ht="20.25" customHeight="1" x14ac:dyDescent="0.2">
      <c r="A596" s="376" t="s">
        <v>452</v>
      </c>
      <c r="B596" s="115" t="s">
        <v>396</v>
      </c>
      <c r="C596" s="370">
        <v>0</v>
      </c>
      <c r="D596" s="373">
        <v>0</v>
      </c>
      <c r="E596" s="320"/>
      <c r="F596" s="320"/>
      <c r="G596" s="320"/>
      <c r="H596" s="370">
        <f>SUM(I596+L596)</f>
        <v>2279</v>
      </c>
      <c r="I596" s="373">
        <v>2279</v>
      </c>
      <c r="J596" s="320"/>
      <c r="K596" s="320"/>
      <c r="L596" s="320"/>
      <c r="M596" s="370">
        <f>N596</f>
        <v>0</v>
      </c>
      <c r="N596" s="373">
        <v>0</v>
      </c>
      <c r="O596" s="327"/>
      <c r="P596" s="327"/>
      <c r="Q596" s="327"/>
      <c r="R596" s="370">
        <f>SUM(S596:V596)</f>
        <v>245</v>
      </c>
      <c r="S596" s="373">
        <f>456-209-2</f>
        <v>245</v>
      </c>
      <c r="T596" s="320"/>
      <c r="U596" s="320"/>
      <c r="V596" s="320"/>
      <c r="W596" s="370">
        <f>X596</f>
        <v>3274</v>
      </c>
      <c r="X596" s="373">
        <f>5500-2226</f>
        <v>3274</v>
      </c>
      <c r="Y596" s="320"/>
      <c r="Z596" s="320"/>
      <c r="AA596" s="320"/>
      <c r="AB596" s="370">
        <f>C596+H596+M596+R596+W596</f>
        <v>5798</v>
      </c>
    </row>
    <row r="597" spans="1:28" ht="18" customHeight="1" x14ac:dyDescent="0.2">
      <c r="A597" s="377"/>
      <c r="B597" s="116" t="s">
        <v>139</v>
      </c>
      <c r="C597" s="371"/>
      <c r="D597" s="372"/>
      <c r="E597" s="320"/>
      <c r="F597" s="320"/>
      <c r="G597" s="320"/>
      <c r="H597" s="371"/>
      <c r="I597" s="372"/>
      <c r="J597" s="320"/>
      <c r="K597" s="320"/>
      <c r="L597" s="320"/>
      <c r="M597" s="371"/>
      <c r="N597" s="372"/>
      <c r="O597" s="327"/>
      <c r="P597" s="327"/>
      <c r="Q597" s="327"/>
      <c r="R597" s="371"/>
      <c r="S597" s="372"/>
      <c r="T597" s="320"/>
      <c r="U597" s="320"/>
      <c r="V597" s="320"/>
      <c r="W597" s="371"/>
      <c r="X597" s="372"/>
      <c r="Y597" s="320"/>
      <c r="Z597" s="320"/>
      <c r="AA597" s="320"/>
      <c r="AB597" s="371"/>
    </row>
    <row r="598" spans="1:28" ht="36" customHeight="1" x14ac:dyDescent="0.2">
      <c r="A598" s="377"/>
      <c r="B598" s="117" t="s">
        <v>1042</v>
      </c>
      <c r="C598" s="371"/>
      <c r="D598" s="372"/>
      <c r="E598" s="320"/>
      <c r="F598" s="320"/>
      <c r="G598" s="320"/>
      <c r="H598" s="371"/>
      <c r="I598" s="372"/>
      <c r="J598" s="320"/>
      <c r="K598" s="320"/>
      <c r="L598" s="320"/>
      <c r="M598" s="371"/>
      <c r="N598" s="372"/>
      <c r="O598" s="327"/>
      <c r="P598" s="327"/>
      <c r="Q598" s="327"/>
      <c r="R598" s="371"/>
      <c r="S598" s="372"/>
      <c r="T598" s="320"/>
      <c r="U598" s="320"/>
      <c r="V598" s="320"/>
      <c r="W598" s="371"/>
      <c r="X598" s="372"/>
      <c r="Y598" s="320"/>
      <c r="Z598" s="320"/>
      <c r="AA598" s="320"/>
      <c r="AB598" s="371"/>
    </row>
    <row r="599" spans="1:28" ht="18" customHeight="1" x14ac:dyDescent="0.2">
      <c r="A599" s="377"/>
      <c r="B599" s="117" t="s">
        <v>1043</v>
      </c>
      <c r="C599" s="371"/>
      <c r="D599" s="372"/>
      <c r="E599" s="320"/>
      <c r="F599" s="320"/>
      <c r="G599" s="320"/>
      <c r="H599" s="371"/>
      <c r="I599" s="372"/>
      <c r="J599" s="320"/>
      <c r="K599" s="320"/>
      <c r="L599" s="320"/>
      <c r="M599" s="371"/>
      <c r="N599" s="372"/>
      <c r="O599" s="327"/>
      <c r="P599" s="327"/>
      <c r="Q599" s="327"/>
      <c r="R599" s="371"/>
      <c r="S599" s="372"/>
      <c r="T599" s="320"/>
      <c r="U599" s="320"/>
      <c r="V599" s="320"/>
      <c r="W599" s="371"/>
      <c r="X599" s="372"/>
      <c r="Y599" s="320"/>
      <c r="Z599" s="320"/>
      <c r="AA599" s="320"/>
      <c r="AB599" s="371"/>
    </row>
    <row r="600" spans="1:28" ht="18" customHeight="1" x14ac:dyDescent="0.2">
      <c r="A600" s="377"/>
      <c r="B600" s="117" t="s">
        <v>1044</v>
      </c>
      <c r="C600" s="371"/>
      <c r="D600" s="372"/>
      <c r="E600" s="320"/>
      <c r="F600" s="320"/>
      <c r="G600" s="320"/>
      <c r="H600" s="371"/>
      <c r="I600" s="372"/>
      <c r="J600" s="320"/>
      <c r="K600" s="320"/>
      <c r="L600" s="320"/>
      <c r="M600" s="371"/>
      <c r="N600" s="372"/>
      <c r="O600" s="327"/>
      <c r="P600" s="327"/>
      <c r="Q600" s="327"/>
      <c r="R600" s="371"/>
      <c r="S600" s="372"/>
      <c r="T600" s="320"/>
      <c r="U600" s="320"/>
      <c r="V600" s="320"/>
      <c r="W600" s="371"/>
      <c r="X600" s="372"/>
      <c r="Y600" s="320"/>
      <c r="Z600" s="320"/>
      <c r="AA600" s="320"/>
      <c r="AB600" s="371"/>
    </row>
    <row r="601" spans="1:28" ht="36" customHeight="1" x14ac:dyDescent="0.2">
      <c r="A601" s="377"/>
      <c r="B601" s="117" t="s">
        <v>1045</v>
      </c>
      <c r="C601" s="371"/>
      <c r="D601" s="372"/>
      <c r="E601" s="320"/>
      <c r="F601" s="320"/>
      <c r="G601" s="320"/>
      <c r="H601" s="371"/>
      <c r="I601" s="372"/>
      <c r="J601" s="320"/>
      <c r="K601" s="320"/>
      <c r="L601" s="320"/>
      <c r="M601" s="371"/>
      <c r="N601" s="372"/>
      <c r="O601" s="327"/>
      <c r="P601" s="327"/>
      <c r="Q601" s="327"/>
      <c r="R601" s="371"/>
      <c r="S601" s="372"/>
      <c r="T601" s="320"/>
      <c r="U601" s="320"/>
      <c r="V601" s="320"/>
      <c r="W601" s="371"/>
      <c r="X601" s="372"/>
      <c r="Y601" s="320"/>
      <c r="Z601" s="320"/>
      <c r="AA601" s="320"/>
      <c r="AB601" s="371"/>
    </row>
    <row r="602" spans="1:28" ht="18" customHeight="1" x14ac:dyDescent="0.2">
      <c r="A602" s="377"/>
      <c r="B602" s="117" t="s">
        <v>1046</v>
      </c>
      <c r="C602" s="371"/>
      <c r="D602" s="372"/>
      <c r="E602" s="320"/>
      <c r="F602" s="320"/>
      <c r="G602" s="320"/>
      <c r="H602" s="371"/>
      <c r="I602" s="372"/>
      <c r="J602" s="320"/>
      <c r="K602" s="320"/>
      <c r="L602" s="320"/>
      <c r="M602" s="371"/>
      <c r="N602" s="372"/>
      <c r="O602" s="327"/>
      <c r="P602" s="327"/>
      <c r="Q602" s="327"/>
      <c r="R602" s="371"/>
      <c r="S602" s="372"/>
      <c r="T602" s="320"/>
      <c r="U602" s="320"/>
      <c r="V602" s="320"/>
      <c r="W602" s="371"/>
      <c r="X602" s="372"/>
      <c r="Y602" s="320"/>
      <c r="Z602" s="320"/>
      <c r="AA602" s="320"/>
      <c r="AB602" s="371"/>
    </row>
    <row r="603" spans="1:28" ht="33" customHeight="1" x14ac:dyDescent="0.2">
      <c r="A603" s="377"/>
      <c r="B603" s="117" t="s">
        <v>1047</v>
      </c>
      <c r="C603" s="371"/>
      <c r="D603" s="372"/>
      <c r="E603" s="320"/>
      <c r="F603" s="320"/>
      <c r="G603" s="320"/>
      <c r="H603" s="371"/>
      <c r="I603" s="372"/>
      <c r="J603" s="320"/>
      <c r="K603" s="320"/>
      <c r="L603" s="320"/>
      <c r="M603" s="371"/>
      <c r="N603" s="372"/>
      <c r="O603" s="327"/>
      <c r="P603" s="327"/>
      <c r="Q603" s="327"/>
      <c r="R603" s="371"/>
      <c r="S603" s="372"/>
      <c r="T603" s="320"/>
      <c r="U603" s="320"/>
      <c r="V603" s="320"/>
      <c r="W603" s="371"/>
      <c r="X603" s="372"/>
      <c r="Y603" s="320"/>
      <c r="Z603" s="320"/>
      <c r="AA603" s="320"/>
      <c r="AB603" s="371"/>
    </row>
    <row r="604" spans="1:28" ht="18" customHeight="1" x14ac:dyDescent="0.2">
      <c r="A604" s="377"/>
      <c r="B604" s="117" t="s">
        <v>1048</v>
      </c>
      <c r="C604" s="371"/>
      <c r="D604" s="372"/>
      <c r="E604" s="320"/>
      <c r="F604" s="320"/>
      <c r="G604" s="320"/>
      <c r="H604" s="371"/>
      <c r="I604" s="372"/>
      <c r="J604" s="320"/>
      <c r="K604" s="320"/>
      <c r="L604" s="320"/>
      <c r="M604" s="371"/>
      <c r="N604" s="372"/>
      <c r="O604" s="327"/>
      <c r="P604" s="327"/>
      <c r="Q604" s="327"/>
      <c r="R604" s="371"/>
      <c r="S604" s="372"/>
      <c r="T604" s="320"/>
      <c r="U604" s="320"/>
      <c r="V604" s="320"/>
      <c r="W604" s="371"/>
      <c r="X604" s="372"/>
      <c r="Y604" s="320"/>
      <c r="Z604" s="320"/>
      <c r="AA604" s="320"/>
      <c r="AB604" s="371"/>
    </row>
    <row r="605" spans="1:28" ht="18" customHeight="1" x14ac:dyDescent="0.2">
      <c r="A605" s="377"/>
      <c r="B605" s="117" t="s">
        <v>1049</v>
      </c>
      <c r="C605" s="371"/>
      <c r="D605" s="372"/>
      <c r="E605" s="320"/>
      <c r="F605" s="320"/>
      <c r="G605" s="320"/>
      <c r="H605" s="371"/>
      <c r="I605" s="372"/>
      <c r="J605" s="320"/>
      <c r="K605" s="320"/>
      <c r="L605" s="320"/>
      <c r="M605" s="371"/>
      <c r="N605" s="372"/>
      <c r="O605" s="327"/>
      <c r="P605" s="327"/>
      <c r="Q605" s="327"/>
      <c r="R605" s="371"/>
      <c r="S605" s="372"/>
      <c r="T605" s="320"/>
      <c r="U605" s="320"/>
      <c r="V605" s="320"/>
      <c r="W605" s="371"/>
      <c r="X605" s="372"/>
      <c r="Y605" s="320"/>
      <c r="Z605" s="320"/>
      <c r="AA605" s="320"/>
      <c r="AB605" s="371"/>
    </row>
    <row r="606" spans="1:28" ht="32.25" customHeight="1" x14ac:dyDescent="0.2">
      <c r="A606" s="377"/>
      <c r="B606" s="117" t="s">
        <v>1050</v>
      </c>
      <c r="C606" s="371"/>
      <c r="D606" s="372"/>
      <c r="E606" s="320"/>
      <c r="F606" s="320"/>
      <c r="G606" s="320"/>
      <c r="H606" s="371"/>
      <c r="I606" s="372"/>
      <c r="J606" s="320"/>
      <c r="K606" s="320"/>
      <c r="L606" s="320"/>
      <c r="M606" s="371"/>
      <c r="N606" s="372"/>
      <c r="O606" s="327"/>
      <c r="P606" s="327"/>
      <c r="Q606" s="327"/>
      <c r="R606" s="371"/>
      <c r="S606" s="372"/>
      <c r="T606" s="320"/>
      <c r="U606" s="320"/>
      <c r="V606" s="320"/>
      <c r="W606" s="371"/>
      <c r="X606" s="372"/>
      <c r="Y606" s="320"/>
      <c r="Z606" s="320"/>
      <c r="AA606" s="320"/>
      <c r="AB606" s="371"/>
    </row>
    <row r="607" spans="1:28" ht="18" customHeight="1" x14ac:dyDescent="0.2">
      <c r="A607" s="377"/>
      <c r="B607" s="116" t="s">
        <v>360</v>
      </c>
      <c r="C607" s="371"/>
      <c r="D607" s="372"/>
      <c r="E607" s="320"/>
      <c r="F607" s="320"/>
      <c r="G607" s="320"/>
      <c r="H607" s="371"/>
      <c r="I607" s="372"/>
      <c r="J607" s="320"/>
      <c r="K607" s="320"/>
      <c r="L607" s="320"/>
      <c r="M607" s="371"/>
      <c r="N607" s="372"/>
      <c r="O607" s="327"/>
      <c r="P607" s="327"/>
      <c r="Q607" s="327"/>
      <c r="R607" s="371"/>
      <c r="S607" s="372"/>
      <c r="T607" s="320"/>
      <c r="U607" s="320"/>
      <c r="V607" s="320"/>
      <c r="W607" s="371"/>
      <c r="X607" s="372"/>
      <c r="Y607" s="320"/>
      <c r="Z607" s="320"/>
      <c r="AA607" s="320"/>
      <c r="AB607" s="371"/>
    </row>
    <row r="608" spans="1:28" ht="41.25" customHeight="1" x14ac:dyDescent="0.2">
      <c r="A608" s="377"/>
      <c r="B608" s="117" t="s">
        <v>1051</v>
      </c>
      <c r="C608" s="371"/>
      <c r="D608" s="372"/>
      <c r="E608" s="320"/>
      <c r="F608" s="320"/>
      <c r="G608" s="320"/>
      <c r="H608" s="371"/>
      <c r="I608" s="372"/>
      <c r="J608" s="320"/>
      <c r="K608" s="320"/>
      <c r="L608" s="320"/>
      <c r="M608" s="371"/>
      <c r="N608" s="372"/>
      <c r="O608" s="327"/>
      <c r="P608" s="327"/>
      <c r="Q608" s="327"/>
      <c r="R608" s="371"/>
      <c r="S608" s="372"/>
      <c r="T608" s="320"/>
      <c r="U608" s="320"/>
      <c r="V608" s="320"/>
      <c r="W608" s="371"/>
      <c r="X608" s="372"/>
      <c r="Y608" s="320"/>
      <c r="Z608" s="320"/>
      <c r="AA608" s="320"/>
      <c r="AB608" s="371"/>
    </row>
    <row r="609" spans="1:28" ht="24.75" customHeight="1" x14ac:dyDescent="0.2">
      <c r="A609" s="389"/>
      <c r="B609" s="139" t="s">
        <v>1052</v>
      </c>
      <c r="C609" s="379"/>
      <c r="D609" s="374"/>
      <c r="E609" s="320"/>
      <c r="F609" s="320"/>
      <c r="G609" s="320"/>
      <c r="H609" s="379"/>
      <c r="I609" s="374"/>
      <c r="J609" s="320"/>
      <c r="K609" s="320"/>
      <c r="L609" s="320"/>
      <c r="M609" s="379"/>
      <c r="N609" s="374"/>
      <c r="O609" s="327"/>
      <c r="P609" s="327"/>
      <c r="Q609" s="327"/>
      <c r="R609" s="379"/>
      <c r="S609" s="374"/>
      <c r="T609" s="320"/>
      <c r="U609" s="320"/>
      <c r="V609" s="320"/>
      <c r="W609" s="379"/>
      <c r="X609" s="374"/>
      <c r="Y609" s="320"/>
      <c r="Z609" s="320"/>
      <c r="AA609" s="320"/>
      <c r="AB609" s="379"/>
    </row>
    <row r="610" spans="1:28" ht="19.5" customHeight="1" x14ac:dyDescent="0.2">
      <c r="A610" s="386" t="s">
        <v>453</v>
      </c>
      <c r="B610" s="152" t="s">
        <v>400</v>
      </c>
      <c r="C610" s="387">
        <v>0</v>
      </c>
      <c r="D610" s="388">
        <v>0</v>
      </c>
      <c r="E610" s="320"/>
      <c r="F610" s="320"/>
      <c r="G610" s="320"/>
      <c r="H610" s="387">
        <f>SUM(I610+L610)</f>
        <v>6496</v>
      </c>
      <c r="I610" s="388">
        <v>6496</v>
      </c>
      <c r="J610" s="320"/>
      <c r="K610" s="320"/>
      <c r="L610" s="320"/>
      <c r="M610" s="387">
        <f>N610</f>
        <v>4570</v>
      </c>
      <c r="N610" s="388">
        <f>3914+214+442</f>
        <v>4570</v>
      </c>
      <c r="O610" s="327"/>
      <c r="P610" s="327"/>
      <c r="Q610" s="327"/>
      <c r="R610" s="387">
        <f>SUM(S610:V610)</f>
        <v>3164</v>
      </c>
      <c r="S610" s="388">
        <f>1403+1255+539-227+227-33</f>
        <v>3164</v>
      </c>
      <c r="T610" s="320"/>
      <c r="U610" s="320"/>
      <c r="V610" s="320"/>
      <c r="W610" s="387">
        <f>X610</f>
        <v>0</v>
      </c>
      <c r="X610" s="388">
        <f>1812-1812</f>
        <v>0</v>
      </c>
      <c r="Y610" s="320"/>
      <c r="Z610" s="320"/>
      <c r="AA610" s="320"/>
      <c r="AB610" s="387">
        <f>C610+H610+M610+R610+W610</f>
        <v>14230</v>
      </c>
    </row>
    <row r="611" spans="1:28" ht="18.75" customHeight="1" x14ac:dyDescent="0.2">
      <c r="A611" s="386"/>
      <c r="B611" s="153" t="s">
        <v>139</v>
      </c>
      <c r="C611" s="387"/>
      <c r="D611" s="388"/>
      <c r="E611" s="320"/>
      <c r="F611" s="320"/>
      <c r="G611" s="320"/>
      <c r="H611" s="387"/>
      <c r="I611" s="388"/>
      <c r="J611" s="320"/>
      <c r="K611" s="320"/>
      <c r="L611" s="320"/>
      <c r="M611" s="387"/>
      <c r="N611" s="388"/>
      <c r="O611" s="327"/>
      <c r="P611" s="327"/>
      <c r="Q611" s="327"/>
      <c r="R611" s="387"/>
      <c r="S611" s="388"/>
      <c r="T611" s="320"/>
      <c r="U611" s="320"/>
      <c r="V611" s="320"/>
      <c r="W611" s="387"/>
      <c r="X611" s="388"/>
      <c r="Y611" s="320"/>
      <c r="Z611" s="320"/>
      <c r="AA611" s="320"/>
      <c r="AB611" s="387"/>
    </row>
    <row r="612" spans="1:28" ht="18.75" customHeight="1" x14ac:dyDescent="0.2">
      <c r="A612" s="386"/>
      <c r="B612" s="145" t="s">
        <v>1053</v>
      </c>
      <c r="C612" s="387"/>
      <c r="D612" s="388"/>
      <c r="E612" s="320"/>
      <c r="F612" s="320"/>
      <c r="G612" s="320"/>
      <c r="H612" s="387"/>
      <c r="I612" s="388"/>
      <c r="J612" s="320"/>
      <c r="K612" s="320"/>
      <c r="L612" s="320"/>
      <c r="M612" s="387"/>
      <c r="N612" s="388"/>
      <c r="O612" s="327"/>
      <c r="P612" s="327"/>
      <c r="Q612" s="327"/>
      <c r="R612" s="387"/>
      <c r="S612" s="388"/>
      <c r="T612" s="320"/>
      <c r="U612" s="320"/>
      <c r="V612" s="320"/>
      <c r="W612" s="387"/>
      <c r="X612" s="388"/>
      <c r="Y612" s="320"/>
      <c r="Z612" s="320"/>
      <c r="AA612" s="320"/>
      <c r="AB612" s="387"/>
    </row>
    <row r="613" spans="1:28" ht="30.75" customHeight="1" x14ac:dyDescent="0.25">
      <c r="A613" s="386"/>
      <c r="B613" s="154" t="s">
        <v>1054</v>
      </c>
      <c r="C613" s="387"/>
      <c r="D613" s="388"/>
      <c r="E613" s="320"/>
      <c r="F613" s="320"/>
      <c r="G613" s="320"/>
      <c r="H613" s="387"/>
      <c r="I613" s="388"/>
      <c r="J613" s="320"/>
      <c r="K613" s="320"/>
      <c r="L613" s="320"/>
      <c r="M613" s="387"/>
      <c r="N613" s="388"/>
      <c r="O613" s="327"/>
      <c r="P613" s="327"/>
      <c r="Q613" s="327"/>
      <c r="R613" s="387"/>
      <c r="S613" s="388"/>
      <c r="T613" s="320"/>
      <c r="U613" s="320"/>
      <c r="V613" s="320"/>
      <c r="W613" s="387"/>
      <c r="X613" s="388"/>
      <c r="Y613" s="320"/>
      <c r="Z613" s="320"/>
      <c r="AA613" s="320"/>
      <c r="AB613" s="387"/>
    </row>
    <row r="614" spans="1:28" ht="18.75" customHeight="1" x14ac:dyDescent="0.25">
      <c r="A614" s="386"/>
      <c r="B614" s="155" t="s">
        <v>1055</v>
      </c>
      <c r="C614" s="387"/>
      <c r="D614" s="388"/>
      <c r="E614" s="320"/>
      <c r="F614" s="320"/>
      <c r="G614" s="320"/>
      <c r="H614" s="387"/>
      <c r="I614" s="388"/>
      <c r="J614" s="320"/>
      <c r="K614" s="320"/>
      <c r="L614" s="320"/>
      <c r="M614" s="387"/>
      <c r="N614" s="388"/>
      <c r="O614" s="327"/>
      <c r="P614" s="327"/>
      <c r="Q614" s="327"/>
      <c r="R614" s="387"/>
      <c r="S614" s="388"/>
      <c r="T614" s="320"/>
      <c r="U614" s="320"/>
      <c r="V614" s="320"/>
      <c r="W614" s="387"/>
      <c r="X614" s="388"/>
      <c r="Y614" s="320"/>
      <c r="Z614" s="320"/>
      <c r="AA614" s="320"/>
      <c r="AB614" s="387"/>
    </row>
    <row r="615" spans="1:28" ht="18.75" customHeight="1" x14ac:dyDescent="0.2">
      <c r="A615" s="386"/>
      <c r="B615" s="145" t="s">
        <v>1056</v>
      </c>
      <c r="C615" s="387"/>
      <c r="D615" s="388"/>
      <c r="E615" s="320"/>
      <c r="F615" s="320"/>
      <c r="G615" s="320"/>
      <c r="H615" s="387"/>
      <c r="I615" s="388"/>
      <c r="J615" s="320"/>
      <c r="K615" s="320"/>
      <c r="L615" s="320"/>
      <c r="M615" s="387"/>
      <c r="N615" s="388"/>
      <c r="O615" s="327"/>
      <c r="P615" s="327"/>
      <c r="Q615" s="327"/>
      <c r="R615" s="387"/>
      <c r="S615" s="388"/>
      <c r="T615" s="320"/>
      <c r="U615" s="320"/>
      <c r="V615" s="320"/>
      <c r="W615" s="387"/>
      <c r="X615" s="388"/>
      <c r="Y615" s="320"/>
      <c r="Z615" s="320"/>
      <c r="AA615" s="320"/>
      <c r="AB615" s="387"/>
    </row>
    <row r="616" spans="1:28" ht="18.75" customHeight="1" x14ac:dyDescent="0.2">
      <c r="A616" s="386"/>
      <c r="B616" s="145" t="s">
        <v>1057</v>
      </c>
      <c r="C616" s="387"/>
      <c r="D616" s="388"/>
      <c r="E616" s="320"/>
      <c r="F616" s="320"/>
      <c r="G616" s="320"/>
      <c r="H616" s="387"/>
      <c r="I616" s="388"/>
      <c r="J616" s="320"/>
      <c r="K616" s="320"/>
      <c r="L616" s="320"/>
      <c r="M616" s="387"/>
      <c r="N616" s="388"/>
      <c r="O616" s="327"/>
      <c r="P616" s="327"/>
      <c r="Q616" s="327"/>
      <c r="R616" s="387"/>
      <c r="S616" s="388"/>
      <c r="T616" s="320"/>
      <c r="U616" s="320"/>
      <c r="V616" s="320"/>
      <c r="W616" s="387"/>
      <c r="X616" s="388"/>
      <c r="Y616" s="320"/>
      <c r="Z616" s="320"/>
      <c r="AA616" s="320"/>
      <c r="AB616" s="387"/>
    </row>
    <row r="617" spans="1:28" ht="18.75" customHeight="1" x14ac:dyDescent="0.2">
      <c r="A617" s="386"/>
      <c r="B617" s="145" t="s">
        <v>1058</v>
      </c>
      <c r="C617" s="387"/>
      <c r="D617" s="388"/>
      <c r="E617" s="320"/>
      <c r="F617" s="320"/>
      <c r="G617" s="320"/>
      <c r="H617" s="387"/>
      <c r="I617" s="388"/>
      <c r="J617" s="320"/>
      <c r="K617" s="320"/>
      <c r="L617" s="320"/>
      <c r="M617" s="387"/>
      <c r="N617" s="388"/>
      <c r="O617" s="327"/>
      <c r="P617" s="327"/>
      <c r="Q617" s="327"/>
      <c r="R617" s="387"/>
      <c r="S617" s="388"/>
      <c r="T617" s="320"/>
      <c r="U617" s="320"/>
      <c r="V617" s="320"/>
      <c r="W617" s="387"/>
      <c r="X617" s="388"/>
      <c r="Y617" s="320"/>
      <c r="Z617" s="320"/>
      <c r="AA617" s="320"/>
      <c r="AB617" s="387"/>
    </row>
    <row r="618" spans="1:28" ht="18.75" customHeight="1" x14ac:dyDescent="0.2">
      <c r="A618" s="386"/>
      <c r="B618" s="145" t="s">
        <v>1059</v>
      </c>
      <c r="C618" s="387"/>
      <c r="D618" s="388"/>
      <c r="E618" s="320"/>
      <c r="F618" s="320"/>
      <c r="G618" s="320"/>
      <c r="H618" s="387"/>
      <c r="I618" s="388"/>
      <c r="J618" s="320"/>
      <c r="K618" s="320"/>
      <c r="L618" s="320"/>
      <c r="M618" s="387"/>
      <c r="N618" s="388"/>
      <c r="O618" s="327"/>
      <c r="P618" s="327"/>
      <c r="Q618" s="327"/>
      <c r="R618" s="387"/>
      <c r="S618" s="388"/>
      <c r="T618" s="320"/>
      <c r="U618" s="320"/>
      <c r="V618" s="320"/>
      <c r="W618" s="387"/>
      <c r="X618" s="388"/>
      <c r="Y618" s="320"/>
      <c r="Z618" s="320"/>
      <c r="AA618" s="320"/>
      <c r="AB618" s="387"/>
    </row>
    <row r="619" spans="1:28" ht="18.75" customHeight="1" x14ac:dyDescent="0.2">
      <c r="A619" s="386"/>
      <c r="B619" s="145" t="s">
        <v>1060</v>
      </c>
      <c r="C619" s="387"/>
      <c r="D619" s="388"/>
      <c r="E619" s="320"/>
      <c r="F619" s="320"/>
      <c r="G619" s="320"/>
      <c r="H619" s="387"/>
      <c r="I619" s="388"/>
      <c r="J619" s="320"/>
      <c r="K619" s="320"/>
      <c r="L619" s="320"/>
      <c r="M619" s="387"/>
      <c r="N619" s="388"/>
      <c r="O619" s="327"/>
      <c r="P619" s="327"/>
      <c r="Q619" s="327"/>
      <c r="R619" s="387"/>
      <c r="S619" s="388"/>
      <c r="T619" s="320"/>
      <c r="U619" s="320"/>
      <c r="V619" s="320"/>
      <c r="W619" s="387"/>
      <c r="X619" s="388"/>
      <c r="Y619" s="320"/>
      <c r="Z619" s="320"/>
      <c r="AA619" s="320"/>
      <c r="AB619" s="387"/>
    </row>
    <row r="620" spans="1:28" ht="18.75" customHeight="1" x14ac:dyDescent="0.2">
      <c r="A620" s="386"/>
      <c r="B620" s="145" t="s">
        <v>1061</v>
      </c>
      <c r="C620" s="387"/>
      <c r="D620" s="388"/>
      <c r="E620" s="320"/>
      <c r="F620" s="320"/>
      <c r="G620" s="320"/>
      <c r="H620" s="387"/>
      <c r="I620" s="388"/>
      <c r="J620" s="320"/>
      <c r="K620" s="320"/>
      <c r="L620" s="320"/>
      <c r="M620" s="387"/>
      <c r="N620" s="388"/>
      <c r="O620" s="327"/>
      <c r="P620" s="327"/>
      <c r="Q620" s="327"/>
      <c r="R620" s="387"/>
      <c r="S620" s="388"/>
      <c r="T620" s="320"/>
      <c r="U620" s="320"/>
      <c r="V620" s="320"/>
      <c r="W620" s="387"/>
      <c r="X620" s="388"/>
      <c r="Y620" s="320"/>
      <c r="Z620" s="320"/>
      <c r="AA620" s="320"/>
      <c r="AB620" s="387"/>
    </row>
    <row r="621" spans="1:28" ht="38.25" customHeight="1" x14ac:dyDescent="0.2">
      <c r="A621" s="386"/>
      <c r="B621" s="145" t="s">
        <v>1062</v>
      </c>
      <c r="C621" s="387"/>
      <c r="D621" s="388"/>
      <c r="E621" s="320"/>
      <c r="F621" s="320"/>
      <c r="G621" s="320"/>
      <c r="H621" s="387"/>
      <c r="I621" s="388"/>
      <c r="J621" s="320"/>
      <c r="K621" s="320"/>
      <c r="L621" s="320"/>
      <c r="M621" s="387"/>
      <c r="N621" s="388"/>
      <c r="O621" s="327"/>
      <c r="P621" s="327"/>
      <c r="Q621" s="327"/>
      <c r="R621" s="387"/>
      <c r="S621" s="388"/>
      <c r="T621" s="320"/>
      <c r="U621" s="320"/>
      <c r="V621" s="320"/>
      <c r="W621" s="387"/>
      <c r="X621" s="388"/>
      <c r="Y621" s="320"/>
      <c r="Z621" s="320"/>
      <c r="AA621" s="320"/>
      <c r="AB621" s="387"/>
    </row>
    <row r="622" spans="1:28" ht="18.75" customHeight="1" x14ac:dyDescent="0.2">
      <c r="A622" s="386"/>
      <c r="B622" s="145" t="s">
        <v>1063</v>
      </c>
      <c r="C622" s="387"/>
      <c r="D622" s="388"/>
      <c r="E622" s="320"/>
      <c r="F622" s="320"/>
      <c r="G622" s="320"/>
      <c r="H622" s="387"/>
      <c r="I622" s="388"/>
      <c r="J622" s="320"/>
      <c r="K622" s="320"/>
      <c r="L622" s="320"/>
      <c r="M622" s="387"/>
      <c r="N622" s="388"/>
      <c r="O622" s="327"/>
      <c r="P622" s="327"/>
      <c r="Q622" s="327"/>
      <c r="R622" s="387"/>
      <c r="S622" s="388"/>
      <c r="T622" s="320"/>
      <c r="U622" s="320"/>
      <c r="V622" s="320"/>
      <c r="W622" s="387"/>
      <c r="X622" s="388"/>
      <c r="Y622" s="320"/>
      <c r="Z622" s="320"/>
      <c r="AA622" s="320"/>
      <c r="AB622" s="387"/>
    </row>
    <row r="623" spans="1:28" ht="18.75" customHeight="1" x14ac:dyDescent="0.2">
      <c r="A623" s="386"/>
      <c r="B623" s="153" t="s">
        <v>311</v>
      </c>
      <c r="C623" s="387"/>
      <c r="D623" s="388"/>
      <c r="E623" s="320"/>
      <c r="F623" s="320"/>
      <c r="G623" s="320"/>
      <c r="H623" s="387"/>
      <c r="I623" s="388"/>
      <c r="J623" s="320"/>
      <c r="K623" s="320"/>
      <c r="L623" s="320"/>
      <c r="M623" s="387"/>
      <c r="N623" s="388"/>
      <c r="O623" s="327"/>
      <c r="P623" s="327"/>
      <c r="Q623" s="327"/>
      <c r="R623" s="387"/>
      <c r="S623" s="388"/>
      <c r="T623" s="320"/>
      <c r="U623" s="320"/>
      <c r="V623" s="320"/>
      <c r="W623" s="387"/>
      <c r="X623" s="388"/>
      <c r="Y623" s="320"/>
      <c r="Z623" s="320"/>
      <c r="AA623" s="320"/>
      <c r="AB623" s="387"/>
    </row>
    <row r="624" spans="1:28" ht="18.75" customHeight="1" x14ac:dyDescent="0.2">
      <c r="A624" s="386"/>
      <c r="B624" s="145" t="s">
        <v>1064</v>
      </c>
      <c r="C624" s="387"/>
      <c r="D624" s="388"/>
      <c r="E624" s="320"/>
      <c r="F624" s="320"/>
      <c r="G624" s="320"/>
      <c r="H624" s="387"/>
      <c r="I624" s="388"/>
      <c r="J624" s="320"/>
      <c r="K624" s="320"/>
      <c r="L624" s="320"/>
      <c r="M624" s="387"/>
      <c r="N624" s="388"/>
      <c r="O624" s="327"/>
      <c r="P624" s="327"/>
      <c r="Q624" s="327"/>
      <c r="R624" s="387"/>
      <c r="S624" s="388"/>
      <c r="T624" s="320"/>
      <c r="U624" s="320"/>
      <c r="V624" s="320"/>
      <c r="W624" s="387"/>
      <c r="X624" s="388"/>
      <c r="Y624" s="320"/>
      <c r="Z624" s="320"/>
      <c r="AA624" s="320"/>
      <c r="AB624" s="387"/>
    </row>
    <row r="625" spans="1:30" ht="24" customHeight="1" x14ac:dyDescent="0.2">
      <c r="A625" s="386"/>
      <c r="B625" s="117" t="s">
        <v>1065</v>
      </c>
      <c r="C625" s="387"/>
      <c r="D625" s="388"/>
      <c r="E625" s="320"/>
      <c r="F625" s="320"/>
      <c r="G625" s="320"/>
      <c r="H625" s="387"/>
      <c r="I625" s="388"/>
      <c r="J625" s="320"/>
      <c r="K625" s="320"/>
      <c r="L625" s="320"/>
      <c r="M625" s="387"/>
      <c r="N625" s="388"/>
      <c r="O625" s="327"/>
      <c r="P625" s="327"/>
      <c r="Q625" s="327"/>
      <c r="R625" s="387"/>
      <c r="S625" s="388"/>
      <c r="T625" s="320"/>
      <c r="U625" s="320"/>
      <c r="V625" s="320"/>
      <c r="W625" s="387"/>
      <c r="X625" s="388"/>
      <c r="Y625" s="320"/>
      <c r="Z625" s="320"/>
      <c r="AA625" s="320"/>
      <c r="AB625" s="387"/>
    </row>
    <row r="626" spans="1:30" ht="18.75" customHeight="1" x14ac:dyDescent="0.2">
      <c r="A626" s="386"/>
      <c r="B626" s="117" t="s">
        <v>1066</v>
      </c>
      <c r="C626" s="387"/>
      <c r="D626" s="388"/>
      <c r="E626" s="320"/>
      <c r="F626" s="320"/>
      <c r="G626" s="320"/>
      <c r="H626" s="387"/>
      <c r="I626" s="388"/>
      <c r="J626" s="320"/>
      <c r="K626" s="320"/>
      <c r="L626" s="320"/>
      <c r="M626" s="387"/>
      <c r="N626" s="388"/>
      <c r="O626" s="327"/>
      <c r="P626" s="327"/>
      <c r="Q626" s="327"/>
      <c r="R626" s="387"/>
      <c r="S626" s="388"/>
      <c r="T626" s="320"/>
      <c r="U626" s="320"/>
      <c r="V626" s="320"/>
      <c r="W626" s="387"/>
      <c r="X626" s="388"/>
      <c r="Y626" s="320"/>
      <c r="Z626" s="320"/>
      <c r="AA626" s="320"/>
      <c r="AB626" s="387"/>
    </row>
    <row r="627" spans="1:30" ht="18.75" customHeight="1" x14ac:dyDescent="0.2">
      <c r="A627" s="386"/>
      <c r="B627" s="117" t="s">
        <v>1067</v>
      </c>
      <c r="C627" s="387"/>
      <c r="D627" s="388"/>
      <c r="E627" s="320"/>
      <c r="F627" s="320"/>
      <c r="G627" s="320"/>
      <c r="H627" s="387"/>
      <c r="I627" s="388"/>
      <c r="J627" s="320"/>
      <c r="K627" s="320"/>
      <c r="L627" s="320"/>
      <c r="M627" s="387"/>
      <c r="N627" s="388"/>
      <c r="O627" s="327"/>
      <c r="P627" s="327"/>
      <c r="Q627" s="327"/>
      <c r="R627" s="387"/>
      <c r="S627" s="388"/>
      <c r="T627" s="320"/>
      <c r="U627" s="320"/>
      <c r="V627" s="320"/>
      <c r="W627" s="387"/>
      <c r="X627" s="388"/>
      <c r="Y627" s="320"/>
      <c r="Z627" s="320"/>
      <c r="AA627" s="320"/>
      <c r="AB627" s="387"/>
    </row>
    <row r="628" spans="1:30" ht="18.75" customHeight="1" x14ac:dyDescent="0.2">
      <c r="A628" s="386"/>
      <c r="B628" s="153" t="s">
        <v>360</v>
      </c>
      <c r="C628" s="387"/>
      <c r="D628" s="388"/>
      <c r="E628" s="320"/>
      <c r="F628" s="320"/>
      <c r="G628" s="320"/>
      <c r="H628" s="387"/>
      <c r="I628" s="388"/>
      <c r="J628" s="320"/>
      <c r="K628" s="320"/>
      <c r="L628" s="320"/>
      <c r="M628" s="387"/>
      <c r="N628" s="388"/>
      <c r="O628" s="327"/>
      <c r="P628" s="327"/>
      <c r="Q628" s="327"/>
      <c r="R628" s="387"/>
      <c r="S628" s="388"/>
      <c r="T628" s="320"/>
      <c r="U628" s="320"/>
      <c r="V628" s="320"/>
      <c r="W628" s="387"/>
      <c r="X628" s="388"/>
      <c r="Y628" s="320"/>
      <c r="Z628" s="320"/>
      <c r="AA628" s="320"/>
      <c r="AB628" s="387"/>
    </row>
    <row r="629" spans="1:30" ht="18.75" customHeight="1" x14ac:dyDescent="0.2">
      <c r="A629" s="386"/>
      <c r="B629" s="145" t="s">
        <v>1318</v>
      </c>
      <c r="C629" s="387"/>
      <c r="D629" s="388"/>
      <c r="E629" s="320"/>
      <c r="F629" s="320"/>
      <c r="G629" s="320"/>
      <c r="H629" s="387"/>
      <c r="I629" s="388"/>
      <c r="J629" s="320"/>
      <c r="K629" s="320"/>
      <c r="L629" s="320"/>
      <c r="M629" s="387"/>
      <c r="N629" s="388"/>
      <c r="O629" s="327"/>
      <c r="P629" s="327"/>
      <c r="Q629" s="327"/>
      <c r="R629" s="387"/>
      <c r="S629" s="388"/>
      <c r="T629" s="320"/>
      <c r="U629" s="320"/>
      <c r="V629" s="320"/>
      <c r="W629" s="387"/>
      <c r="X629" s="388"/>
      <c r="Y629" s="320"/>
      <c r="Z629" s="320"/>
      <c r="AA629" s="320"/>
      <c r="AB629" s="387"/>
    </row>
    <row r="630" spans="1:30" ht="16.5" customHeight="1" x14ac:dyDescent="0.2">
      <c r="A630" s="386"/>
      <c r="B630" s="145" t="s">
        <v>1319</v>
      </c>
      <c r="C630" s="387"/>
      <c r="D630" s="388"/>
      <c r="E630" s="320"/>
      <c r="F630" s="320"/>
      <c r="G630" s="320"/>
      <c r="H630" s="387"/>
      <c r="I630" s="388"/>
      <c r="J630" s="320"/>
      <c r="K630" s="320"/>
      <c r="L630" s="320"/>
      <c r="M630" s="387"/>
      <c r="N630" s="388"/>
      <c r="O630" s="327"/>
      <c r="P630" s="327"/>
      <c r="Q630" s="327"/>
      <c r="R630" s="387"/>
      <c r="S630" s="388"/>
      <c r="T630" s="320"/>
      <c r="U630" s="320"/>
      <c r="V630" s="320"/>
      <c r="W630" s="387"/>
      <c r="X630" s="388"/>
      <c r="Y630" s="320"/>
      <c r="Z630" s="320"/>
      <c r="AA630" s="320"/>
      <c r="AB630" s="387"/>
    </row>
    <row r="631" spans="1:30" ht="18.75" customHeight="1" x14ac:dyDescent="0.2">
      <c r="A631" s="386"/>
      <c r="B631" s="153" t="s">
        <v>397</v>
      </c>
      <c r="C631" s="387"/>
      <c r="D631" s="388"/>
      <c r="E631" s="320"/>
      <c r="F631" s="320"/>
      <c r="G631" s="320"/>
      <c r="H631" s="387"/>
      <c r="I631" s="388"/>
      <c r="J631" s="320"/>
      <c r="K631" s="320"/>
      <c r="L631" s="320"/>
      <c r="M631" s="387"/>
      <c r="N631" s="388"/>
      <c r="O631" s="327"/>
      <c r="P631" s="327"/>
      <c r="Q631" s="327"/>
      <c r="R631" s="387"/>
      <c r="S631" s="388"/>
      <c r="T631" s="320"/>
      <c r="U631" s="320"/>
      <c r="V631" s="320"/>
      <c r="W631" s="387"/>
      <c r="X631" s="388"/>
      <c r="Y631" s="320"/>
      <c r="Z631" s="320"/>
      <c r="AA631" s="320"/>
      <c r="AB631" s="387"/>
    </row>
    <row r="632" spans="1:30" ht="17.25" customHeight="1" x14ac:dyDescent="0.2">
      <c r="A632" s="386"/>
      <c r="B632" s="145" t="s">
        <v>1320</v>
      </c>
      <c r="C632" s="387"/>
      <c r="D632" s="388"/>
      <c r="E632" s="320"/>
      <c r="F632" s="320"/>
      <c r="G632" s="320"/>
      <c r="H632" s="387"/>
      <c r="I632" s="388"/>
      <c r="J632" s="320"/>
      <c r="K632" s="320"/>
      <c r="L632" s="320"/>
      <c r="M632" s="387"/>
      <c r="N632" s="388"/>
      <c r="O632" s="327"/>
      <c r="P632" s="327"/>
      <c r="Q632" s="327"/>
      <c r="R632" s="387"/>
      <c r="S632" s="388"/>
      <c r="T632" s="320"/>
      <c r="U632" s="320"/>
      <c r="V632" s="320"/>
      <c r="W632" s="387"/>
      <c r="X632" s="388"/>
      <c r="Y632" s="320"/>
      <c r="Z632" s="320"/>
      <c r="AA632" s="320"/>
      <c r="AB632" s="387"/>
    </row>
    <row r="633" spans="1:30" ht="18.75" customHeight="1" x14ac:dyDescent="0.2">
      <c r="A633" s="386"/>
      <c r="B633" s="139" t="s">
        <v>1321</v>
      </c>
      <c r="C633" s="387"/>
      <c r="D633" s="388"/>
      <c r="E633" s="320"/>
      <c r="F633" s="320"/>
      <c r="G633" s="320"/>
      <c r="H633" s="387"/>
      <c r="I633" s="388"/>
      <c r="J633" s="320"/>
      <c r="K633" s="320"/>
      <c r="L633" s="320"/>
      <c r="M633" s="387"/>
      <c r="N633" s="388"/>
      <c r="O633" s="327"/>
      <c r="P633" s="327"/>
      <c r="Q633" s="327"/>
      <c r="R633" s="387"/>
      <c r="S633" s="388"/>
      <c r="T633" s="320"/>
      <c r="U633" s="320"/>
      <c r="V633" s="320"/>
      <c r="W633" s="387"/>
      <c r="X633" s="388"/>
      <c r="Y633" s="320"/>
      <c r="Z633" s="320"/>
      <c r="AA633" s="320"/>
      <c r="AB633" s="387"/>
    </row>
    <row r="634" spans="1:30" ht="18.75" customHeight="1" x14ac:dyDescent="0.2">
      <c r="A634" s="156" t="s">
        <v>15</v>
      </c>
      <c r="B634" s="393" t="s">
        <v>468</v>
      </c>
      <c r="C634" s="394"/>
      <c r="D634" s="394"/>
      <c r="E634" s="394"/>
      <c r="F634" s="394"/>
      <c r="G634" s="394"/>
      <c r="H634" s="394"/>
      <c r="I634" s="394"/>
      <c r="J634" s="394"/>
      <c r="K634" s="394"/>
      <c r="L634" s="394"/>
      <c r="M634" s="394"/>
      <c r="N634" s="394"/>
      <c r="O634" s="394"/>
      <c r="P634" s="394"/>
      <c r="Q634" s="394"/>
      <c r="R634" s="394"/>
      <c r="S634" s="394"/>
      <c r="T634" s="394"/>
      <c r="U634" s="394"/>
      <c r="V634" s="394"/>
      <c r="W634" s="394"/>
      <c r="X634" s="394"/>
      <c r="Y634" s="394"/>
      <c r="Z634" s="394"/>
      <c r="AA634" s="394"/>
      <c r="AB634" s="394"/>
      <c r="AC634" s="41"/>
      <c r="AD634" s="41"/>
    </row>
    <row r="635" spans="1:30" ht="18" customHeight="1" x14ac:dyDescent="0.2">
      <c r="A635" s="309" t="s">
        <v>126</v>
      </c>
      <c r="B635" s="127" t="s">
        <v>47</v>
      </c>
      <c r="C635" s="326">
        <f>D635+E635+F635+G635</f>
        <v>27036</v>
      </c>
      <c r="D635" s="327">
        <v>27036</v>
      </c>
      <c r="E635" s="327">
        <v>0</v>
      </c>
      <c r="F635" s="327">
        <v>0</v>
      </c>
      <c r="G635" s="327">
        <v>0</v>
      </c>
      <c r="H635" s="326">
        <f>I635+J635+K635+L635</f>
        <v>35037</v>
      </c>
      <c r="I635" s="327">
        <f>34053+19+526+786-411-184+388-1-139</f>
        <v>35037</v>
      </c>
      <c r="J635" s="327">
        <v>0</v>
      </c>
      <c r="K635" s="327">
        <v>0</v>
      </c>
      <c r="L635" s="327">
        <v>0</v>
      </c>
      <c r="M635" s="326">
        <f>N635+O635+P635+Q635</f>
        <v>44468</v>
      </c>
      <c r="N635" s="327">
        <f>32839+12411+642-2-121+130-1431</f>
        <v>44468</v>
      </c>
      <c r="O635" s="327">
        <v>0</v>
      </c>
      <c r="P635" s="327">
        <v>0</v>
      </c>
      <c r="Q635" s="327">
        <v>0</v>
      </c>
      <c r="R635" s="326">
        <f>S635+T635+U635+V635</f>
        <v>71296</v>
      </c>
      <c r="S635" s="327">
        <f>32839+12529+26553+3858+17024-16499-607-170+379+462-5212-571+711</f>
        <v>71296</v>
      </c>
      <c r="T635" s="327">
        <v>0</v>
      </c>
      <c r="U635" s="327">
        <v>0</v>
      </c>
      <c r="V635" s="327">
        <v>0</v>
      </c>
      <c r="W635" s="326">
        <f>X635+Y635+Z635+AA635</f>
        <v>79400</v>
      </c>
      <c r="X635" s="327">
        <f>26539+300+18529+1768+18371+1516+7202+5175</f>
        <v>79400</v>
      </c>
      <c r="Y635" s="327">
        <v>0</v>
      </c>
      <c r="Z635" s="327">
        <v>0</v>
      </c>
      <c r="AA635" s="327">
        <v>0</v>
      </c>
      <c r="AB635" s="326">
        <f>C635+H635+M635+R635+W635</f>
        <v>257237</v>
      </c>
    </row>
    <row r="636" spans="1:30" ht="18" customHeight="1" x14ac:dyDescent="0.2">
      <c r="A636" s="156" t="s">
        <v>1331</v>
      </c>
      <c r="B636" s="393" t="s">
        <v>1345</v>
      </c>
      <c r="C636" s="394"/>
      <c r="D636" s="394"/>
      <c r="E636" s="394"/>
      <c r="F636" s="394"/>
      <c r="G636" s="394"/>
      <c r="H636" s="394"/>
      <c r="I636" s="394"/>
      <c r="J636" s="394"/>
      <c r="K636" s="394"/>
      <c r="L636" s="394"/>
      <c r="M636" s="394"/>
      <c r="N636" s="394"/>
      <c r="O636" s="394"/>
      <c r="P636" s="394"/>
      <c r="Q636" s="394"/>
      <c r="R636" s="394"/>
      <c r="S636" s="394"/>
      <c r="T636" s="394"/>
      <c r="U636" s="394"/>
      <c r="V636" s="394"/>
      <c r="W636" s="394"/>
      <c r="X636" s="394"/>
      <c r="Y636" s="394"/>
      <c r="Z636" s="394"/>
      <c r="AA636" s="394"/>
      <c r="AB636" s="394"/>
    </row>
    <row r="637" spans="1:30" ht="30" customHeight="1" x14ac:dyDescent="0.2">
      <c r="A637" s="323" t="s">
        <v>1332</v>
      </c>
      <c r="B637" s="50" t="s">
        <v>1340</v>
      </c>
      <c r="C637" s="326">
        <v>0</v>
      </c>
      <c r="D637" s="327">
        <v>0</v>
      </c>
      <c r="E637" s="327"/>
      <c r="F637" s="327"/>
      <c r="G637" s="327"/>
      <c r="H637" s="326">
        <v>0</v>
      </c>
      <c r="I637" s="327">
        <v>0</v>
      </c>
      <c r="J637" s="327"/>
      <c r="K637" s="327"/>
      <c r="L637" s="327"/>
      <c r="M637" s="326">
        <v>0</v>
      </c>
      <c r="N637" s="327">
        <v>0</v>
      </c>
      <c r="O637" s="327"/>
      <c r="P637" s="327"/>
      <c r="Q637" s="327"/>
      <c r="R637" s="326">
        <v>0</v>
      </c>
      <c r="S637" s="327">
        <v>0</v>
      </c>
      <c r="T637" s="327"/>
      <c r="U637" s="327"/>
      <c r="V637" s="327"/>
      <c r="W637" s="326">
        <v>0</v>
      </c>
      <c r="X637" s="327">
        <v>0</v>
      </c>
      <c r="Y637" s="327"/>
      <c r="Z637" s="327"/>
      <c r="AA637" s="327"/>
      <c r="AB637" s="326">
        <v>0</v>
      </c>
    </row>
    <row r="638" spans="1:30" ht="40.5" customHeight="1" x14ac:dyDescent="0.2">
      <c r="A638" s="323" t="s">
        <v>1333</v>
      </c>
      <c r="B638" s="50" t="s">
        <v>1368</v>
      </c>
      <c r="C638" s="326">
        <v>0</v>
      </c>
      <c r="D638" s="327">
        <v>0</v>
      </c>
      <c r="E638" s="327"/>
      <c r="F638" s="327"/>
      <c r="G638" s="327"/>
      <c r="H638" s="326">
        <v>0</v>
      </c>
      <c r="I638" s="327">
        <v>0</v>
      </c>
      <c r="J638" s="327"/>
      <c r="K638" s="327"/>
      <c r="L638" s="327"/>
      <c r="M638" s="326">
        <v>0</v>
      </c>
      <c r="N638" s="327">
        <v>0</v>
      </c>
      <c r="O638" s="327"/>
      <c r="P638" s="327"/>
      <c r="Q638" s="327"/>
      <c r="R638" s="326">
        <v>0</v>
      </c>
      <c r="S638" s="327">
        <v>0</v>
      </c>
      <c r="T638" s="327"/>
      <c r="U638" s="327"/>
      <c r="V638" s="327"/>
      <c r="W638" s="326">
        <v>0</v>
      </c>
      <c r="X638" s="327">
        <v>0</v>
      </c>
      <c r="Y638" s="327"/>
      <c r="Z638" s="327"/>
      <c r="AA638" s="327"/>
      <c r="AB638" s="326">
        <v>0</v>
      </c>
    </row>
    <row r="639" spans="1:30" ht="27.75" customHeight="1" x14ac:dyDescent="0.2">
      <c r="A639" s="323" t="s">
        <v>1334</v>
      </c>
      <c r="B639" s="50" t="s">
        <v>1339</v>
      </c>
      <c r="C639" s="326">
        <v>0</v>
      </c>
      <c r="D639" s="327">
        <v>0</v>
      </c>
      <c r="E639" s="327"/>
      <c r="F639" s="327"/>
      <c r="G639" s="327"/>
      <c r="H639" s="326">
        <v>0</v>
      </c>
      <c r="I639" s="327">
        <v>0</v>
      </c>
      <c r="J639" s="327"/>
      <c r="K639" s="327"/>
      <c r="L639" s="327"/>
      <c r="M639" s="326">
        <v>0</v>
      </c>
      <c r="N639" s="327">
        <v>0</v>
      </c>
      <c r="O639" s="327"/>
      <c r="P639" s="327"/>
      <c r="Q639" s="327"/>
      <c r="R639" s="326">
        <v>0</v>
      </c>
      <c r="S639" s="327">
        <v>0</v>
      </c>
      <c r="T639" s="327"/>
      <c r="U639" s="327"/>
      <c r="V639" s="327"/>
      <c r="W639" s="326">
        <v>0</v>
      </c>
      <c r="X639" s="327">
        <v>0</v>
      </c>
      <c r="Y639" s="327"/>
      <c r="Z639" s="327"/>
      <c r="AA639" s="327"/>
      <c r="AB639" s="326">
        <v>0</v>
      </c>
    </row>
    <row r="640" spans="1:30" ht="19.5" customHeight="1" x14ac:dyDescent="0.2">
      <c r="A640" s="323" t="s">
        <v>1335</v>
      </c>
      <c r="B640" s="50" t="s">
        <v>1344</v>
      </c>
      <c r="C640" s="326">
        <v>0</v>
      </c>
      <c r="D640" s="327">
        <v>0</v>
      </c>
      <c r="E640" s="327"/>
      <c r="F640" s="327"/>
      <c r="G640" s="327"/>
      <c r="H640" s="326">
        <v>0</v>
      </c>
      <c r="I640" s="327">
        <v>0</v>
      </c>
      <c r="J640" s="327"/>
      <c r="K640" s="327"/>
      <c r="L640" s="327"/>
      <c r="M640" s="326">
        <v>0</v>
      </c>
      <c r="N640" s="327">
        <v>0</v>
      </c>
      <c r="O640" s="327"/>
      <c r="P640" s="327"/>
      <c r="Q640" s="327"/>
      <c r="R640" s="326">
        <v>0</v>
      </c>
      <c r="S640" s="327">
        <v>0</v>
      </c>
      <c r="T640" s="327"/>
      <c r="U640" s="327"/>
      <c r="V640" s="327"/>
      <c r="W640" s="326">
        <v>0</v>
      </c>
      <c r="X640" s="327">
        <v>0</v>
      </c>
      <c r="Y640" s="327"/>
      <c r="Z640" s="327"/>
      <c r="AA640" s="327"/>
      <c r="AB640" s="326">
        <v>0</v>
      </c>
    </row>
    <row r="641" spans="1:29" ht="18" customHeight="1" x14ac:dyDescent="0.2">
      <c r="A641" s="323" t="s">
        <v>1336</v>
      </c>
      <c r="B641" s="50" t="s">
        <v>1349</v>
      </c>
      <c r="C641" s="326">
        <v>0</v>
      </c>
      <c r="D641" s="327">
        <v>0</v>
      </c>
      <c r="E641" s="327"/>
      <c r="F641" s="327"/>
      <c r="G641" s="327"/>
      <c r="H641" s="326">
        <v>0</v>
      </c>
      <c r="I641" s="327">
        <v>0</v>
      </c>
      <c r="J641" s="327"/>
      <c r="K641" s="327"/>
      <c r="L641" s="327"/>
      <c r="M641" s="326">
        <v>0</v>
      </c>
      <c r="N641" s="327">
        <v>0</v>
      </c>
      <c r="O641" s="327"/>
      <c r="P641" s="327"/>
      <c r="Q641" s="327"/>
      <c r="R641" s="326">
        <v>0</v>
      </c>
      <c r="S641" s="327">
        <v>0</v>
      </c>
      <c r="T641" s="327"/>
      <c r="U641" s="327"/>
      <c r="V641" s="327"/>
      <c r="W641" s="326">
        <v>0</v>
      </c>
      <c r="X641" s="327">
        <v>0</v>
      </c>
      <c r="Y641" s="327"/>
      <c r="Z641" s="327"/>
      <c r="AA641" s="327"/>
      <c r="AB641" s="326">
        <v>0</v>
      </c>
    </row>
    <row r="642" spans="1:29" ht="18" customHeight="1" x14ac:dyDescent="0.2">
      <c r="A642" s="323" t="s">
        <v>1337</v>
      </c>
      <c r="B642" s="50" t="s">
        <v>1351</v>
      </c>
      <c r="C642" s="326">
        <v>0</v>
      </c>
      <c r="D642" s="327">
        <v>0</v>
      </c>
      <c r="E642" s="327"/>
      <c r="F642" s="327"/>
      <c r="G642" s="327"/>
      <c r="H642" s="326">
        <v>0</v>
      </c>
      <c r="I642" s="327">
        <v>0</v>
      </c>
      <c r="J642" s="327"/>
      <c r="K642" s="327"/>
      <c r="L642" s="327"/>
      <c r="M642" s="326">
        <v>0</v>
      </c>
      <c r="N642" s="327">
        <v>0</v>
      </c>
      <c r="O642" s="327"/>
      <c r="P642" s="327"/>
      <c r="Q642" s="327"/>
      <c r="R642" s="326">
        <v>0</v>
      </c>
      <c r="S642" s="327">
        <v>0</v>
      </c>
      <c r="T642" s="327"/>
      <c r="U642" s="327"/>
      <c r="V642" s="327"/>
      <c r="W642" s="326">
        <v>0</v>
      </c>
      <c r="X642" s="327">
        <v>0</v>
      </c>
      <c r="Y642" s="327"/>
      <c r="Z642" s="327"/>
      <c r="AA642" s="327"/>
      <c r="AB642" s="326">
        <v>0</v>
      </c>
    </row>
    <row r="643" spans="1:29" ht="18" customHeight="1" x14ac:dyDescent="0.2">
      <c r="A643" s="323" t="s">
        <v>1353</v>
      </c>
      <c r="B643" s="50" t="s">
        <v>1357</v>
      </c>
      <c r="C643" s="326">
        <v>0</v>
      </c>
      <c r="D643" s="327">
        <v>0</v>
      </c>
      <c r="E643" s="327"/>
      <c r="F643" s="327"/>
      <c r="G643" s="327"/>
      <c r="H643" s="326">
        <v>0</v>
      </c>
      <c r="I643" s="327">
        <v>0</v>
      </c>
      <c r="J643" s="327"/>
      <c r="K643" s="327"/>
      <c r="L643" s="327"/>
      <c r="M643" s="326">
        <v>0</v>
      </c>
      <c r="N643" s="327">
        <v>0</v>
      </c>
      <c r="O643" s="327"/>
      <c r="P643" s="327"/>
      <c r="Q643" s="327"/>
      <c r="R643" s="326">
        <v>0</v>
      </c>
      <c r="S643" s="327">
        <v>0</v>
      </c>
      <c r="T643" s="327"/>
      <c r="U643" s="327"/>
      <c r="V643" s="327"/>
      <c r="W643" s="326">
        <v>0</v>
      </c>
      <c r="X643" s="327">
        <v>0</v>
      </c>
      <c r="Y643" s="327"/>
      <c r="Z643" s="327"/>
      <c r="AA643" s="327"/>
      <c r="AB643" s="326">
        <v>0</v>
      </c>
    </row>
    <row r="644" spans="1:29" ht="18" customHeight="1" x14ac:dyDescent="0.2">
      <c r="A644" s="323" t="s">
        <v>1354</v>
      </c>
      <c r="B644" s="50" t="s">
        <v>1429</v>
      </c>
      <c r="C644" s="326">
        <v>0</v>
      </c>
      <c r="D644" s="327">
        <v>0</v>
      </c>
      <c r="E644" s="327"/>
      <c r="F644" s="327"/>
      <c r="G644" s="327"/>
      <c r="H644" s="326">
        <v>0</v>
      </c>
      <c r="I644" s="327">
        <v>0</v>
      </c>
      <c r="J644" s="327"/>
      <c r="K644" s="327"/>
      <c r="L644" s="327"/>
      <c r="M644" s="326">
        <v>0</v>
      </c>
      <c r="N644" s="327">
        <v>0</v>
      </c>
      <c r="O644" s="327"/>
      <c r="P644" s="327"/>
      <c r="Q644" s="327"/>
      <c r="R644" s="326">
        <v>0</v>
      </c>
      <c r="S644" s="327">
        <v>0</v>
      </c>
      <c r="T644" s="327"/>
      <c r="U644" s="327"/>
      <c r="V644" s="327"/>
      <c r="W644" s="326">
        <v>0</v>
      </c>
      <c r="X644" s="327">
        <v>0</v>
      </c>
      <c r="Y644" s="327"/>
      <c r="Z644" s="327"/>
      <c r="AA644" s="327"/>
      <c r="AB644" s="326">
        <v>0</v>
      </c>
    </row>
    <row r="645" spans="1:29" ht="18" customHeight="1" x14ac:dyDescent="0.2">
      <c r="A645" s="391" t="s">
        <v>561</v>
      </c>
      <c r="B645" s="396"/>
      <c r="C645" s="327">
        <f>C647</f>
        <v>173012</v>
      </c>
      <c r="D645" s="327">
        <f>D647</f>
        <v>173012</v>
      </c>
      <c r="E645" s="327">
        <v>0</v>
      </c>
      <c r="F645" s="327">
        <v>0</v>
      </c>
      <c r="G645" s="327">
        <v>0</v>
      </c>
      <c r="H645" s="326">
        <f>H647</f>
        <v>103854</v>
      </c>
      <c r="I645" s="326">
        <f>I647</f>
        <v>103854</v>
      </c>
      <c r="J645" s="327">
        <v>0</v>
      </c>
      <c r="K645" s="327">
        <v>0</v>
      </c>
      <c r="L645" s="327"/>
      <c r="M645" s="326">
        <f>M647-M646</f>
        <v>126062</v>
      </c>
      <c r="N645" s="327">
        <f>N647-N646</f>
        <v>126062</v>
      </c>
      <c r="O645" s="327"/>
      <c r="P645" s="327"/>
      <c r="Q645" s="327"/>
      <c r="R645" s="326">
        <f>SUM(R10:R635)</f>
        <v>208932</v>
      </c>
      <c r="S645" s="327">
        <f>S10+S33+S47+S136+S154+S194+S195+S222+S223+S226+S227+S237+S523+S540+S551+S554+S562+S563+S564+S565+S591+S596+S610+S635</f>
        <v>208932</v>
      </c>
      <c r="T645" s="327"/>
      <c r="U645" s="327"/>
      <c r="V645" s="327"/>
      <c r="W645" s="326">
        <f>SUM(W10:W635)</f>
        <v>235737</v>
      </c>
      <c r="X645" s="327">
        <f>X10+X33+X47+X136+X154+X195+X222+X223+X226+X237+X523+X540+X551+X554+X562+X563+X564+X565+X591+X596+X610+X635</f>
        <v>235737</v>
      </c>
      <c r="Y645" s="327"/>
      <c r="Z645" s="327"/>
      <c r="AA645" s="327"/>
      <c r="AB645" s="326">
        <f>AB647-AB646</f>
        <v>847597</v>
      </c>
    </row>
    <row r="646" spans="1:29" ht="18" customHeight="1" x14ac:dyDescent="0.2">
      <c r="A646" s="397" t="s">
        <v>370</v>
      </c>
      <c r="B646" s="398"/>
      <c r="C646" s="327">
        <f>C648</f>
        <v>0</v>
      </c>
      <c r="D646" s="327">
        <v>0</v>
      </c>
      <c r="E646" s="327">
        <v>0</v>
      </c>
      <c r="F646" s="327">
        <v>0</v>
      </c>
      <c r="G646" s="327">
        <v>0</v>
      </c>
      <c r="H646" s="326">
        <f>H648</f>
        <v>0</v>
      </c>
      <c r="I646" s="327">
        <v>0</v>
      </c>
      <c r="J646" s="327">
        <v>0</v>
      </c>
      <c r="K646" s="327">
        <v>0</v>
      </c>
      <c r="L646" s="327"/>
      <c r="M646" s="326">
        <f>M194</f>
        <v>3417</v>
      </c>
      <c r="N646" s="327">
        <f>N194</f>
        <v>3417</v>
      </c>
      <c r="O646" s="327"/>
      <c r="P646" s="327"/>
      <c r="Q646" s="327"/>
      <c r="R646" s="326">
        <v>0</v>
      </c>
      <c r="S646" s="327">
        <v>0</v>
      </c>
      <c r="T646" s="327"/>
      <c r="U646" s="327"/>
      <c r="V646" s="327"/>
      <c r="W646" s="326">
        <v>0</v>
      </c>
      <c r="X646" s="327">
        <v>0</v>
      </c>
      <c r="Y646" s="327"/>
      <c r="Z646" s="327"/>
      <c r="AA646" s="327"/>
      <c r="AB646" s="326">
        <f>C646+H646+M646+R646+W646</f>
        <v>3417</v>
      </c>
    </row>
    <row r="647" spans="1:29" s="43" customFormat="1" ht="42" customHeight="1" x14ac:dyDescent="0.2">
      <c r="A647" s="391" t="s">
        <v>562</v>
      </c>
      <c r="B647" s="392"/>
      <c r="C647" s="157">
        <f t="shared" ref="C647:AA647" si="1">SUM(C10:C635)</f>
        <v>173012</v>
      </c>
      <c r="D647" s="157">
        <f t="shared" si="1"/>
        <v>173012</v>
      </c>
      <c r="E647" s="158">
        <f t="shared" si="1"/>
        <v>0</v>
      </c>
      <c r="F647" s="158">
        <f t="shared" si="1"/>
        <v>0</v>
      </c>
      <c r="G647" s="158">
        <f t="shared" si="1"/>
        <v>0</v>
      </c>
      <c r="H647" s="157">
        <f t="shared" si="1"/>
        <v>103854</v>
      </c>
      <c r="I647" s="158">
        <f t="shared" si="1"/>
        <v>103854</v>
      </c>
      <c r="J647" s="158">
        <f t="shared" si="1"/>
        <v>0</v>
      </c>
      <c r="K647" s="158">
        <f t="shared" si="1"/>
        <v>0</v>
      </c>
      <c r="L647" s="157">
        <f t="shared" si="1"/>
        <v>0</v>
      </c>
      <c r="M647" s="157">
        <f>SUM(M10:M635)</f>
        <v>129479</v>
      </c>
      <c r="N647" s="158">
        <f>SUM(N10:N635)</f>
        <v>129479</v>
      </c>
      <c r="O647" s="157">
        <f t="shared" si="1"/>
        <v>0</v>
      </c>
      <c r="P647" s="157">
        <f t="shared" si="1"/>
        <v>0</v>
      </c>
      <c r="Q647" s="157">
        <f t="shared" si="1"/>
        <v>0</v>
      </c>
      <c r="R647" s="157">
        <f t="shared" si="1"/>
        <v>208932</v>
      </c>
      <c r="S647" s="158">
        <f>S645+S646</f>
        <v>208932</v>
      </c>
      <c r="T647" s="157">
        <f t="shared" si="1"/>
        <v>0</v>
      </c>
      <c r="U647" s="157">
        <f t="shared" si="1"/>
        <v>0</v>
      </c>
      <c r="V647" s="157">
        <f t="shared" si="1"/>
        <v>0</v>
      </c>
      <c r="W647" s="157">
        <f>SUM(W10:W635)</f>
        <v>235737</v>
      </c>
      <c r="X647" s="158">
        <f>X10+X33+X47+X136+X154+X195+X222+X223+X226+X237+X523+X540+X551+X554+X562+X563+X564+X565+X591+X596+X610+X635</f>
        <v>235737</v>
      </c>
      <c r="Y647" s="157">
        <f t="shared" si="1"/>
        <v>0</v>
      </c>
      <c r="Z647" s="157">
        <f t="shared" si="1"/>
        <v>0</v>
      </c>
      <c r="AA647" s="157">
        <f t="shared" si="1"/>
        <v>0</v>
      </c>
      <c r="AB647" s="157">
        <f>SUM(AB10:AB635)</f>
        <v>851014</v>
      </c>
      <c r="AC647" s="42"/>
    </row>
    <row r="648" spans="1:29" ht="16.149999999999999" customHeight="1" x14ac:dyDescent="0.2">
      <c r="A648" s="35"/>
      <c r="B648" s="44"/>
    </row>
    <row r="649" spans="1:29" ht="42" customHeight="1" x14ac:dyDescent="0.2">
      <c r="A649" s="35"/>
      <c r="B649" s="44"/>
      <c r="D649" s="47"/>
      <c r="E649" s="47"/>
      <c r="F649" s="47"/>
      <c r="G649" s="47"/>
      <c r="H649" s="48"/>
      <c r="I649" s="47"/>
    </row>
    <row r="650" spans="1:29" ht="42" customHeight="1" x14ac:dyDescent="0.2">
      <c r="A650" s="35"/>
      <c r="B650" s="44"/>
    </row>
    <row r="651" spans="1:29" ht="42" customHeight="1" x14ac:dyDescent="0.2">
      <c r="A651" s="35"/>
      <c r="B651" s="44"/>
    </row>
    <row r="652" spans="1:29" ht="42" customHeight="1" x14ac:dyDescent="0.2">
      <c r="A652" s="35"/>
      <c r="B652" s="44"/>
    </row>
    <row r="653" spans="1:29" ht="42" customHeight="1" x14ac:dyDescent="0.2">
      <c r="A653" s="35"/>
      <c r="B653" s="44"/>
    </row>
    <row r="654" spans="1:29" ht="42" customHeight="1" x14ac:dyDescent="0.2">
      <c r="A654" s="35"/>
      <c r="B654" s="44"/>
    </row>
    <row r="655" spans="1:29" ht="42" customHeight="1" x14ac:dyDescent="0.2">
      <c r="A655" s="35"/>
      <c r="B655" s="44"/>
    </row>
    <row r="656" spans="1:29" ht="42" customHeight="1" x14ac:dyDescent="0.2">
      <c r="A656" s="35"/>
      <c r="B656" s="44"/>
    </row>
    <row r="657" spans="1:28" ht="42" customHeight="1" x14ac:dyDescent="0.2">
      <c r="A657" s="35"/>
      <c r="B657" s="44"/>
      <c r="C657" s="28"/>
      <c r="H657" s="28"/>
      <c r="M657" s="28"/>
      <c r="R657" s="28"/>
      <c r="W657" s="28"/>
      <c r="AB657" s="28"/>
    </row>
    <row r="658" spans="1:28" ht="42" customHeight="1" x14ac:dyDescent="0.2">
      <c r="A658" s="35"/>
      <c r="B658" s="44"/>
      <c r="C658" s="28"/>
      <c r="H658" s="28"/>
      <c r="M658" s="28"/>
      <c r="R658" s="28"/>
      <c r="W658" s="28"/>
      <c r="AB658" s="28"/>
    </row>
    <row r="659" spans="1:28" ht="42" customHeight="1" x14ac:dyDescent="0.2">
      <c r="A659" s="35"/>
      <c r="B659" s="44"/>
      <c r="C659" s="28"/>
      <c r="H659" s="28"/>
      <c r="M659" s="28"/>
      <c r="R659" s="28"/>
      <c r="W659" s="28"/>
      <c r="AB659" s="28"/>
    </row>
    <row r="660" spans="1:28" ht="42" customHeight="1" x14ac:dyDescent="0.2">
      <c r="A660" s="35"/>
      <c r="B660" s="44"/>
      <c r="C660" s="28"/>
      <c r="H660" s="28"/>
      <c r="M660" s="28"/>
      <c r="R660" s="28"/>
      <c r="W660" s="28"/>
      <c r="AB660" s="28"/>
    </row>
    <row r="661" spans="1:28" ht="42" customHeight="1" x14ac:dyDescent="0.2">
      <c r="A661" s="35"/>
      <c r="B661" s="44"/>
      <c r="C661" s="28"/>
      <c r="H661" s="28"/>
      <c r="M661" s="28"/>
      <c r="R661" s="28"/>
      <c r="W661" s="28"/>
      <c r="AB661" s="28"/>
    </row>
    <row r="662" spans="1:28" ht="42" customHeight="1" x14ac:dyDescent="0.2">
      <c r="A662" s="35"/>
      <c r="B662" s="44"/>
      <c r="C662" s="28"/>
      <c r="H662" s="28"/>
      <c r="M662" s="28"/>
      <c r="R662" s="28"/>
      <c r="W662" s="28"/>
      <c r="AB662" s="28"/>
    </row>
    <row r="663" spans="1:28" ht="42" customHeight="1" x14ac:dyDescent="0.2">
      <c r="A663" s="35"/>
      <c r="B663" s="44"/>
      <c r="C663" s="28"/>
      <c r="H663" s="28"/>
      <c r="M663" s="28"/>
      <c r="R663" s="28"/>
      <c r="W663" s="28"/>
      <c r="AB663" s="28"/>
    </row>
    <row r="664" spans="1:28" ht="42" customHeight="1" x14ac:dyDescent="0.2">
      <c r="A664" s="35"/>
      <c r="B664" s="44"/>
      <c r="C664" s="28"/>
      <c r="H664" s="28"/>
      <c r="M664" s="28"/>
      <c r="R664" s="28"/>
      <c r="W664" s="28"/>
      <c r="AB664" s="28"/>
    </row>
    <row r="665" spans="1:28" ht="42" customHeight="1" x14ac:dyDescent="0.2">
      <c r="A665" s="35"/>
      <c r="B665" s="44"/>
      <c r="C665" s="28"/>
      <c r="H665" s="28"/>
      <c r="M665" s="28"/>
      <c r="R665" s="28"/>
      <c r="W665" s="28"/>
      <c r="AB665" s="28"/>
    </row>
    <row r="666" spans="1:28" ht="42" customHeight="1" x14ac:dyDescent="0.2">
      <c r="A666" s="35"/>
      <c r="B666" s="44"/>
      <c r="C666" s="28"/>
      <c r="H666" s="28"/>
      <c r="M666" s="28"/>
      <c r="R666" s="28"/>
      <c r="W666" s="28"/>
      <c r="AB666" s="28"/>
    </row>
    <row r="667" spans="1:28" ht="42" customHeight="1" x14ac:dyDescent="0.2">
      <c r="A667" s="35"/>
      <c r="B667" s="44"/>
      <c r="C667" s="28"/>
      <c r="H667" s="28"/>
      <c r="M667" s="28"/>
      <c r="R667" s="28"/>
      <c r="W667" s="28"/>
      <c r="AB667" s="28"/>
    </row>
    <row r="668" spans="1:28" ht="42" customHeight="1" x14ac:dyDescent="0.2">
      <c r="A668" s="35"/>
      <c r="B668" s="44"/>
      <c r="C668" s="28"/>
      <c r="H668" s="28"/>
      <c r="M668" s="28"/>
      <c r="R668" s="28"/>
      <c r="W668" s="28"/>
      <c r="AB668" s="28"/>
    </row>
    <row r="669" spans="1:28" ht="42" customHeight="1" x14ac:dyDescent="0.2">
      <c r="A669" s="35"/>
      <c r="B669" s="44"/>
      <c r="C669" s="28"/>
      <c r="H669" s="28"/>
      <c r="M669" s="28"/>
      <c r="R669" s="28"/>
      <c r="W669" s="28"/>
      <c r="AB669" s="28"/>
    </row>
    <row r="670" spans="1:28" ht="42" customHeight="1" x14ac:dyDescent="0.2">
      <c r="A670" s="35"/>
      <c r="B670" s="44"/>
      <c r="C670" s="28"/>
      <c r="H670" s="28"/>
      <c r="M670" s="28"/>
      <c r="R670" s="28"/>
      <c r="W670" s="28"/>
      <c r="AB670" s="28"/>
    </row>
    <row r="671" spans="1:28" ht="42" customHeight="1" x14ac:dyDescent="0.2">
      <c r="A671" s="35"/>
      <c r="B671" s="44"/>
      <c r="C671" s="28"/>
      <c r="H671" s="28"/>
      <c r="M671" s="28"/>
      <c r="R671" s="28"/>
      <c r="W671" s="28"/>
      <c r="AB671" s="28"/>
    </row>
    <row r="672" spans="1:28" ht="42" customHeight="1" x14ac:dyDescent="0.2">
      <c r="A672" s="35"/>
      <c r="B672" s="44"/>
      <c r="C672" s="28"/>
      <c r="H672" s="28"/>
      <c r="M672" s="28"/>
      <c r="R672" s="28"/>
      <c r="W672" s="28"/>
      <c r="AB672" s="28"/>
    </row>
    <row r="673" spans="1:28" ht="42" customHeight="1" x14ac:dyDescent="0.2">
      <c r="A673" s="35"/>
      <c r="B673" s="44"/>
      <c r="C673" s="28"/>
      <c r="H673" s="28"/>
      <c r="M673" s="28"/>
      <c r="R673" s="28"/>
      <c r="W673" s="28"/>
      <c r="AB673" s="28"/>
    </row>
    <row r="674" spans="1:28" ht="42" customHeight="1" x14ac:dyDescent="0.2">
      <c r="A674" s="35"/>
      <c r="B674" s="44"/>
      <c r="C674" s="28"/>
      <c r="H674" s="28"/>
      <c r="M674" s="28"/>
      <c r="R674" s="28"/>
      <c r="W674" s="28"/>
      <c r="AB674" s="28"/>
    </row>
    <row r="675" spans="1:28" ht="42" customHeight="1" x14ac:dyDescent="0.2">
      <c r="A675" s="35"/>
      <c r="B675" s="44"/>
      <c r="C675" s="28"/>
      <c r="H675" s="28"/>
      <c r="M675" s="28"/>
      <c r="R675" s="28"/>
      <c r="W675" s="28"/>
      <c r="AB675" s="28"/>
    </row>
    <row r="676" spans="1:28" ht="42" customHeight="1" x14ac:dyDescent="0.2">
      <c r="A676" s="35"/>
      <c r="B676" s="44"/>
      <c r="C676" s="28"/>
      <c r="H676" s="28"/>
      <c r="M676" s="28"/>
      <c r="R676" s="28"/>
      <c r="W676" s="28"/>
      <c r="AB676" s="28"/>
    </row>
    <row r="677" spans="1:28" ht="42" customHeight="1" x14ac:dyDescent="0.2">
      <c r="A677" s="35"/>
      <c r="B677" s="44"/>
      <c r="C677" s="28"/>
      <c r="H677" s="28"/>
      <c r="M677" s="28"/>
      <c r="R677" s="28"/>
      <c r="W677" s="28"/>
      <c r="AB677" s="28"/>
    </row>
    <row r="678" spans="1:28" ht="42" customHeight="1" x14ac:dyDescent="0.2">
      <c r="A678" s="35"/>
      <c r="B678" s="44"/>
      <c r="C678" s="28"/>
      <c r="H678" s="28"/>
      <c r="M678" s="28"/>
      <c r="R678" s="28"/>
      <c r="W678" s="28"/>
      <c r="AB678" s="28"/>
    </row>
    <row r="679" spans="1:28" ht="42" customHeight="1" x14ac:dyDescent="0.2">
      <c r="A679" s="35"/>
      <c r="B679" s="44"/>
      <c r="C679" s="28"/>
      <c r="H679" s="28"/>
      <c r="M679" s="28"/>
      <c r="R679" s="28"/>
      <c r="W679" s="28"/>
      <c r="AB679" s="28"/>
    </row>
    <row r="680" spans="1:28" ht="42" customHeight="1" x14ac:dyDescent="0.2">
      <c r="A680" s="35"/>
      <c r="B680" s="44"/>
      <c r="C680" s="28"/>
      <c r="H680" s="28"/>
      <c r="M680" s="28"/>
      <c r="R680" s="28"/>
      <c r="W680" s="28"/>
      <c r="AB680" s="28"/>
    </row>
    <row r="681" spans="1:28" ht="42" customHeight="1" x14ac:dyDescent="0.2">
      <c r="A681" s="35"/>
      <c r="B681" s="44"/>
      <c r="C681" s="28"/>
      <c r="H681" s="28"/>
      <c r="M681" s="28"/>
      <c r="R681" s="28"/>
      <c r="W681" s="28"/>
      <c r="AB681" s="28"/>
    </row>
    <row r="682" spans="1:28" ht="42" customHeight="1" x14ac:dyDescent="0.2">
      <c r="A682" s="35"/>
      <c r="B682" s="44"/>
      <c r="C682" s="28"/>
      <c r="H682" s="28"/>
      <c r="M682" s="28"/>
      <c r="R682" s="28"/>
      <c r="W682" s="28"/>
      <c r="AB682" s="28"/>
    </row>
    <row r="683" spans="1:28" ht="42" customHeight="1" x14ac:dyDescent="0.2">
      <c r="A683" s="35"/>
      <c r="B683" s="44"/>
      <c r="C683" s="28"/>
      <c r="H683" s="28"/>
      <c r="M683" s="28"/>
      <c r="R683" s="28"/>
      <c r="W683" s="28"/>
      <c r="AB683" s="28"/>
    </row>
    <row r="684" spans="1:28" ht="42" customHeight="1" x14ac:dyDescent="0.2">
      <c r="A684" s="35"/>
      <c r="B684" s="44"/>
      <c r="C684" s="28"/>
      <c r="H684" s="28"/>
      <c r="M684" s="28"/>
      <c r="R684" s="28"/>
      <c r="W684" s="28"/>
      <c r="AB684" s="28"/>
    </row>
    <row r="685" spans="1:28" ht="42" customHeight="1" x14ac:dyDescent="0.2">
      <c r="A685" s="35"/>
      <c r="B685" s="44"/>
      <c r="C685" s="28"/>
      <c r="H685" s="28"/>
      <c r="M685" s="28"/>
      <c r="R685" s="28"/>
      <c r="W685" s="28"/>
      <c r="AB685" s="28"/>
    </row>
    <row r="686" spans="1:28" ht="42" customHeight="1" x14ac:dyDescent="0.2">
      <c r="A686" s="35"/>
      <c r="B686" s="44"/>
      <c r="C686" s="28"/>
      <c r="H686" s="28"/>
      <c r="M686" s="28"/>
      <c r="R686" s="28"/>
      <c r="W686" s="28"/>
      <c r="AB686" s="28"/>
    </row>
    <row r="687" spans="1:28" ht="42" customHeight="1" x14ac:dyDescent="0.2">
      <c r="A687" s="35"/>
      <c r="B687" s="44"/>
      <c r="C687" s="28"/>
      <c r="H687" s="28"/>
      <c r="M687" s="28"/>
      <c r="R687" s="28"/>
      <c r="W687" s="28"/>
      <c r="AB687" s="28"/>
    </row>
    <row r="688" spans="1:28" ht="42" customHeight="1" x14ac:dyDescent="0.2">
      <c r="A688" s="35"/>
      <c r="B688" s="44"/>
      <c r="C688" s="28"/>
      <c r="H688" s="28"/>
      <c r="M688" s="28"/>
      <c r="R688" s="28"/>
      <c r="W688" s="28"/>
      <c r="AB688" s="28"/>
    </row>
    <row r="689" spans="1:28" ht="42" customHeight="1" x14ac:dyDescent="0.2">
      <c r="A689" s="35"/>
      <c r="B689" s="44"/>
      <c r="C689" s="28"/>
      <c r="H689" s="28"/>
      <c r="M689" s="28"/>
      <c r="R689" s="28"/>
      <c r="W689" s="28"/>
      <c r="AB689" s="28"/>
    </row>
    <row r="690" spans="1:28" ht="42" customHeight="1" x14ac:dyDescent="0.2">
      <c r="A690" s="35"/>
      <c r="B690" s="44"/>
      <c r="C690" s="28"/>
      <c r="H690" s="28"/>
      <c r="M690" s="28"/>
      <c r="R690" s="28"/>
      <c r="W690" s="28"/>
      <c r="AB690" s="28"/>
    </row>
    <row r="691" spans="1:28" ht="42" customHeight="1" x14ac:dyDescent="0.2">
      <c r="A691" s="35"/>
      <c r="B691" s="44"/>
      <c r="C691" s="28"/>
      <c r="H691" s="28"/>
      <c r="M691" s="28"/>
      <c r="R691" s="28"/>
      <c r="W691" s="28"/>
      <c r="AB691" s="28"/>
    </row>
    <row r="692" spans="1:28" ht="42" customHeight="1" x14ac:dyDescent="0.2">
      <c r="A692" s="35"/>
      <c r="B692" s="44"/>
      <c r="C692" s="28"/>
      <c r="H692" s="28"/>
      <c r="M692" s="28"/>
      <c r="R692" s="28"/>
      <c r="W692" s="28"/>
      <c r="AB692" s="28"/>
    </row>
    <row r="693" spans="1:28" ht="42" customHeight="1" x14ac:dyDescent="0.2">
      <c r="A693" s="35"/>
      <c r="B693" s="44"/>
      <c r="C693" s="28"/>
      <c r="H693" s="28"/>
      <c r="M693" s="28"/>
      <c r="R693" s="28"/>
      <c r="W693" s="28"/>
      <c r="AB693" s="28"/>
    </row>
    <row r="694" spans="1:28" ht="42" customHeight="1" x14ac:dyDescent="0.2">
      <c r="A694" s="35"/>
      <c r="B694" s="44"/>
      <c r="C694" s="28"/>
      <c r="H694" s="28"/>
      <c r="M694" s="28"/>
      <c r="R694" s="28"/>
      <c r="W694" s="28"/>
      <c r="AB694" s="28"/>
    </row>
    <row r="695" spans="1:28" ht="42" customHeight="1" x14ac:dyDescent="0.2">
      <c r="A695" s="35"/>
      <c r="B695" s="44"/>
      <c r="C695" s="28"/>
      <c r="H695" s="28"/>
      <c r="M695" s="28"/>
      <c r="R695" s="28"/>
      <c r="W695" s="28"/>
      <c r="AB695" s="28"/>
    </row>
    <row r="696" spans="1:28" ht="42" customHeight="1" x14ac:dyDescent="0.2">
      <c r="A696" s="35"/>
      <c r="B696" s="44"/>
      <c r="C696" s="28"/>
      <c r="H696" s="28"/>
      <c r="M696" s="28"/>
      <c r="R696" s="28"/>
      <c r="W696" s="28"/>
      <c r="AB696" s="28"/>
    </row>
    <row r="697" spans="1:28" ht="42" customHeight="1" x14ac:dyDescent="0.2">
      <c r="A697" s="35"/>
      <c r="B697" s="44"/>
      <c r="C697" s="28"/>
      <c r="H697" s="28"/>
      <c r="M697" s="28"/>
      <c r="R697" s="28"/>
      <c r="W697" s="28"/>
      <c r="AB697" s="28"/>
    </row>
    <row r="698" spans="1:28" ht="42" customHeight="1" x14ac:dyDescent="0.2">
      <c r="A698" s="35"/>
      <c r="B698" s="44"/>
      <c r="C698" s="28"/>
      <c r="H698" s="28"/>
      <c r="M698" s="28"/>
      <c r="R698" s="28"/>
      <c r="W698" s="28"/>
      <c r="AB698" s="28"/>
    </row>
    <row r="699" spans="1:28" ht="42" customHeight="1" x14ac:dyDescent="0.2">
      <c r="A699" s="35"/>
      <c r="B699" s="44"/>
      <c r="C699" s="28"/>
      <c r="H699" s="28"/>
      <c r="M699" s="28"/>
      <c r="R699" s="28"/>
      <c r="W699" s="28"/>
      <c r="AB699" s="28"/>
    </row>
    <row r="700" spans="1:28" ht="42" customHeight="1" x14ac:dyDescent="0.2">
      <c r="A700" s="35"/>
      <c r="B700" s="44"/>
      <c r="C700" s="28"/>
      <c r="H700" s="28"/>
      <c r="M700" s="28"/>
      <c r="R700" s="28"/>
      <c r="W700" s="28"/>
      <c r="AB700" s="28"/>
    </row>
    <row r="701" spans="1:28" ht="42" customHeight="1" x14ac:dyDescent="0.2">
      <c r="A701" s="35"/>
      <c r="B701" s="44"/>
      <c r="C701" s="28"/>
      <c r="H701" s="28"/>
      <c r="M701" s="28"/>
      <c r="R701" s="28"/>
      <c r="W701" s="28"/>
      <c r="AB701" s="28"/>
    </row>
    <row r="702" spans="1:28" ht="42" customHeight="1" x14ac:dyDescent="0.2">
      <c r="A702" s="35"/>
      <c r="B702" s="44"/>
      <c r="C702" s="28"/>
      <c r="H702" s="28"/>
      <c r="M702" s="28"/>
      <c r="R702" s="28"/>
      <c r="W702" s="28"/>
      <c r="AB702" s="28"/>
    </row>
    <row r="703" spans="1:28" ht="42" customHeight="1" x14ac:dyDescent="0.2">
      <c r="A703" s="35"/>
      <c r="B703" s="44"/>
      <c r="C703" s="28"/>
      <c r="H703" s="28"/>
      <c r="M703" s="28"/>
      <c r="R703" s="28"/>
      <c r="W703" s="28"/>
      <c r="AB703" s="28"/>
    </row>
    <row r="704" spans="1:28" ht="42" customHeight="1" x14ac:dyDescent="0.2">
      <c r="A704" s="35"/>
      <c r="B704" s="44"/>
      <c r="C704" s="28"/>
      <c r="H704" s="28"/>
      <c r="M704" s="28"/>
      <c r="R704" s="28"/>
      <c r="W704" s="28"/>
      <c r="AB704" s="28"/>
    </row>
    <row r="705" spans="1:28" ht="42" customHeight="1" x14ac:dyDescent="0.2">
      <c r="A705" s="35"/>
      <c r="B705" s="44"/>
      <c r="C705" s="28"/>
      <c r="H705" s="28"/>
      <c r="M705" s="28"/>
      <c r="R705" s="28"/>
      <c r="W705" s="28"/>
      <c r="AB705" s="28"/>
    </row>
    <row r="706" spans="1:28" ht="42" customHeight="1" x14ac:dyDescent="0.2">
      <c r="A706" s="35"/>
      <c r="B706" s="44"/>
      <c r="C706" s="28"/>
      <c r="H706" s="28"/>
      <c r="M706" s="28"/>
      <c r="R706" s="28"/>
      <c r="W706" s="28"/>
      <c r="AB706" s="28"/>
    </row>
    <row r="707" spans="1:28" ht="42" customHeight="1" x14ac:dyDescent="0.2">
      <c r="A707" s="35"/>
      <c r="B707" s="44"/>
      <c r="C707" s="28"/>
      <c r="H707" s="28"/>
      <c r="M707" s="28"/>
      <c r="R707" s="28"/>
      <c r="W707" s="28"/>
      <c r="AB707" s="28"/>
    </row>
    <row r="708" spans="1:28" ht="42" customHeight="1" x14ac:dyDescent="0.2">
      <c r="A708" s="35"/>
      <c r="B708" s="44"/>
      <c r="C708" s="28"/>
      <c r="H708" s="28"/>
      <c r="M708" s="28"/>
      <c r="R708" s="28"/>
      <c r="W708" s="28"/>
      <c r="AB708" s="28"/>
    </row>
    <row r="709" spans="1:28" ht="42" customHeight="1" x14ac:dyDescent="0.2">
      <c r="A709" s="35"/>
      <c r="B709" s="44"/>
      <c r="C709" s="28"/>
      <c r="H709" s="28"/>
      <c r="M709" s="28"/>
      <c r="R709" s="28"/>
      <c r="W709" s="28"/>
      <c r="AB709" s="28"/>
    </row>
    <row r="710" spans="1:28" ht="42" customHeight="1" x14ac:dyDescent="0.2">
      <c r="A710" s="35"/>
      <c r="B710" s="44"/>
      <c r="C710" s="28"/>
      <c r="H710" s="28"/>
      <c r="M710" s="28"/>
      <c r="R710" s="28"/>
      <c r="W710" s="28"/>
      <c r="AB710" s="28"/>
    </row>
    <row r="711" spans="1:28" ht="42" customHeight="1" x14ac:dyDescent="0.2">
      <c r="A711" s="35"/>
      <c r="B711" s="44"/>
      <c r="C711" s="28"/>
      <c r="H711" s="28"/>
      <c r="M711" s="28"/>
      <c r="R711" s="28"/>
      <c r="W711" s="28"/>
      <c r="AB711" s="28"/>
    </row>
    <row r="712" spans="1:28" ht="42" customHeight="1" x14ac:dyDescent="0.2">
      <c r="A712" s="35"/>
      <c r="B712" s="44"/>
      <c r="C712" s="28"/>
      <c r="H712" s="28"/>
      <c r="M712" s="28"/>
      <c r="R712" s="28"/>
      <c r="W712" s="28"/>
      <c r="AB712" s="28"/>
    </row>
    <row r="713" spans="1:28" ht="42" customHeight="1" x14ac:dyDescent="0.2">
      <c r="A713" s="35"/>
      <c r="B713" s="44"/>
      <c r="C713" s="28"/>
      <c r="H713" s="28"/>
      <c r="M713" s="28"/>
      <c r="R713" s="28"/>
      <c r="W713" s="28"/>
      <c r="AB713" s="28"/>
    </row>
    <row r="714" spans="1:28" ht="42" customHeight="1" x14ac:dyDescent="0.2">
      <c r="A714" s="35"/>
      <c r="B714" s="44"/>
      <c r="C714" s="28"/>
      <c r="H714" s="28"/>
      <c r="M714" s="28"/>
      <c r="R714" s="28"/>
      <c r="W714" s="28"/>
      <c r="AB714" s="28"/>
    </row>
    <row r="715" spans="1:28" ht="42" customHeight="1" x14ac:dyDescent="0.2">
      <c r="A715" s="35"/>
      <c r="B715" s="44"/>
      <c r="C715" s="28"/>
      <c r="H715" s="28"/>
      <c r="M715" s="28"/>
      <c r="R715" s="28"/>
      <c r="W715" s="28"/>
      <c r="AB715" s="28"/>
    </row>
    <row r="716" spans="1:28" ht="42" customHeight="1" x14ac:dyDescent="0.2">
      <c r="A716" s="35"/>
      <c r="B716" s="44"/>
      <c r="C716" s="28"/>
      <c r="H716" s="28"/>
      <c r="M716" s="28"/>
      <c r="R716" s="28"/>
      <c r="W716" s="28"/>
      <c r="AB716" s="28"/>
    </row>
    <row r="717" spans="1:28" ht="42" customHeight="1" x14ac:dyDescent="0.2">
      <c r="A717" s="35"/>
      <c r="B717" s="44"/>
      <c r="C717" s="28"/>
      <c r="H717" s="28"/>
      <c r="M717" s="28"/>
      <c r="R717" s="28"/>
      <c r="W717" s="28"/>
      <c r="AB717" s="28"/>
    </row>
    <row r="718" spans="1:28" ht="42" customHeight="1" x14ac:dyDescent="0.2">
      <c r="A718" s="35"/>
      <c r="B718" s="44"/>
      <c r="C718" s="28"/>
      <c r="H718" s="28"/>
      <c r="M718" s="28"/>
      <c r="R718" s="28"/>
      <c r="W718" s="28"/>
      <c r="AB718" s="28"/>
    </row>
    <row r="719" spans="1:28" ht="42" customHeight="1" x14ac:dyDescent="0.2">
      <c r="A719" s="35"/>
      <c r="B719" s="44"/>
      <c r="C719" s="28"/>
      <c r="H719" s="28"/>
      <c r="M719" s="28"/>
      <c r="R719" s="28"/>
      <c r="W719" s="28"/>
      <c r="AB719" s="28"/>
    </row>
    <row r="720" spans="1:28" ht="42" customHeight="1" x14ac:dyDescent="0.2">
      <c r="A720" s="35"/>
      <c r="B720" s="44"/>
      <c r="C720" s="28"/>
      <c r="H720" s="28"/>
      <c r="M720" s="28"/>
      <c r="R720" s="28"/>
      <c r="W720" s="28"/>
      <c r="AB720" s="28"/>
    </row>
    <row r="721" spans="1:28" ht="42" customHeight="1" x14ac:dyDescent="0.2">
      <c r="A721" s="35"/>
      <c r="B721" s="44"/>
      <c r="C721" s="28"/>
      <c r="H721" s="28"/>
      <c r="M721" s="28"/>
      <c r="R721" s="28"/>
      <c r="W721" s="28"/>
      <c r="AB721" s="28"/>
    </row>
    <row r="722" spans="1:28" ht="42" customHeight="1" x14ac:dyDescent="0.2">
      <c r="A722" s="35"/>
      <c r="B722" s="44"/>
      <c r="C722" s="28"/>
      <c r="H722" s="28"/>
      <c r="M722" s="28"/>
      <c r="R722" s="28"/>
      <c r="W722" s="28"/>
      <c r="AB722" s="28"/>
    </row>
    <row r="723" spans="1:28" ht="42" customHeight="1" x14ac:dyDescent="0.2">
      <c r="A723" s="35"/>
      <c r="B723" s="44"/>
      <c r="C723" s="28"/>
      <c r="H723" s="28"/>
      <c r="M723" s="28"/>
      <c r="R723" s="28"/>
      <c r="W723" s="28"/>
      <c r="AB723" s="28"/>
    </row>
  </sheetData>
  <mergeCells count="317">
    <mergeCell ref="AB195:AB212"/>
    <mergeCell ref="AB154:AB162"/>
    <mergeCell ref="M56:M115"/>
    <mergeCell ref="X33:X46"/>
    <mergeCell ref="W163:W177"/>
    <mergeCell ref="X163:X177"/>
    <mergeCell ref="AB163:AB177"/>
    <mergeCell ref="X136:X152"/>
    <mergeCell ref="M116:M135"/>
    <mergeCell ref="N116:N135"/>
    <mergeCell ref="R116:R135"/>
    <mergeCell ref="S116:S135"/>
    <mergeCell ref="W116:W135"/>
    <mergeCell ref="X116:X135"/>
    <mergeCell ref="AB116:AB135"/>
    <mergeCell ref="M163:M177"/>
    <mergeCell ref="N163:N177"/>
    <mergeCell ref="R163:R177"/>
    <mergeCell ref="S163:S177"/>
    <mergeCell ref="B636:AB636"/>
    <mergeCell ref="X388:X522"/>
    <mergeCell ref="AB388:AB522"/>
    <mergeCell ref="D540:D548"/>
    <mergeCell ref="H540:H548"/>
    <mergeCell ref="I540:I548"/>
    <mergeCell ref="M540:M548"/>
    <mergeCell ref="N540:N548"/>
    <mergeCell ref="R540:R548"/>
    <mergeCell ref="S540:S548"/>
    <mergeCell ref="W540:W548"/>
    <mergeCell ref="X529:X539"/>
    <mergeCell ref="X540:X548"/>
    <mergeCell ref="AB529:AB539"/>
    <mergeCell ref="S523:S527"/>
    <mergeCell ref="W523:W527"/>
    <mergeCell ref="X591:X595"/>
    <mergeCell ref="W388:W522"/>
    <mergeCell ref="D551:D553"/>
    <mergeCell ref="M551:M553"/>
    <mergeCell ref="W596:W609"/>
    <mergeCell ref="AB610:AB633"/>
    <mergeCell ref="S596:S609"/>
    <mergeCell ref="AB596:AB609"/>
    <mergeCell ref="X56:X115"/>
    <mergeCell ref="AB56:AB115"/>
    <mergeCell ref="C116:C135"/>
    <mergeCell ref="D116:D135"/>
    <mergeCell ref="H116:H135"/>
    <mergeCell ref="W136:W152"/>
    <mergeCell ref="C56:C115"/>
    <mergeCell ref="D56:D115"/>
    <mergeCell ref="N56:N115"/>
    <mergeCell ref="R56:R115"/>
    <mergeCell ref="S56:S115"/>
    <mergeCell ref="W47:W55"/>
    <mergeCell ref="R136:R152"/>
    <mergeCell ref="M136:M152"/>
    <mergeCell ref="N136:N152"/>
    <mergeCell ref="N33:N44"/>
    <mergeCell ref="R33:R44"/>
    <mergeCell ref="C136:C152"/>
    <mergeCell ref="D136:D152"/>
    <mergeCell ref="S136:S152"/>
    <mergeCell ref="W56:W115"/>
    <mergeCell ref="W1:AB1"/>
    <mergeCell ref="W2:AB2"/>
    <mergeCell ref="M5:Q5"/>
    <mergeCell ref="R5:V5"/>
    <mergeCell ref="W5:AA5"/>
    <mergeCell ref="AB136:AB152"/>
    <mergeCell ref="B3:AB3"/>
    <mergeCell ref="X10:X32"/>
    <mergeCell ref="AB10:AB32"/>
    <mergeCell ref="AB4:AB6"/>
    <mergeCell ref="C47:C55"/>
    <mergeCell ref="D47:D55"/>
    <mergeCell ref="H47:H55"/>
    <mergeCell ref="M47:M55"/>
    <mergeCell ref="N47:N55"/>
    <mergeCell ref="H5:L5"/>
    <mergeCell ref="X47:X55"/>
    <mergeCell ref="AB47:AB55"/>
    <mergeCell ref="AB33:AB44"/>
    <mergeCell ref="M33:M44"/>
    <mergeCell ref="H33:H44"/>
    <mergeCell ref="H56:H115"/>
    <mergeCell ref="W33:W46"/>
    <mergeCell ref="S33:S44"/>
    <mergeCell ref="C5:G5"/>
    <mergeCell ref="R47:R55"/>
    <mergeCell ref="S47:S55"/>
    <mergeCell ref="A116:A135"/>
    <mergeCell ref="A154:A162"/>
    <mergeCell ref="C154:C162"/>
    <mergeCell ref="D154:D162"/>
    <mergeCell ref="H154:H162"/>
    <mergeCell ref="I154:I162"/>
    <mergeCell ref="M154:M162"/>
    <mergeCell ref="N154:N162"/>
    <mergeCell ref="R154:R162"/>
    <mergeCell ref="A8:AB8"/>
    <mergeCell ref="A4:A6"/>
    <mergeCell ref="B4:B6"/>
    <mergeCell ref="C4:AA4"/>
    <mergeCell ref="A10:A32"/>
    <mergeCell ref="I10:I32"/>
    <mergeCell ref="M10:M32"/>
    <mergeCell ref="S10:S32"/>
    <mergeCell ref="W10:W32"/>
    <mergeCell ref="N10:N32"/>
    <mergeCell ref="R10:R32"/>
    <mergeCell ref="B9:AB9"/>
    <mergeCell ref="C33:C44"/>
    <mergeCell ref="D33:D44"/>
    <mergeCell ref="C10:C32"/>
    <mergeCell ref="H10:H32"/>
    <mergeCell ref="I33:I44"/>
    <mergeCell ref="D10:D32"/>
    <mergeCell ref="H136:H152"/>
    <mergeCell ref="I136:I152"/>
    <mergeCell ref="A56:A115"/>
    <mergeCell ref="I56:I115"/>
    <mergeCell ref="A33:A46"/>
    <mergeCell ref="A136:A152"/>
    <mergeCell ref="I116:I135"/>
    <mergeCell ref="R223:R225"/>
    <mergeCell ref="S223:S225"/>
    <mergeCell ref="S154:S162"/>
    <mergeCell ref="A47:A55"/>
    <mergeCell ref="I47:I55"/>
    <mergeCell ref="A163:A177"/>
    <mergeCell ref="C163:C177"/>
    <mergeCell ref="D163:D177"/>
    <mergeCell ref="H163:H177"/>
    <mergeCell ref="I163:I177"/>
    <mergeCell ref="A223:A225"/>
    <mergeCell ref="A646:B646"/>
    <mergeCell ref="A551:A553"/>
    <mergeCell ref="C551:C553"/>
    <mergeCell ref="A195:A212"/>
    <mergeCell ref="W223:W225"/>
    <mergeCell ref="X223:X225"/>
    <mergeCell ref="W154:W162"/>
    <mergeCell ref="X154:X162"/>
    <mergeCell ref="C195:C212"/>
    <mergeCell ref="D195:D212"/>
    <mergeCell ref="H195:H212"/>
    <mergeCell ref="I195:I212"/>
    <mergeCell ref="M195:M212"/>
    <mergeCell ref="N195:N212"/>
    <mergeCell ref="R195:R212"/>
    <mergeCell ref="S195:S212"/>
    <mergeCell ref="W195:W212"/>
    <mergeCell ref="X195:X212"/>
    <mergeCell ref="C223:C225"/>
    <mergeCell ref="D223:D225"/>
    <mergeCell ref="H223:H225"/>
    <mergeCell ref="I223:I225"/>
    <mergeCell ref="M223:M225"/>
    <mergeCell ref="N223:N225"/>
    <mergeCell ref="H529:H539"/>
    <mergeCell ref="H523:H527"/>
    <mergeCell ref="C540:C548"/>
    <mergeCell ref="D529:D539"/>
    <mergeCell ref="A647:B647"/>
    <mergeCell ref="B634:AB634"/>
    <mergeCell ref="AB565:AB590"/>
    <mergeCell ref="X565:X590"/>
    <mergeCell ref="A565:A590"/>
    <mergeCell ref="S610:S633"/>
    <mergeCell ref="W610:W633"/>
    <mergeCell ref="AB540:AB548"/>
    <mergeCell ref="H551:H553"/>
    <mergeCell ref="I551:I553"/>
    <mergeCell ref="R551:R553"/>
    <mergeCell ref="S551:S553"/>
    <mergeCell ref="W551:W553"/>
    <mergeCell ref="X551:X553"/>
    <mergeCell ref="AB551:AB553"/>
    <mergeCell ref="X554:X561"/>
    <mergeCell ref="AB554:AB561"/>
    <mergeCell ref="A645:B645"/>
    <mergeCell ref="X610:X633"/>
    <mergeCell ref="R565:R590"/>
    <mergeCell ref="AB223:AB225"/>
    <mergeCell ref="W237:W242"/>
    <mergeCell ref="X237:X242"/>
    <mergeCell ref="AB237:AB242"/>
    <mergeCell ref="S243:S289"/>
    <mergeCell ref="B236:AB236"/>
    <mergeCell ref="I237:I242"/>
    <mergeCell ref="M237:M242"/>
    <mergeCell ref="N237:N242"/>
    <mergeCell ref="R237:R242"/>
    <mergeCell ref="N243:N289"/>
    <mergeCell ref="R243:R289"/>
    <mergeCell ref="M243:M289"/>
    <mergeCell ref="X227:X235"/>
    <mergeCell ref="AB227:AB235"/>
    <mergeCell ref="C227:C235"/>
    <mergeCell ref="D227:D235"/>
    <mergeCell ref="H227:H235"/>
    <mergeCell ref="S237:S242"/>
    <mergeCell ref="W243:W289"/>
    <mergeCell ref="X243:X289"/>
    <mergeCell ref="AB243:AB289"/>
    <mergeCell ref="I227:I235"/>
    <mergeCell ref="M227:M235"/>
    <mergeCell ref="A610:A633"/>
    <mergeCell ref="C610:C633"/>
    <mergeCell ref="D610:D633"/>
    <mergeCell ref="H610:H633"/>
    <mergeCell ref="I610:I633"/>
    <mergeCell ref="M610:M633"/>
    <mergeCell ref="N610:N633"/>
    <mergeCell ref="R610:R633"/>
    <mergeCell ref="A596:A609"/>
    <mergeCell ref="C596:C609"/>
    <mergeCell ref="D596:D609"/>
    <mergeCell ref="H596:H609"/>
    <mergeCell ref="I596:I609"/>
    <mergeCell ref="M596:M609"/>
    <mergeCell ref="N596:N609"/>
    <mergeCell ref="R596:R609"/>
    <mergeCell ref="X596:X609"/>
    <mergeCell ref="A554:A561"/>
    <mergeCell ref="I554:I561"/>
    <mergeCell ref="A591:A595"/>
    <mergeCell ref="R591:R595"/>
    <mergeCell ref="N554:N561"/>
    <mergeCell ref="R554:R561"/>
    <mergeCell ref="C554:C561"/>
    <mergeCell ref="D554:D561"/>
    <mergeCell ref="H554:H561"/>
    <mergeCell ref="M554:M561"/>
    <mergeCell ref="C591:C595"/>
    <mergeCell ref="D591:D595"/>
    <mergeCell ref="H591:H595"/>
    <mergeCell ref="I591:I595"/>
    <mergeCell ref="M591:M595"/>
    <mergeCell ref="N591:N595"/>
    <mergeCell ref="C565:C590"/>
    <mergeCell ref="D565:D590"/>
    <mergeCell ref="S591:S595"/>
    <mergeCell ref="W591:W595"/>
    <mergeCell ref="S554:S561"/>
    <mergeCell ref="W554:W561"/>
    <mergeCell ref="H565:H590"/>
    <mergeCell ref="H237:H242"/>
    <mergeCell ref="C243:C289"/>
    <mergeCell ref="D243:D289"/>
    <mergeCell ref="I243:I289"/>
    <mergeCell ref="A290:A337"/>
    <mergeCell ref="C290:C337"/>
    <mergeCell ref="D290:D337"/>
    <mergeCell ref="H290:H337"/>
    <mergeCell ref="H243:H289"/>
    <mergeCell ref="A237:A242"/>
    <mergeCell ref="C237:C242"/>
    <mergeCell ref="D237:D242"/>
    <mergeCell ref="A243:A289"/>
    <mergeCell ref="I290:I337"/>
    <mergeCell ref="I565:I590"/>
    <mergeCell ref="R388:R522"/>
    <mergeCell ref="S388:S522"/>
    <mergeCell ref="H338:H387"/>
    <mergeCell ref="N551:N553"/>
    <mergeCell ref="A388:A522"/>
    <mergeCell ref="C523:C527"/>
    <mergeCell ref="D523:D527"/>
    <mergeCell ref="C388:C522"/>
    <mergeCell ref="D388:D522"/>
    <mergeCell ref="H388:H522"/>
    <mergeCell ref="I388:I522"/>
    <mergeCell ref="A338:A387"/>
    <mergeCell ref="C338:C387"/>
    <mergeCell ref="D338:D387"/>
    <mergeCell ref="I338:I387"/>
    <mergeCell ref="A523:A527"/>
    <mergeCell ref="A529:A539"/>
    <mergeCell ref="C529:C539"/>
    <mergeCell ref="I523:I527"/>
    <mergeCell ref="M523:M527"/>
    <mergeCell ref="A540:A548"/>
    <mergeCell ref="I529:I539"/>
    <mergeCell ref="M529:M539"/>
    <mergeCell ref="M290:M337"/>
    <mergeCell ref="N290:N337"/>
    <mergeCell ref="R290:R337"/>
    <mergeCell ref="X523:X527"/>
    <mergeCell ref="AB523:AB527"/>
    <mergeCell ref="W290:W337"/>
    <mergeCell ref="X290:X337"/>
    <mergeCell ref="N565:N590"/>
    <mergeCell ref="M565:M590"/>
    <mergeCell ref="N529:N539"/>
    <mergeCell ref="R529:R539"/>
    <mergeCell ref="S565:S590"/>
    <mergeCell ref="M338:M387"/>
    <mergeCell ref="N338:N387"/>
    <mergeCell ref="R338:R387"/>
    <mergeCell ref="S338:S387"/>
    <mergeCell ref="W338:W387"/>
    <mergeCell ref="S529:S539"/>
    <mergeCell ref="W529:W539"/>
    <mergeCell ref="N523:N527"/>
    <mergeCell ref="R523:R527"/>
    <mergeCell ref="N227:N235"/>
    <mergeCell ref="R227:R235"/>
    <mergeCell ref="S227:S235"/>
    <mergeCell ref="W227:W235"/>
    <mergeCell ref="AB591:AB595"/>
    <mergeCell ref="X338:X387"/>
    <mergeCell ref="AB338:AB387"/>
    <mergeCell ref="W565:W590"/>
    <mergeCell ref="AB290:AB337"/>
    <mergeCell ref="S290:S337"/>
  </mergeCells>
  <printOptions horizontalCentered="1"/>
  <pageMargins left="0.19685039370078741" right="0.19685039370078741" top="0.62992125984251968" bottom="0.59055118110236227" header="0.19685039370078741" footer="0.15748031496062992"/>
  <pageSetup paperSize="8" scale="47" firstPageNumber="7" fitToHeight="0" orientation="landscape" useFirstPageNumber="1" r:id="rId1"/>
  <headerFooter alignWithMargins="0">
    <oddHeader>&amp;C&amp;P</oddHeader>
  </headerFooter>
  <rowBreaks count="12" manualBreakCount="12">
    <brk id="46" max="27" man="1"/>
    <brk id="86" max="27" man="1"/>
    <brk id="135" max="27" man="1"/>
    <brk id="186" max="27" man="1"/>
    <brk id="236" max="27" man="1"/>
    <brk id="288" max="27" man="1"/>
    <brk id="341" max="27" man="1"/>
    <brk id="395" max="27" man="1"/>
    <brk id="457" max="27" man="1"/>
    <brk id="514" max="27" man="1"/>
    <brk id="564" max="27" man="1"/>
    <brk id="609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04"/>
  <sheetViews>
    <sheetView showRuler="0" view="pageBreakPreview" topLeftCell="A267" zoomScale="40" zoomScaleNormal="79" zoomScaleSheetLayoutView="40" zoomScalePageLayoutView="70" workbookViewId="0">
      <selection activeCell="L288" sqref="L288"/>
    </sheetView>
  </sheetViews>
  <sheetFormatPr defaultColWidth="8.7109375" defaultRowHeight="12.75" outlineLevelRow="1" x14ac:dyDescent="0.2"/>
  <cols>
    <col min="1" max="1" width="11" style="15" customWidth="1"/>
    <col min="2" max="2" width="26.28515625" customWidth="1"/>
    <col min="3" max="3" width="10.28515625" style="16" customWidth="1"/>
    <col min="4" max="4" width="13.5703125" style="17" customWidth="1"/>
    <col min="5" max="5" width="7.7109375" style="17" customWidth="1"/>
    <col min="6" max="6" width="13.28515625" style="17" customWidth="1"/>
    <col min="7" max="7" width="9.5703125" style="17" customWidth="1"/>
    <col min="8" max="8" width="11.140625" style="17" customWidth="1"/>
    <col min="9" max="9" width="10.140625" style="17" customWidth="1"/>
    <col min="10" max="10" width="9" style="17" customWidth="1"/>
    <col min="11" max="11" width="11" style="3" customWidth="1"/>
    <col min="12" max="12" width="8.85546875" style="3" customWidth="1"/>
    <col min="13" max="13" width="10.85546875" style="5" customWidth="1"/>
    <col min="14" max="14" width="11" style="5" customWidth="1"/>
    <col min="15" max="15" width="7.5703125" style="21" customWidth="1"/>
    <col min="16" max="16" width="10.85546875" style="22" customWidth="1"/>
    <col min="17" max="17" width="9" style="22" customWidth="1"/>
    <col min="18" max="18" width="10.85546875" style="5" customWidth="1"/>
    <col min="19" max="19" width="12.85546875" style="5" customWidth="1"/>
    <col min="20" max="20" width="7.7109375" style="21" customWidth="1"/>
    <col min="21" max="21" width="12.7109375" style="22" customWidth="1"/>
    <col min="22" max="22" width="9.85546875" style="22" customWidth="1"/>
    <col min="23" max="23" width="12.5703125" style="5" customWidth="1"/>
    <col min="24" max="24" width="10.7109375" style="5" customWidth="1"/>
    <col min="25" max="25" width="9.140625" style="21" customWidth="1"/>
    <col min="26" max="26" width="11" style="22" customWidth="1"/>
    <col min="27" max="27" width="9.7109375" style="5" customWidth="1"/>
    <col min="28" max="28" width="10.85546875" style="5" customWidth="1"/>
    <col min="29" max="29" width="10.140625" style="5" customWidth="1"/>
    <col min="30" max="30" width="14.28515625" bestFit="1" customWidth="1"/>
    <col min="31" max="31" width="14.7109375" customWidth="1"/>
    <col min="32" max="32" width="10.85546875" bestFit="1" customWidth="1"/>
  </cols>
  <sheetData>
    <row r="1" spans="1:32" ht="85.15" customHeight="1" x14ac:dyDescent="0.2">
      <c r="A1" s="49"/>
      <c r="B1" s="41"/>
      <c r="C1" s="159"/>
      <c r="D1" s="41"/>
      <c r="E1" s="159"/>
      <c r="F1" s="41"/>
      <c r="G1" s="41"/>
      <c r="H1" s="41"/>
      <c r="I1" s="41"/>
      <c r="J1" s="159"/>
      <c r="K1" s="41"/>
      <c r="L1" s="41"/>
      <c r="M1" s="41"/>
      <c r="N1" s="41"/>
      <c r="O1" s="159"/>
      <c r="P1" s="41"/>
      <c r="Q1" s="41"/>
      <c r="R1" s="41"/>
      <c r="S1" s="41"/>
      <c r="T1" s="159"/>
      <c r="U1" s="41"/>
      <c r="V1" s="41"/>
      <c r="W1" s="41"/>
      <c r="X1" s="41"/>
      <c r="Y1" s="113"/>
      <c r="Z1" s="410" t="s">
        <v>1378</v>
      </c>
      <c r="AA1" s="410"/>
      <c r="AB1" s="410"/>
      <c r="AC1" s="410"/>
      <c r="AD1" s="28"/>
      <c r="AE1" s="28"/>
      <c r="AF1" s="28"/>
    </row>
    <row r="2" spans="1:32" ht="101.25" customHeight="1" x14ac:dyDescent="0.2">
      <c r="A2" s="49"/>
      <c r="B2" s="41"/>
      <c r="C2" s="159"/>
      <c r="D2" s="41"/>
      <c r="E2" s="159"/>
      <c r="F2" s="41"/>
      <c r="G2" s="41"/>
      <c r="H2" s="41"/>
      <c r="I2" s="41"/>
      <c r="J2" s="159"/>
      <c r="K2" s="41"/>
      <c r="L2" s="41"/>
      <c r="M2" s="41"/>
      <c r="N2" s="41"/>
      <c r="O2" s="159"/>
      <c r="P2" s="41"/>
      <c r="Q2" s="41"/>
      <c r="R2" s="41"/>
      <c r="S2" s="41"/>
      <c r="T2" s="159"/>
      <c r="U2" s="41"/>
      <c r="V2" s="41"/>
      <c r="W2" s="41"/>
      <c r="X2" s="41"/>
      <c r="Y2" s="113"/>
      <c r="Z2" s="357" t="s">
        <v>389</v>
      </c>
      <c r="AA2" s="357"/>
      <c r="AB2" s="357"/>
      <c r="AC2" s="357"/>
      <c r="AD2" s="28"/>
      <c r="AE2" s="28"/>
      <c r="AF2" s="28"/>
    </row>
    <row r="3" spans="1:32" ht="74.25" customHeight="1" x14ac:dyDescent="0.3">
      <c r="A3" s="440" t="s">
        <v>1307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28"/>
      <c r="AE3" s="28"/>
      <c r="AF3" s="28"/>
    </row>
    <row r="4" spans="1:32" s="7" customFormat="1" ht="15.6" customHeight="1" x14ac:dyDescent="0.2">
      <c r="A4" s="444" t="s">
        <v>627</v>
      </c>
      <c r="B4" s="437" t="s">
        <v>0</v>
      </c>
      <c r="C4" s="439" t="s">
        <v>187</v>
      </c>
      <c r="D4" s="439" t="s">
        <v>159</v>
      </c>
      <c r="E4" s="442" t="s">
        <v>13</v>
      </c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160"/>
      <c r="AE4" s="160"/>
      <c r="AF4" s="160"/>
    </row>
    <row r="5" spans="1:32" s="6" customFormat="1" ht="27.4" customHeight="1" x14ac:dyDescent="0.2">
      <c r="A5" s="444"/>
      <c r="B5" s="437"/>
      <c r="C5" s="439"/>
      <c r="D5" s="439"/>
      <c r="E5" s="438" t="s">
        <v>20</v>
      </c>
      <c r="F5" s="438"/>
      <c r="G5" s="438"/>
      <c r="H5" s="438"/>
      <c r="I5" s="438"/>
      <c r="J5" s="436" t="s">
        <v>21</v>
      </c>
      <c r="K5" s="436"/>
      <c r="L5" s="436"/>
      <c r="M5" s="436"/>
      <c r="N5" s="436"/>
      <c r="O5" s="436" t="s">
        <v>22</v>
      </c>
      <c r="P5" s="436"/>
      <c r="Q5" s="436"/>
      <c r="R5" s="436"/>
      <c r="S5" s="436"/>
      <c r="T5" s="436" t="s">
        <v>23</v>
      </c>
      <c r="U5" s="436"/>
      <c r="V5" s="436"/>
      <c r="W5" s="436"/>
      <c r="X5" s="436"/>
      <c r="Y5" s="436" t="s">
        <v>24</v>
      </c>
      <c r="Z5" s="436"/>
      <c r="AA5" s="436"/>
      <c r="AB5" s="436"/>
      <c r="AC5" s="436"/>
      <c r="AD5" s="45"/>
      <c r="AE5" s="45"/>
      <c r="AF5" s="45"/>
    </row>
    <row r="6" spans="1:32" s="6" customFormat="1" ht="64.150000000000006" customHeight="1" x14ac:dyDescent="0.2">
      <c r="A6" s="444"/>
      <c r="B6" s="437"/>
      <c r="C6" s="439"/>
      <c r="D6" s="439"/>
      <c r="E6" s="331" t="s">
        <v>187</v>
      </c>
      <c r="F6" s="338" t="s">
        <v>4</v>
      </c>
      <c r="G6" s="338" t="s">
        <v>160</v>
      </c>
      <c r="H6" s="161" t="s">
        <v>5</v>
      </c>
      <c r="I6" s="330" t="s">
        <v>12</v>
      </c>
      <c r="J6" s="331" t="s">
        <v>187</v>
      </c>
      <c r="K6" s="338" t="s">
        <v>4</v>
      </c>
      <c r="L6" s="338" t="s">
        <v>160</v>
      </c>
      <c r="M6" s="330" t="s">
        <v>5</v>
      </c>
      <c r="N6" s="330" t="s">
        <v>12</v>
      </c>
      <c r="O6" s="331" t="s">
        <v>187</v>
      </c>
      <c r="P6" s="338" t="s">
        <v>4</v>
      </c>
      <c r="Q6" s="338" t="s">
        <v>160</v>
      </c>
      <c r="R6" s="330" t="s">
        <v>5</v>
      </c>
      <c r="S6" s="330" t="s">
        <v>12</v>
      </c>
      <c r="T6" s="331" t="s">
        <v>187</v>
      </c>
      <c r="U6" s="338" t="s">
        <v>4</v>
      </c>
      <c r="V6" s="338" t="s">
        <v>160</v>
      </c>
      <c r="W6" s="330" t="s">
        <v>5</v>
      </c>
      <c r="X6" s="330" t="s">
        <v>12</v>
      </c>
      <c r="Y6" s="331" t="s">
        <v>187</v>
      </c>
      <c r="Z6" s="338" t="s">
        <v>4</v>
      </c>
      <c r="AA6" s="338" t="s">
        <v>160</v>
      </c>
      <c r="AB6" s="330" t="s">
        <v>161</v>
      </c>
      <c r="AC6" s="330" t="s">
        <v>31</v>
      </c>
      <c r="AD6" s="45"/>
      <c r="AE6" s="45"/>
      <c r="AF6" s="45"/>
    </row>
    <row r="7" spans="1:32" ht="22.35" customHeight="1" x14ac:dyDescent="0.2">
      <c r="A7" s="333">
        <v>1</v>
      </c>
      <c r="B7" s="162">
        <v>2</v>
      </c>
      <c r="C7" s="333">
        <v>3</v>
      </c>
      <c r="D7" s="333">
        <v>4</v>
      </c>
      <c r="E7" s="333">
        <v>5</v>
      </c>
      <c r="F7" s="333">
        <v>6</v>
      </c>
      <c r="G7" s="333">
        <v>7</v>
      </c>
      <c r="H7" s="333">
        <v>8</v>
      </c>
      <c r="I7" s="333">
        <v>9</v>
      </c>
      <c r="J7" s="333">
        <v>10</v>
      </c>
      <c r="K7" s="333">
        <v>11</v>
      </c>
      <c r="L7" s="333">
        <v>12</v>
      </c>
      <c r="M7" s="163">
        <v>13</v>
      </c>
      <c r="N7" s="163">
        <v>14</v>
      </c>
      <c r="O7" s="163">
        <v>15</v>
      </c>
      <c r="P7" s="163">
        <v>16</v>
      </c>
      <c r="Q7" s="163">
        <v>17</v>
      </c>
      <c r="R7" s="163">
        <v>18</v>
      </c>
      <c r="S7" s="163">
        <v>19</v>
      </c>
      <c r="T7" s="163">
        <v>20</v>
      </c>
      <c r="U7" s="163">
        <v>21</v>
      </c>
      <c r="V7" s="163">
        <v>22</v>
      </c>
      <c r="W7" s="163">
        <v>23</v>
      </c>
      <c r="X7" s="163">
        <v>24</v>
      </c>
      <c r="Y7" s="163">
        <v>25</v>
      </c>
      <c r="Z7" s="163">
        <v>26</v>
      </c>
      <c r="AA7" s="163">
        <v>27</v>
      </c>
      <c r="AB7" s="163">
        <v>28</v>
      </c>
      <c r="AC7" s="163">
        <v>29</v>
      </c>
      <c r="AD7" s="28"/>
      <c r="AE7" s="28"/>
      <c r="AF7" s="28"/>
    </row>
    <row r="8" spans="1:32" s="4" customFormat="1" ht="60.75" customHeight="1" x14ac:dyDescent="0.2">
      <c r="A8" s="401" t="s">
        <v>1068</v>
      </c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3"/>
      <c r="AD8" s="34"/>
      <c r="AE8" s="34"/>
      <c r="AF8" s="34"/>
    </row>
    <row r="9" spans="1:32" s="4" customFormat="1" ht="53.25" customHeight="1" x14ac:dyDescent="0.2">
      <c r="A9" s="332" t="s">
        <v>2</v>
      </c>
      <c r="B9" s="414" t="s">
        <v>1069</v>
      </c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29"/>
      <c r="AD9" s="34"/>
      <c r="AE9" s="34"/>
      <c r="AF9" s="34"/>
    </row>
    <row r="10" spans="1:32" ht="34.5" customHeight="1" x14ac:dyDescent="0.2">
      <c r="A10" s="332" t="s">
        <v>471</v>
      </c>
      <c r="B10" s="414" t="s">
        <v>1071</v>
      </c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  <c r="AC10" s="429"/>
      <c r="AD10" s="28"/>
      <c r="AE10" s="28"/>
      <c r="AF10" s="28"/>
    </row>
    <row r="11" spans="1:32" s="3" customFormat="1" ht="91.15" customHeight="1" x14ac:dyDescent="0.2">
      <c r="A11" s="164" t="s">
        <v>1222</v>
      </c>
      <c r="B11" s="165" t="s">
        <v>162</v>
      </c>
      <c r="C11" s="166">
        <f>E11+J11+O11+T11+Y11</f>
        <v>0</v>
      </c>
      <c r="D11" s="167">
        <f>F11+K11+P11+U11+Z11</f>
        <v>0</v>
      </c>
      <c r="E11" s="166">
        <f t="shared" ref="E11:AC11" si="0">E12+E13+E14</f>
        <v>0</v>
      </c>
      <c r="F11" s="167">
        <f t="shared" si="0"/>
        <v>0</v>
      </c>
      <c r="G11" s="167">
        <f t="shared" si="0"/>
        <v>0</v>
      </c>
      <c r="H11" s="167">
        <f t="shared" si="0"/>
        <v>0</v>
      </c>
      <c r="I11" s="167">
        <f t="shared" si="0"/>
        <v>0</v>
      </c>
      <c r="J11" s="166">
        <f>J12+J13+J14</f>
        <v>0</v>
      </c>
      <c r="K11" s="167">
        <f t="shared" si="0"/>
        <v>0</v>
      </c>
      <c r="L11" s="167">
        <f t="shared" si="0"/>
        <v>0</v>
      </c>
      <c r="M11" s="167">
        <f t="shared" si="0"/>
        <v>0</v>
      </c>
      <c r="N11" s="167">
        <f>N12+N13+N14</f>
        <v>0</v>
      </c>
      <c r="O11" s="166">
        <f t="shared" si="0"/>
        <v>0</v>
      </c>
      <c r="P11" s="167">
        <f t="shared" si="0"/>
        <v>0</v>
      </c>
      <c r="Q11" s="167">
        <f t="shared" si="0"/>
        <v>0</v>
      </c>
      <c r="R11" s="167">
        <f t="shared" si="0"/>
        <v>0</v>
      </c>
      <c r="S11" s="167">
        <f t="shared" si="0"/>
        <v>0</v>
      </c>
      <c r="T11" s="166">
        <f t="shared" si="0"/>
        <v>0</v>
      </c>
      <c r="U11" s="167">
        <f>U12+U13+U14</f>
        <v>0</v>
      </c>
      <c r="V11" s="167">
        <f t="shared" si="0"/>
        <v>0</v>
      </c>
      <c r="W11" s="167">
        <f t="shared" si="0"/>
        <v>0</v>
      </c>
      <c r="X11" s="167">
        <f t="shared" si="0"/>
        <v>0</v>
      </c>
      <c r="Y11" s="166">
        <f t="shared" si="0"/>
        <v>0</v>
      </c>
      <c r="Z11" s="167">
        <f t="shared" si="0"/>
        <v>0</v>
      </c>
      <c r="AA11" s="167">
        <f t="shared" si="0"/>
        <v>0</v>
      </c>
      <c r="AB11" s="167">
        <f t="shared" si="0"/>
        <v>0</v>
      </c>
      <c r="AC11" s="167">
        <f t="shared" si="0"/>
        <v>0</v>
      </c>
      <c r="AD11" s="33"/>
      <c r="AE11" s="33"/>
      <c r="AF11" s="33"/>
    </row>
    <row r="12" spans="1:32" s="3" customFormat="1" ht="85.15" customHeight="1" outlineLevel="1" x14ac:dyDescent="0.2">
      <c r="A12" s="168" t="s">
        <v>1220</v>
      </c>
      <c r="B12" s="169" t="s">
        <v>163</v>
      </c>
      <c r="C12" s="170">
        <f t="shared" ref="C12:C16" si="1">E12+J12+O12+T12+Y12</f>
        <v>0</v>
      </c>
      <c r="D12" s="171">
        <f t="shared" ref="D12:D13" si="2">F12+K12+P12+U12+Z12</f>
        <v>0</v>
      </c>
      <c r="E12" s="170">
        <v>0</v>
      </c>
      <c r="F12" s="171">
        <v>0</v>
      </c>
      <c r="G12" s="171">
        <v>0</v>
      </c>
      <c r="H12" s="171">
        <v>0</v>
      </c>
      <c r="I12" s="171">
        <v>0</v>
      </c>
      <c r="J12" s="172">
        <v>0</v>
      </c>
      <c r="K12" s="171">
        <f>SUM(L12:N12)</f>
        <v>0</v>
      </c>
      <c r="L12" s="171">
        <v>0</v>
      </c>
      <c r="M12" s="173">
        <v>0</v>
      </c>
      <c r="N12" s="173">
        <f>7196-7196</f>
        <v>0</v>
      </c>
      <c r="O12" s="172">
        <f>0.58-0.58</f>
        <v>0</v>
      </c>
      <c r="P12" s="171">
        <f>Q12+R12+S12</f>
        <v>0</v>
      </c>
      <c r="Q12" s="173">
        <v>0</v>
      </c>
      <c r="R12" s="173">
        <v>0</v>
      </c>
      <c r="S12" s="173">
        <f>6622-6622</f>
        <v>0</v>
      </c>
      <c r="T12" s="172">
        <v>0</v>
      </c>
      <c r="U12" s="171">
        <f>W12+X12+V12</f>
        <v>0</v>
      </c>
      <c r="V12" s="173">
        <v>0</v>
      </c>
      <c r="W12" s="173">
        <f>110232-110232</f>
        <v>0</v>
      </c>
      <c r="X12" s="173">
        <f>13606-13606</f>
        <v>0</v>
      </c>
      <c r="Y12" s="172">
        <v>0</v>
      </c>
      <c r="Z12" s="171">
        <f>AB12+AC12+AA12</f>
        <v>0</v>
      </c>
      <c r="AA12" s="173">
        <v>0</v>
      </c>
      <c r="AB12" s="173">
        <v>0</v>
      </c>
      <c r="AC12" s="173">
        <v>0</v>
      </c>
      <c r="AD12" s="33"/>
      <c r="AE12" s="33"/>
      <c r="AF12" s="33"/>
    </row>
    <row r="13" spans="1:32" s="3" customFormat="1" ht="101.45" customHeight="1" outlineLevel="1" x14ac:dyDescent="0.2">
      <c r="A13" s="168" t="s">
        <v>1221</v>
      </c>
      <c r="B13" s="169" t="s">
        <v>164</v>
      </c>
      <c r="C13" s="170">
        <f t="shared" si="1"/>
        <v>0</v>
      </c>
      <c r="D13" s="171">
        <f t="shared" si="2"/>
        <v>0</v>
      </c>
      <c r="E13" s="170">
        <v>0</v>
      </c>
      <c r="F13" s="171">
        <f>H13+I13</f>
        <v>0</v>
      </c>
      <c r="G13" s="171">
        <v>0</v>
      </c>
      <c r="H13" s="171">
        <v>0</v>
      </c>
      <c r="I13" s="171">
        <v>0</v>
      </c>
      <c r="J13" s="172">
        <v>0</v>
      </c>
      <c r="K13" s="171">
        <f>SUM(L13:N13)</f>
        <v>0</v>
      </c>
      <c r="L13" s="171">
        <v>0</v>
      </c>
      <c r="M13" s="173">
        <v>0</v>
      </c>
      <c r="N13" s="173">
        <v>0</v>
      </c>
      <c r="O13" s="172">
        <v>0</v>
      </c>
      <c r="P13" s="171">
        <f>R13+S13</f>
        <v>0</v>
      </c>
      <c r="Q13" s="173">
        <v>0</v>
      </c>
      <c r="R13" s="173">
        <v>0</v>
      </c>
      <c r="S13" s="173">
        <v>0</v>
      </c>
      <c r="T13" s="172">
        <v>0</v>
      </c>
      <c r="U13" s="171">
        <f>W13+X13</f>
        <v>0</v>
      </c>
      <c r="V13" s="173">
        <v>0</v>
      </c>
      <c r="W13" s="173">
        <v>0</v>
      </c>
      <c r="X13" s="173">
        <f>1954-71-52-1831</f>
        <v>0</v>
      </c>
      <c r="Y13" s="172">
        <v>0</v>
      </c>
      <c r="Z13" s="171">
        <f>AB13+AC13</f>
        <v>0</v>
      </c>
      <c r="AA13" s="173">
        <v>0</v>
      </c>
      <c r="AB13" s="173">
        <v>0</v>
      </c>
      <c r="AC13" s="173">
        <v>0</v>
      </c>
      <c r="AD13" s="33"/>
      <c r="AE13" s="33"/>
      <c r="AF13" s="33"/>
    </row>
    <row r="14" spans="1:32" s="3" customFormat="1" ht="99.6" customHeight="1" outlineLevel="1" x14ac:dyDescent="0.2">
      <c r="A14" s="168" t="s">
        <v>1223</v>
      </c>
      <c r="B14" s="169" t="s">
        <v>165</v>
      </c>
      <c r="C14" s="170">
        <f t="shared" si="1"/>
        <v>0</v>
      </c>
      <c r="D14" s="171">
        <f>F14+K14+P14+U14+Z14</f>
        <v>0</v>
      </c>
      <c r="E14" s="170">
        <v>0</v>
      </c>
      <c r="F14" s="171">
        <v>0</v>
      </c>
      <c r="G14" s="171">
        <v>0</v>
      </c>
      <c r="H14" s="171">
        <v>0</v>
      </c>
      <c r="I14" s="171">
        <v>0</v>
      </c>
      <c r="J14" s="172">
        <v>0</v>
      </c>
      <c r="K14" s="171">
        <f>SUM(L14:N14)</f>
        <v>0</v>
      </c>
      <c r="L14" s="171">
        <v>0</v>
      </c>
      <c r="M14" s="173">
        <v>0</v>
      </c>
      <c r="N14" s="173">
        <v>0</v>
      </c>
      <c r="O14" s="172">
        <v>0</v>
      </c>
      <c r="P14" s="171">
        <f>R14+S14</f>
        <v>0</v>
      </c>
      <c r="Q14" s="173">
        <v>0</v>
      </c>
      <c r="R14" s="173">
        <v>0</v>
      </c>
      <c r="S14" s="173">
        <v>0</v>
      </c>
      <c r="T14" s="172">
        <v>0</v>
      </c>
      <c r="U14" s="171">
        <f>W14+X14</f>
        <v>0</v>
      </c>
      <c r="V14" s="173">
        <v>0</v>
      </c>
      <c r="W14" s="173">
        <v>0</v>
      </c>
      <c r="X14" s="173">
        <v>0</v>
      </c>
      <c r="Y14" s="172">
        <v>0</v>
      </c>
      <c r="Z14" s="171">
        <f>AB14+AC14</f>
        <v>0</v>
      </c>
      <c r="AA14" s="173">
        <v>0</v>
      </c>
      <c r="AB14" s="173">
        <v>0</v>
      </c>
      <c r="AC14" s="173">
        <v>0</v>
      </c>
      <c r="AD14" s="33"/>
      <c r="AE14" s="33"/>
      <c r="AF14" s="33"/>
    </row>
    <row r="15" spans="1:32" s="3" customFormat="1" ht="53.25" customHeight="1" x14ac:dyDescent="0.2">
      <c r="A15" s="164" t="s">
        <v>1224</v>
      </c>
      <c r="B15" s="165" t="s">
        <v>202</v>
      </c>
      <c r="C15" s="166">
        <f>E15+J15+O15+T15+Y15</f>
        <v>0</v>
      </c>
      <c r="D15" s="167">
        <f t="shared" ref="D15:D20" si="3">F15+K15+P15+U15+Z15</f>
        <v>0</v>
      </c>
      <c r="E15" s="166">
        <v>0</v>
      </c>
      <c r="F15" s="167">
        <v>0</v>
      </c>
      <c r="G15" s="167">
        <v>0</v>
      </c>
      <c r="H15" s="167">
        <v>0</v>
      </c>
      <c r="I15" s="167">
        <v>0</v>
      </c>
      <c r="J15" s="174">
        <v>0</v>
      </c>
      <c r="K15" s="167">
        <f t="shared" ref="K15:K20" si="4">SUM(L15:N15)</f>
        <v>0</v>
      </c>
      <c r="L15" s="167">
        <v>0</v>
      </c>
      <c r="M15" s="167">
        <v>0</v>
      </c>
      <c r="N15" s="167">
        <v>0</v>
      </c>
      <c r="O15" s="174">
        <v>0</v>
      </c>
      <c r="P15" s="167">
        <f t="shared" ref="P15:P20" si="5">R15+S15</f>
        <v>0</v>
      </c>
      <c r="Q15" s="167">
        <v>0</v>
      </c>
      <c r="R15" s="167">
        <v>0</v>
      </c>
      <c r="S15" s="167">
        <v>0</v>
      </c>
      <c r="T15" s="174">
        <v>0</v>
      </c>
      <c r="U15" s="167">
        <f t="shared" ref="U15:U20" si="6">W15+X15</f>
        <v>0</v>
      </c>
      <c r="V15" s="167">
        <v>0</v>
      </c>
      <c r="W15" s="167">
        <v>0</v>
      </c>
      <c r="X15" s="167">
        <v>0</v>
      </c>
      <c r="Y15" s="174">
        <v>0</v>
      </c>
      <c r="Z15" s="167">
        <f t="shared" ref="Z15:Z20" si="7">AB15+AC15</f>
        <v>0</v>
      </c>
      <c r="AA15" s="167">
        <v>0</v>
      </c>
      <c r="AB15" s="167">
        <v>0</v>
      </c>
      <c r="AC15" s="167">
        <v>0</v>
      </c>
      <c r="AD15" s="33"/>
      <c r="AE15" s="33"/>
      <c r="AF15" s="33"/>
    </row>
    <row r="16" spans="1:32" s="3" customFormat="1" ht="73.900000000000006" customHeight="1" x14ac:dyDescent="0.2">
      <c r="A16" s="164" t="s">
        <v>1225</v>
      </c>
      <c r="B16" s="165" t="s">
        <v>26</v>
      </c>
      <c r="C16" s="166">
        <f t="shared" si="1"/>
        <v>0</v>
      </c>
      <c r="D16" s="167">
        <f t="shared" si="3"/>
        <v>0</v>
      </c>
      <c r="E16" s="166">
        <v>0</v>
      </c>
      <c r="F16" s="167">
        <v>0</v>
      </c>
      <c r="G16" s="167">
        <v>0</v>
      </c>
      <c r="H16" s="167">
        <v>0</v>
      </c>
      <c r="I16" s="167">
        <v>0</v>
      </c>
      <c r="J16" s="174">
        <v>0</v>
      </c>
      <c r="K16" s="167">
        <f t="shared" si="4"/>
        <v>0</v>
      </c>
      <c r="L16" s="167">
        <v>0</v>
      </c>
      <c r="M16" s="167">
        <v>0</v>
      </c>
      <c r="N16" s="167">
        <v>0</v>
      </c>
      <c r="O16" s="174">
        <v>0</v>
      </c>
      <c r="P16" s="167">
        <f t="shared" si="5"/>
        <v>0</v>
      </c>
      <c r="Q16" s="167">
        <v>0</v>
      </c>
      <c r="R16" s="167">
        <v>0</v>
      </c>
      <c r="S16" s="167">
        <v>0</v>
      </c>
      <c r="T16" s="174">
        <v>0</v>
      </c>
      <c r="U16" s="167">
        <f t="shared" si="6"/>
        <v>0</v>
      </c>
      <c r="V16" s="167">
        <v>0</v>
      </c>
      <c r="W16" s="167">
        <v>0</v>
      </c>
      <c r="X16" s="167">
        <v>0</v>
      </c>
      <c r="Y16" s="174">
        <v>0</v>
      </c>
      <c r="Z16" s="167">
        <f t="shared" si="7"/>
        <v>0</v>
      </c>
      <c r="AA16" s="167">
        <v>0</v>
      </c>
      <c r="AB16" s="167">
        <v>0</v>
      </c>
      <c r="AC16" s="167">
        <v>0</v>
      </c>
      <c r="AD16" s="33"/>
      <c r="AE16" s="33"/>
      <c r="AF16" s="33"/>
    </row>
    <row r="17" spans="1:32" s="3" customFormat="1" ht="90" customHeight="1" x14ac:dyDescent="0.2">
      <c r="A17" s="164" t="s">
        <v>1226</v>
      </c>
      <c r="B17" s="175" t="s">
        <v>27</v>
      </c>
      <c r="C17" s="166">
        <f>E17+J17+O17++T17+Y17</f>
        <v>0</v>
      </c>
      <c r="D17" s="167">
        <f t="shared" si="3"/>
        <v>0</v>
      </c>
      <c r="E17" s="166">
        <v>0</v>
      </c>
      <c r="F17" s="167">
        <v>0</v>
      </c>
      <c r="G17" s="167">
        <v>0</v>
      </c>
      <c r="H17" s="167">
        <v>0</v>
      </c>
      <c r="I17" s="167">
        <v>0</v>
      </c>
      <c r="J17" s="174">
        <v>0</v>
      </c>
      <c r="K17" s="167">
        <f t="shared" si="4"/>
        <v>0</v>
      </c>
      <c r="L17" s="167">
        <v>0</v>
      </c>
      <c r="M17" s="167">
        <v>0</v>
      </c>
      <c r="N17" s="167">
        <v>0</v>
      </c>
      <c r="O17" s="174">
        <v>0</v>
      </c>
      <c r="P17" s="167">
        <f t="shared" si="5"/>
        <v>0</v>
      </c>
      <c r="Q17" s="167">
        <v>0</v>
      </c>
      <c r="R17" s="167">
        <v>0</v>
      </c>
      <c r="S17" s="167">
        <v>0</v>
      </c>
      <c r="T17" s="174">
        <v>0</v>
      </c>
      <c r="U17" s="167">
        <f t="shared" si="6"/>
        <v>0</v>
      </c>
      <c r="V17" s="167">
        <v>0</v>
      </c>
      <c r="W17" s="167">
        <v>0</v>
      </c>
      <c r="X17" s="167">
        <v>0</v>
      </c>
      <c r="Y17" s="174">
        <v>0</v>
      </c>
      <c r="Z17" s="167">
        <f t="shared" si="7"/>
        <v>0</v>
      </c>
      <c r="AA17" s="167">
        <v>0</v>
      </c>
      <c r="AB17" s="167">
        <v>0</v>
      </c>
      <c r="AC17" s="167">
        <v>0</v>
      </c>
      <c r="AD17" s="33"/>
      <c r="AE17" s="33"/>
      <c r="AF17" s="33"/>
    </row>
    <row r="18" spans="1:32" ht="83.45" customHeight="1" x14ac:dyDescent="0.2">
      <c r="A18" s="164" t="s">
        <v>472</v>
      </c>
      <c r="B18" s="175" t="s">
        <v>40</v>
      </c>
      <c r="C18" s="166">
        <f>E18+J18+O18++T18+Y18</f>
        <v>0</v>
      </c>
      <c r="D18" s="167">
        <f t="shared" si="3"/>
        <v>0</v>
      </c>
      <c r="E18" s="166">
        <v>0</v>
      </c>
      <c r="F18" s="167">
        <v>0</v>
      </c>
      <c r="G18" s="167">
        <v>0</v>
      </c>
      <c r="H18" s="167">
        <v>0</v>
      </c>
      <c r="I18" s="167">
        <v>0</v>
      </c>
      <c r="J18" s="174">
        <v>0</v>
      </c>
      <c r="K18" s="167">
        <f t="shared" si="4"/>
        <v>0</v>
      </c>
      <c r="L18" s="167">
        <v>0</v>
      </c>
      <c r="M18" s="167">
        <v>0</v>
      </c>
      <c r="N18" s="167">
        <v>0</v>
      </c>
      <c r="O18" s="174">
        <v>0</v>
      </c>
      <c r="P18" s="167">
        <f t="shared" si="5"/>
        <v>0</v>
      </c>
      <c r="Q18" s="167">
        <v>0</v>
      </c>
      <c r="R18" s="167">
        <v>0</v>
      </c>
      <c r="S18" s="167">
        <v>0</v>
      </c>
      <c r="T18" s="174">
        <v>0</v>
      </c>
      <c r="U18" s="167">
        <f t="shared" si="6"/>
        <v>0</v>
      </c>
      <c r="V18" s="167">
        <v>0</v>
      </c>
      <c r="W18" s="167">
        <v>0</v>
      </c>
      <c r="X18" s="167">
        <v>0</v>
      </c>
      <c r="Y18" s="174">
        <v>0</v>
      </c>
      <c r="Z18" s="167">
        <f t="shared" si="7"/>
        <v>0</v>
      </c>
      <c r="AA18" s="167">
        <v>0</v>
      </c>
      <c r="AB18" s="167">
        <v>0</v>
      </c>
      <c r="AC18" s="167">
        <v>0</v>
      </c>
      <c r="AD18" s="28"/>
      <c r="AE18" s="28"/>
      <c r="AF18" s="28"/>
    </row>
    <row r="19" spans="1:32" ht="64.150000000000006" customHeight="1" x14ac:dyDescent="0.2">
      <c r="A19" s="164" t="s">
        <v>1227</v>
      </c>
      <c r="B19" s="175" t="s">
        <v>28</v>
      </c>
      <c r="C19" s="166">
        <f t="shared" ref="C19" si="8">E19+J19+O19+T19+Y19</f>
        <v>0</v>
      </c>
      <c r="D19" s="167">
        <f t="shared" si="3"/>
        <v>0</v>
      </c>
      <c r="E19" s="166">
        <v>0</v>
      </c>
      <c r="F19" s="167">
        <v>0</v>
      </c>
      <c r="G19" s="167">
        <v>0</v>
      </c>
      <c r="H19" s="167">
        <v>0</v>
      </c>
      <c r="I19" s="167">
        <v>0</v>
      </c>
      <c r="J19" s="174">
        <v>0</v>
      </c>
      <c r="K19" s="167">
        <f t="shared" si="4"/>
        <v>0</v>
      </c>
      <c r="L19" s="167">
        <v>0</v>
      </c>
      <c r="M19" s="167">
        <v>0</v>
      </c>
      <c r="N19" s="167">
        <v>0</v>
      </c>
      <c r="O19" s="174">
        <v>0</v>
      </c>
      <c r="P19" s="167">
        <f t="shared" si="5"/>
        <v>0</v>
      </c>
      <c r="Q19" s="167">
        <v>0</v>
      </c>
      <c r="R19" s="167">
        <v>0</v>
      </c>
      <c r="S19" s="167">
        <v>0</v>
      </c>
      <c r="T19" s="174">
        <v>0</v>
      </c>
      <c r="U19" s="167">
        <f t="shared" si="6"/>
        <v>0</v>
      </c>
      <c r="V19" s="167">
        <v>0</v>
      </c>
      <c r="W19" s="167">
        <v>0</v>
      </c>
      <c r="X19" s="167">
        <v>0</v>
      </c>
      <c r="Y19" s="174">
        <v>0</v>
      </c>
      <c r="Z19" s="167">
        <f t="shared" si="7"/>
        <v>0</v>
      </c>
      <c r="AA19" s="167">
        <v>0</v>
      </c>
      <c r="AB19" s="167">
        <v>0</v>
      </c>
      <c r="AC19" s="167">
        <v>0</v>
      </c>
      <c r="AD19" s="28"/>
      <c r="AE19" s="28"/>
      <c r="AF19" s="28"/>
    </row>
    <row r="20" spans="1:32" ht="51" customHeight="1" x14ac:dyDescent="0.2">
      <c r="A20" s="164" t="s">
        <v>1228</v>
      </c>
      <c r="B20" s="175" t="s">
        <v>37</v>
      </c>
      <c r="C20" s="166">
        <f>E20+J20+O20+T20+Y20</f>
        <v>0</v>
      </c>
      <c r="D20" s="167">
        <f t="shared" si="3"/>
        <v>0</v>
      </c>
      <c r="E20" s="166">
        <v>0</v>
      </c>
      <c r="F20" s="167">
        <v>0</v>
      </c>
      <c r="G20" s="167">
        <v>0</v>
      </c>
      <c r="H20" s="167">
        <v>0</v>
      </c>
      <c r="I20" s="167">
        <v>0</v>
      </c>
      <c r="J20" s="174">
        <v>0</v>
      </c>
      <c r="K20" s="167">
        <f t="shared" si="4"/>
        <v>0</v>
      </c>
      <c r="L20" s="167">
        <v>0</v>
      </c>
      <c r="M20" s="167">
        <v>0</v>
      </c>
      <c r="N20" s="167">
        <v>0</v>
      </c>
      <c r="O20" s="174">
        <v>0</v>
      </c>
      <c r="P20" s="167">
        <f t="shared" si="5"/>
        <v>0</v>
      </c>
      <c r="Q20" s="167">
        <v>0</v>
      </c>
      <c r="R20" s="167">
        <v>0</v>
      </c>
      <c r="S20" s="167">
        <v>0</v>
      </c>
      <c r="T20" s="174">
        <v>0</v>
      </c>
      <c r="U20" s="167">
        <f t="shared" si="6"/>
        <v>0</v>
      </c>
      <c r="V20" s="167">
        <v>0</v>
      </c>
      <c r="W20" s="167">
        <v>0</v>
      </c>
      <c r="X20" s="167">
        <v>0</v>
      </c>
      <c r="Y20" s="174">
        <v>0</v>
      </c>
      <c r="Z20" s="167">
        <f t="shared" si="7"/>
        <v>0</v>
      </c>
      <c r="AA20" s="167">
        <v>0</v>
      </c>
      <c r="AB20" s="167">
        <v>0</v>
      </c>
      <c r="AC20" s="167">
        <v>0</v>
      </c>
      <c r="AD20" s="28"/>
      <c r="AE20" s="28"/>
      <c r="AF20" s="28"/>
    </row>
    <row r="21" spans="1:32" s="3" customFormat="1" ht="39" customHeight="1" outlineLevel="1" x14ac:dyDescent="0.2">
      <c r="A21" s="164" t="s">
        <v>1229</v>
      </c>
      <c r="B21" s="175" t="s">
        <v>198</v>
      </c>
      <c r="C21" s="166">
        <f t="shared" ref="C21:AC21" si="9">C22</f>
        <v>0.96799999999999997</v>
      </c>
      <c r="D21" s="167">
        <f t="shared" si="9"/>
        <v>198590</v>
      </c>
      <c r="E21" s="166">
        <f t="shared" si="9"/>
        <v>0</v>
      </c>
      <c r="F21" s="167">
        <f t="shared" si="9"/>
        <v>87629</v>
      </c>
      <c r="G21" s="167">
        <f t="shared" si="9"/>
        <v>0</v>
      </c>
      <c r="H21" s="167">
        <f t="shared" si="9"/>
        <v>83058</v>
      </c>
      <c r="I21" s="167">
        <f t="shared" si="9"/>
        <v>4571</v>
      </c>
      <c r="J21" s="166">
        <f t="shared" si="9"/>
        <v>0</v>
      </c>
      <c r="K21" s="167">
        <f t="shared" si="9"/>
        <v>291</v>
      </c>
      <c r="L21" s="167">
        <f t="shared" si="9"/>
        <v>0</v>
      </c>
      <c r="M21" s="167">
        <f t="shared" si="9"/>
        <v>0</v>
      </c>
      <c r="N21" s="167">
        <f t="shared" si="9"/>
        <v>291</v>
      </c>
      <c r="O21" s="166">
        <f t="shared" si="9"/>
        <v>0</v>
      </c>
      <c r="P21" s="167">
        <f t="shared" si="9"/>
        <v>67626</v>
      </c>
      <c r="Q21" s="167">
        <f t="shared" si="9"/>
        <v>0</v>
      </c>
      <c r="R21" s="167">
        <f t="shared" si="9"/>
        <v>64161</v>
      </c>
      <c r="S21" s="167">
        <f t="shared" si="9"/>
        <v>3465</v>
      </c>
      <c r="T21" s="166">
        <f t="shared" si="9"/>
        <v>0.96799999999999997</v>
      </c>
      <c r="U21" s="167">
        <f t="shared" si="9"/>
        <v>43044</v>
      </c>
      <c r="V21" s="167">
        <f t="shared" si="9"/>
        <v>0</v>
      </c>
      <c r="W21" s="167">
        <f t="shared" si="9"/>
        <v>40792</v>
      </c>
      <c r="X21" s="167">
        <f t="shared" si="9"/>
        <v>2252</v>
      </c>
      <c r="Y21" s="166">
        <f t="shared" si="9"/>
        <v>0</v>
      </c>
      <c r="Z21" s="167">
        <f t="shared" si="9"/>
        <v>0</v>
      </c>
      <c r="AA21" s="167">
        <f t="shared" si="9"/>
        <v>0</v>
      </c>
      <c r="AB21" s="167">
        <f t="shared" si="9"/>
        <v>0</v>
      </c>
      <c r="AC21" s="167">
        <f t="shared" si="9"/>
        <v>0</v>
      </c>
      <c r="AD21" s="33"/>
      <c r="AE21" s="33"/>
      <c r="AF21" s="33"/>
    </row>
    <row r="22" spans="1:32" ht="31.5" customHeight="1" outlineLevel="1" x14ac:dyDescent="0.2">
      <c r="A22" s="168" t="s">
        <v>1230</v>
      </c>
      <c r="B22" s="105" t="s">
        <v>198</v>
      </c>
      <c r="C22" s="170">
        <f>E22+J22+O22+T22+Y22</f>
        <v>0.96799999999999997</v>
      </c>
      <c r="D22" s="171">
        <f>F22+K22+P22+U22+Z22</f>
        <v>198590</v>
      </c>
      <c r="E22" s="170">
        <v>0</v>
      </c>
      <c r="F22" s="171">
        <f>G22+H22+I22</f>
        <v>87629</v>
      </c>
      <c r="G22" s="171">
        <v>0</v>
      </c>
      <c r="H22" s="171">
        <v>83058</v>
      </c>
      <c r="I22" s="171">
        <v>4571</v>
      </c>
      <c r="J22" s="170">
        <v>0</v>
      </c>
      <c r="K22" s="171">
        <f t="shared" ref="K22:K27" si="10">L22+M22+N22</f>
        <v>291</v>
      </c>
      <c r="L22" s="171">
        <v>0</v>
      </c>
      <c r="M22" s="171">
        <f>47204-41693-5511</f>
        <v>0</v>
      </c>
      <c r="N22" s="171">
        <f>2485-2194</f>
        <v>291</v>
      </c>
      <c r="O22" s="170">
        <v>0</v>
      </c>
      <c r="P22" s="171">
        <f>Q22+R22+S22</f>
        <v>67626</v>
      </c>
      <c r="Q22" s="171">
        <v>0</v>
      </c>
      <c r="R22" s="173">
        <f>47048+17113</f>
        <v>64161</v>
      </c>
      <c r="S22" s="173">
        <f>2476+88+901</f>
        <v>3465</v>
      </c>
      <c r="T22" s="172">
        <v>0.96799999999999997</v>
      </c>
      <c r="U22" s="171">
        <f>V22+W22+X22</f>
        <v>43044</v>
      </c>
      <c r="V22" s="171">
        <v>0</v>
      </c>
      <c r="W22" s="173">
        <v>40792</v>
      </c>
      <c r="X22" s="173">
        <v>2252</v>
      </c>
      <c r="Y22" s="172">
        <v>0</v>
      </c>
      <c r="Z22" s="171">
        <v>0</v>
      </c>
      <c r="AA22" s="173">
        <v>0</v>
      </c>
      <c r="AB22" s="173">
        <v>0</v>
      </c>
      <c r="AC22" s="173">
        <v>0</v>
      </c>
      <c r="AD22" s="28"/>
      <c r="AE22" s="28"/>
      <c r="AF22" s="28"/>
    </row>
    <row r="23" spans="1:32" s="3" customFormat="1" ht="71.25" customHeight="1" outlineLevel="1" x14ac:dyDescent="0.2">
      <c r="A23" s="164" t="s">
        <v>1231</v>
      </c>
      <c r="B23" s="175" t="s">
        <v>199</v>
      </c>
      <c r="C23" s="166">
        <f>C24</f>
        <v>1.5</v>
      </c>
      <c r="D23" s="167">
        <f>F23+K23+P23+U23+Z23</f>
        <v>174852</v>
      </c>
      <c r="E23" s="166">
        <f t="shared" ref="E23:J23" si="11">E24</f>
        <v>1.5</v>
      </c>
      <c r="F23" s="167">
        <f>F24</f>
        <v>167820</v>
      </c>
      <c r="G23" s="167">
        <f t="shared" si="11"/>
        <v>126793</v>
      </c>
      <c r="H23" s="167">
        <f t="shared" si="11"/>
        <v>38250</v>
      </c>
      <c r="I23" s="167">
        <f t="shared" si="11"/>
        <v>2777</v>
      </c>
      <c r="J23" s="166">
        <f t="shared" si="11"/>
        <v>0</v>
      </c>
      <c r="K23" s="167">
        <f t="shared" si="10"/>
        <v>7032</v>
      </c>
      <c r="L23" s="167">
        <v>0</v>
      </c>
      <c r="M23" s="167">
        <f t="shared" ref="M23:AC23" si="12">M24</f>
        <v>0</v>
      </c>
      <c r="N23" s="167">
        <f t="shared" si="12"/>
        <v>7032</v>
      </c>
      <c r="O23" s="166">
        <f t="shared" si="12"/>
        <v>0</v>
      </c>
      <c r="P23" s="167">
        <f>Q23+R23+S23</f>
        <v>0</v>
      </c>
      <c r="Q23" s="167">
        <v>0</v>
      </c>
      <c r="R23" s="167">
        <f t="shared" si="12"/>
        <v>0</v>
      </c>
      <c r="S23" s="167">
        <f t="shared" si="12"/>
        <v>0</v>
      </c>
      <c r="T23" s="166">
        <f t="shared" si="12"/>
        <v>0</v>
      </c>
      <c r="U23" s="167">
        <f t="shared" si="12"/>
        <v>0</v>
      </c>
      <c r="V23" s="167">
        <v>0</v>
      </c>
      <c r="W23" s="167">
        <f t="shared" si="12"/>
        <v>0</v>
      </c>
      <c r="X23" s="167">
        <f t="shared" si="12"/>
        <v>0</v>
      </c>
      <c r="Y23" s="166">
        <f t="shared" si="12"/>
        <v>0</v>
      </c>
      <c r="Z23" s="167">
        <f t="shared" si="12"/>
        <v>0</v>
      </c>
      <c r="AA23" s="167">
        <v>0</v>
      </c>
      <c r="AB23" s="167">
        <f t="shared" si="12"/>
        <v>0</v>
      </c>
      <c r="AC23" s="167">
        <f t="shared" si="12"/>
        <v>0</v>
      </c>
      <c r="AD23" s="33"/>
      <c r="AE23" s="33"/>
      <c r="AF23" s="33"/>
    </row>
    <row r="24" spans="1:32" ht="63" customHeight="1" outlineLevel="1" x14ac:dyDescent="0.2">
      <c r="A24" s="168" t="s">
        <v>1232</v>
      </c>
      <c r="B24" s="105" t="s">
        <v>199</v>
      </c>
      <c r="C24" s="170">
        <f>E24</f>
        <v>1.5</v>
      </c>
      <c r="D24" s="171">
        <f>F24+K24+P24+U24+Z24</f>
        <v>174852</v>
      </c>
      <c r="E24" s="170">
        <v>1.5</v>
      </c>
      <c r="F24" s="171">
        <f>G24+H24+I24</f>
        <v>167820</v>
      </c>
      <c r="G24" s="171">
        <v>126793</v>
      </c>
      <c r="H24" s="171">
        <v>38250</v>
      </c>
      <c r="I24" s="171">
        <v>2777</v>
      </c>
      <c r="J24" s="170">
        <v>0</v>
      </c>
      <c r="K24" s="171">
        <f t="shared" si="10"/>
        <v>7032</v>
      </c>
      <c r="L24" s="171">
        <v>0</v>
      </c>
      <c r="M24" s="171">
        <v>0</v>
      </c>
      <c r="N24" s="171">
        <f>7002+30</f>
        <v>7032</v>
      </c>
      <c r="O24" s="170">
        <v>0</v>
      </c>
      <c r="P24" s="167">
        <f t="shared" ref="P24:P25" si="13">Q24+R24+S24</f>
        <v>0</v>
      </c>
      <c r="Q24" s="171">
        <v>0</v>
      </c>
      <c r="R24" s="173">
        <v>0</v>
      </c>
      <c r="S24" s="173">
        <v>0</v>
      </c>
      <c r="T24" s="172">
        <v>0</v>
      </c>
      <c r="U24" s="171">
        <v>0</v>
      </c>
      <c r="V24" s="171">
        <v>0</v>
      </c>
      <c r="W24" s="173">
        <v>0</v>
      </c>
      <c r="X24" s="173">
        <v>0</v>
      </c>
      <c r="Y24" s="172">
        <v>0</v>
      </c>
      <c r="Z24" s="171">
        <v>0</v>
      </c>
      <c r="AA24" s="173">
        <v>0</v>
      </c>
      <c r="AB24" s="173">
        <v>0</v>
      </c>
      <c r="AC24" s="173">
        <v>0</v>
      </c>
      <c r="AD24" s="28"/>
      <c r="AE24" s="28"/>
      <c r="AF24" s="28"/>
    </row>
    <row r="25" spans="1:32" s="3" customFormat="1" ht="43.15" customHeight="1" outlineLevel="1" x14ac:dyDescent="0.2">
      <c r="A25" s="164" t="s">
        <v>1233</v>
      </c>
      <c r="B25" s="175" t="s">
        <v>309</v>
      </c>
      <c r="C25" s="166">
        <f>E25</f>
        <v>0</v>
      </c>
      <c r="D25" s="167">
        <f t="shared" ref="D25:D30" si="14">F25+K25+P25+U25+Z25</f>
        <v>0</v>
      </c>
      <c r="E25" s="166">
        <v>0</v>
      </c>
      <c r="F25" s="167">
        <f>G25+H25+I25</f>
        <v>0</v>
      </c>
      <c r="G25" s="167">
        <v>0</v>
      </c>
      <c r="H25" s="167">
        <v>0</v>
      </c>
      <c r="I25" s="167">
        <v>0</v>
      </c>
      <c r="J25" s="166">
        <v>0</v>
      </c>
      <c r="K25" s="167">
        <f t="shared" si="10"/>
        <v>0</v>
      </c>
      <c r="L25" s="167">
        <v>0</v>
      </c>
      <c r="M25" s="167">
        <v>0</v>
      </c>
      <c r="N25" s="167">
        <v>0</v>
      </c>
      <c r="O25" s="166">
        <v>0</v>
      </c>
      <c r="P25" s="167">
        <f t="shared" si="13"/>
        <v>0</v>
      </c>
      <c r="Q25" s="167">
        <v>0</v>
      </c>
      <c r="R25" s="176">
        <v>0</v>
      </c>
      <c r="S25" s="176">
        <f>5000-5000</f>
        <v>0</v>
      </c>
      <c r="T25" s="174">
        <v>0</v>
      </c>
      <c r="U25" s="167">
        <f>V25+W25+X25</f>
        <v>0</v>
      </c>
      <c r="V25" s="167">
        <v>0</v>
      </c>
      <c r="W25" s="176">
        <v>0</v>
      </c>
      <c r="X25" s="176">
        <f>5000-5000</f>
        <v>0</v>
      </c>
      <c r="Y25" s="174">
        <v>0</v>
      </c>
      <c r="Z25" s="167">
        <v>0</v>
      </c>
      <c r="AA25" s="176">
        <v>0</v>
      </c>
      <c r="AB25" s="176">
        <v>0</v>
      </c>
      <c r="AC25" s="176">
        <v>0</v>
      </c>
      <c r="AD25" s="33"/>
      <c r="AE25" s="33"/>
      <c r="AF25" s="33"/>
    </row>
    <row r="26" spans="1:32" s="3" customFormat="1" ht="132" customHeight="1" outlineLevel="1" x14ac:dyDescent="0.2">
      <c r="A26" s="164" t="s">
        <v>1234</v>
      </c>
      <c r="B26" s="175" t="s">
        <v>226</v>
      </c>
      <c r="C26" s="166">
        <f>E26+J26</f>
        <v>0</v>
      </c>
      <c r="D26" s="167">
        <f t="shared" si="14"/>
        <v>0</v>
      </c>
      <c r="E26" s="166">
        <v>0</v>
      </c>
      <c r="F26" s="167">
        <f>G26+H26+I26</f>
        <v>0</v>
      </c>
      <c r="G26" s="167">
        <v>0</v>
      </c>
      <c r="H26" s="167">
        <v>0</v>
      </c>
      <c r="I26" s="167">
        <v>0</v>
      </c>
      <c r="J26" s="166">
        <v>0</v>
      </c>
      <c r="K26" s="167">
        <f t="shared" si="10"/>
        <v>0</v>
      </c>
      <c r="L26" s="167">
        <v>0</v>
      </c>
      <c r="M26" s="167">
        <v>0</v>
      </c>
      <c r="N26" s="167">
        <v>0</v>
      </c>
      <c r="O26" s="166">
        <v>0</v>
      </c>
      <c r="P26" s="167">
        <f>Q26+R26+S26</f>
        <v>0</v>
      </c>
      <c r="Q26" s="167">
        <v>0</v>
      </c>
      <c r="R26" s="176">
        <v>0</v>
      </c>
      <c r="S26" s="176">
        <v>0</v>
      </c>
      <c r="T26" s="174">
        <v>0</v>
      </c>
      <c r="U26" s="167">
        <v>0</v>
      </c>
      <c r="V26" s="167">
        <v>0</v>
      </c>
      <c r="W26" s="176">
        <v>0</v>
      </c>
      <c r="X26" s="176">
        <v>0</v>
      </c>
      <c r="Y26" s="174">
        <v>0</v>
      </c>
      <c r="Z26" s="167">
        <v>0</v>
      </c>
      <c r="AA26" s="176">
        <v>0</v>
      </c>
      <c r="AB26" s="176">
        <v>0</v>
      </c>
      <c r="AC26" s="176">
        <v>0</v>
      </c>
      <c r="AD26" s="33"/>
      <c r="AE26" s="33"/>
      <c r="AF26" s="33"/>
    </row>
    <row r="27" spans="1:32" s="3" customFormat="1" ht="130.5" customHeight="1" outlineLevel="1" x14ac:dyDescent="0.2">
      <c r="A27" s="164" t="s">
        <v>1235</v>
      </c>
      <c r="B27" s="175" t="s">
        <v>227</v>
      </c>
      <c r="C27" s="166">
        <f>E27+J27</f>
        <v>0</v>
      </c>
      <c r="D27" s="167">
        <f t="shared" si="14"/>
        <v>0</v>
      </c>
      <c r="E27" s="166">
        <v>0</v>
      </c>
      <c r="F27" s="167">
        <f>G27+H27+I27</f>
        <v>0</v>
      </c>
      <c r="G27" s="167">
        <v>0</v>
      </c>
      <c r="H27" s="167">
        <v>0</v>
      </c>
      <c r="I27" s="167">
        <v>0</v>
      </c>
      <c r="J27" s="166">
        <v>0</v>
      </c>
      <c r="K27" s="167">
        <f t="shared" si="10"/>
        <v>0</v>
      </c>
      <c r="L27" s="167">
        <v>0</v>
      </c>
      <c r="M27" s="167">
        <v>0</v>
      </c>
      <c r="N27" s="167">
        <v>0</v>
      </c>
      <c r="O27" s="166">
        <v>0</v>
      </c>
      <c r="P27" s="167">
        <f>Q27+R27+S27</f>
        <v>0</v>
      </c>
      <c r="Q27" s="167">
        <v>0</v>
      </c>
      <c r="R27" s="176">
        <v>0</v>
      </c>
      <c r="S27" s="176">
        <v>0</v>
      </c>
      <c r="T27" s="174">
        <v>0</v>
      </c>
      <c r="U27" s="167">
        <v>0</v>
      </c>
      <c r="V27" s="167">
        <v>0</v>
      </c>
      <c r="W27" s="176">
        <v>0</v>
      </c>
      <c r="X27" s="176">
        <v>0</v>
      </c>
      <c r="Y27" s="174">
        <v>0</v>
      </c>
      <c r="Z27" s="167">
        <v>0</v>
      </c>
      <c r="AA27" s="176">
        <v>0</v>
      </c>
      <c r="AB27" s="176">
        <v>0</v>
      </c>
      <c r="AC27" s="176">
        <v>0</v>
      </c>
      <c r="AD27" s="33"/>
      <c r="AE27" s="33"/>
      <c r="AF27" s="33"/>
    </row>
    <row r="28" spans="1:32" s="3" customFormat="1" ht="57.6" customHeight="1" outlineLevel="1" x14ac:dyDescent="0.2">
      <c r="A28" s="164" t="s">
        <v>1236</v>
      </c>
      <c r="B28" s="175" t="s">
        <v>282</v>
      </c>
      <c r="C28" s="166">
        <f>E28</f>
        <v>0.6</v>
      </c>
      <c r="D28" s="167">
        <f>F28+K28+P28+U28+Z28</f>
        <v>67025</v>
      </c>
      <c r="E28" s="164">
        <f>E29+E30</f>
        <v>0.6</v>
      </c>
      <c r="F28" s="167">
        <f>F29+F30+F31</f>
        <v>66016</v>
      </c>
      <c r="G28" s="167">
        <f>G29+G30+G31</f>
        <v>0</v>
      </c>
      <c r="H28" s="167">
        <f>H29+H30+H31</f>
        <v>60962</v>
      </c>
      <c r="I28" s="167">
        <f>I29+I30+I31</f>
        <v>5054</v>
      </c>
      <c r="J28" s="166">
        <v>0</v>
      </c>
      <c r="K28" s="167">
        <f>K29+K30+K31</f>
        <v>1009</v>
      </c>
      <c r="L28" s="167">
        <f>L29+L30+L31</f>
        <v>0</v>
      </c>
      <c r="M28" s="167">
        <f>M29+M30+M31</f>
        <v>0</v>
      </c>
      <c r="N28" s="167">
        <f>N29+N30+N31</f>
        <v>1009</v>
      </c>
      <c r="O28" s="166">
        <v>0</v>
      </c>
      <c r="P28" s="167">
        <f t="shared" ref="P28:AC28" si="15">P29+P30</f>
        <v>0</v>
      </c>
      <c r="Q28" s="167">
        <f t="shared" si="15"/>
        <v>0</v>
      </c>
      <c r="R28" s="167">
        <f t="shared" si="15"/>
        <v>0</v>
      </c>
      <c r="S28" s="167">
        <f t="shared" si="15"/>
        <v>0</v>
      </c>
      <c r="T28" s="174">
        <v>0</v>
      </c>
      <c r="U28" s="167">
        <f t="shared" si="15"/>
        <v>0</v>
      </c>
      <c r="V28" s="167">
        <f t="shared" si="15"/>
        <v>0</v>
      </c>
      <c r="W28" s="167">
        <f t="shared" si="15"/>
        <v>0</v>
      </c>
      <c r="X28" s="167">
        <f t="shared" si="15"/>
        <v>0</v>
      </c>
      <c r="Y28" s="174">
        <v>0</v>
      </c>
      <c r="Z28" s="167">
        <f>Z29+Z30</f>
        <v>0</v>
      </c>
      <c r="AA28" s="167">
        <f t="shared" si="15"/>
        <v>0</v>
      </c>
      <c r="AB28" s="167">
        <f t="shared" si="15"/>
        <v>0</v>
      </c>
      <c r="AC28" s="167">
        <f t="shared" si="15"/>
        <v>0</v>
      </c>
      <c r="AD28" s="33"/>
      <c r="AE28" s="33"/>
      <c r="AF28" s="33"/>
    </row>
    <row r="29" spans="1:32" ht="54" customHeight="1" outlineLevel="1" x14ac:dyDescent="0.2">
      <c r="A29" s="168" t="s">
        <v>1237</v>
      </c>
      <c r="B29" s="105" t="s">
        <v>282</v>
      </c>
      <c r="C29" s="170">
        <f>E29</f>
        <v>0.6</v>
      </c>
      <c r="D29" s="171">
        <f t="shared" si="14"/>
        <v>64036</v>
      </c>
      <c r="E29" s="170">
        <v>0.6</v>
      </c>
      <c r="F29" s="171">
        <f>G29+H29+I29</f>
        <v>64036</v>
      </c>
      <c r="G29" s="171">
        <v>0</v>
      </c>
      <c r="H29" s="171">
        <v>60962</v>
      </c>
      <c r="I29" s="171">
        <v>3074</v>
      </c>
      <c r="J29" s="170">
        <v>0</v>
      </c>
      <c r="K29" s="171">
        <v>0</v>
      </c>
      <c r="L29" s="171">
        <v>0</v>
      </c>
      <c r="M29" s="171">
        <v>0</v>
      </c>
      <c r="N29" s="171">
        <v>0</v>
      </c>
      <c r="O29" s="170">
        <v>0</v>
      </c>
      <c r="P29" s="171">
        <v>0</v>
      </c>
      <c r="Q29" s="171">
        <v>0</v>
      </c>
      <c r="R29" s="173">
        <v>0</v>
      </c>
      <c r="S29" s="173">
        <v>0</v>
      </c>
      <c r="T29" s="172">
        <v>0</v>
      </c>
      <c r="U29" s="171">
        <v>0</v>
      </c>
      <c r="V29" s="171">
        <v>0</v>
      </c>
      <c r="W29" s="173">
        <v>0</v>
      </c>
      <c r="X29" s="173">
        <v>0</v>
      </c>
      <c r="Y29" s="172">
        <v>0</v>
      </c>
      <c r="Z29" s="171">
        <v>0</v>
      </c>
      <c r="AA29" s="173">
        <v>0</v>
      </c>
      <c r="AB29" s="173">
        <v>0</v>
      </c>
      <c r="AC29" s="173">
        <v>0</v>
      </c>
      <c r="AD29" s="28"/>
      <c r="AE29" s="28"/>
      <c r="AF29" s="28"/>
    </row>
    <row r="30" spans="1:32" ht="79.150000000000006" customHeight="1" outlineLevel="1" x14ac:dyDescent="0.2">
      <c r="A30" s="168" t="s">
        <v>1238</v>
      </c>
      <c r="B30" s="105" t="s">
        <v>306</v>
      </c>
      <c r="C30" s="170">
        <f>E30</f>
        <v>0</v>
      </c>
      <c r="D30" s="171">
        <f t="shared" si="14"/>
        <v>1980</v>
      </c>
      <c r="E30" s="170">
        <v>0</v>
      </c>
      <c r="F30" s="171">
        <f>G30+H30+I30</f>
        <v>1980</v>
      </c>
      <c r="G30" s="171">
        <v>0</v>
      </c>
      <c r="H30" s="171">
        <v>0</v>
      </c>
      <c r="I30" s="171">
        <v>1980</v>
      </c>
      <c r="J30" s="170">
        <v>0</v>
      </c>
      <c r="K30" s="171">
        <v>0</v>
      </c>
      <c r="L30" s="171">
        <v>0</v>
      </c>
      <c r="M30" s="171">
        <v>0</v>
      </c>
      <c r="N30" s="171">
        <v>0</v>
      </c>
      <c r="O30" s="170">
        <v>0</v>
      </c>
      <c r="P30" s="171">
        <v>0</v>
      </c>
      <c r="Q30" s="171">
        <v>0</v>
      </c>
      <c r="R30" s="173">
        <v>0</v>
      </c>
      <c r="S30" s="173">
        <v>0</v>
      </c>
      <c r="T30" s="172">
        <v>0</v>
      </c>
      <c r="U30" s="171">
        <v>0</v>
      </c>
      <c r="V30" s="171">
        <v>0</v>
      </c>
      <c r="W30" s="173">
        <v>0</v>
      </c>
      <c r="X30" s="173">
        <v>0</v>
      </c>
      <c r="Y30" s="172">
        <v>0</v>
      </c>
      <c r="Z30" s="171">
        <v>0</v>
      </c>
      <c r="AA30" s="173">
        <v>0</v>
      </c>
      <c r="AB30" s="173">
        <v>0</v>
      </c>
      <c r="AC30" s="173">
        <v>0</v>
      </c>
      <c r="AD30" s="28"/>
      <c r="AE30" s="28"/>
      <c r="AF30" s="28"/>
    </row>
    <row r="31" spans="1:32" ht="88.5" customHeight="1" outlineLevel="1" x14ac:dyDescent="0.2">
      <c r="A31" s="168" t="s">
        <v>1239</v>
      </c>
      <c r="B31" s="105" t="s">
        <v>386</v>
      </c>
      <c r="C31" s="170">
        <f>E31</f>
        <v>0</v>
      </c>
      <c r="D31" s="171">
        <f>F31+K31+P31+U31+Z31</f>
        <v>1009</v>
      </c>
      <c r="E31" s="170">
        <v>0</v>
      </c>
      <c r="F31" s="171">
        <f>G31+H31+I31</f>
        <v>0</v>
      </c>
      <c r="G31" s="171">
        <v>0</v>
      </c>
      <c r="H31" s="171">
        <v>0</v>
      </c>
      <c r="I31" s="171">
        <v>0</v>
      </c>
      <c r="J31" s="170">
        <v>0</v>
      </c>
      <c r="K31" s="171">
        <f>L31+M31+N31</f>
        <v>1009</v>
      </c>
      <c r="L31" s="171">
        <v>0</v>
      </c>
      <c r="M31" s="171">
        <v>0</v>
      </c>
      <c r="N31" s="171">
        <v>1009</v>
      </c>
      <c r="O31" s="170">
        <v>0</v>
      </c>
      <c r="P31" s="171">
        <v>0</v>
      </c>
      <c r="Q31" s="171">
        <v>0</v>
      </c>
      <c r="R31" s="173">
        <v>0</v>
      </c>
      <c r="S31" s="173">
        <v>0</v>
      </c>
      <c r="T31" s="172">
        <v>0</v>
      </c>
      <c r="U31" s="171">
        <v>0</v>
      </c>
      <c r="V31" s="171">
        <v>0</v>
      </c>
      <c r="W31" s="173">
        <v>0</v>
      </c>
      <c r="X31" s="173">
        <v>0</v>
      </c>
      <c r="Y31" s="172">
        <v>0</v>
      </c>
      <c r="Z31" s="171">
        <v>0</v>
      </c>
      <c r="AA31" s="173">
        <v>0</v>
      </c>
      <c r="AB31" s="173">
        <v>0</v>
      </c>
      <c r="AC31" s="173">
        <v>0</v>
      </c>
      <c r="AD31" s="28"/>
      <c r="AE31" s="28"/>
      <c r="AF31" s="28"/>
    </row>
    <row r="32" spans="1:32" ht="88.5" customHeight="1" outlineLevel="1" x14ac:dyDescent="0.2">
      <c r="A32" s="164" t="s">
        <v>1240</v>
      </c>
      <c r="B32" s="175" t="s">
        <v>552</v>
      </c>
      <c r="C32" s="166">
        <v>0</v>
      </c>
      <c r="D32" s="167">
        <f>F32+K32+P32+U32+Z32</f>
        <v>0</v>
      </c>
      <c r="E32" s="166">
        <v>0</v>
      </c>
      <c r="F32" s="167">
        <f>G32+H32+I32</f>
        <v>0</v>
      </c>
      <c r="G32" s="167">
        <v>0</v>
      </c>
      <c r="H32" s="167">
        <v>0</v>
      </c>
      <c r="I32" s="167">
        <v>0</v>
      </c>
      <c r="J32" s="166">
        <v>0</v>
      </c>
      <c r="K32" s="167">
        <f>L32+M32+N32</f>
        <v>0</v>
      </c>
      <c r="L32" s="167">
        <v>0</v>
      </c>
      <c r="M32" s="167">
        <v>0</v>
      </c>
      <c r="N32" s="167">
        <v>0</v>
      </c>
      <c r="O32" s="166">
        <v>0</v>
      </c>
      <c r="P32" s="167">
        <f>Q32+R32+S32</f>
        <v>0</v>
      </c>
      <c r="Q32" s="167">
        <v>0</v>
      </c>
      <c r="R32" s="167">
        <v>0</v>
      </c>
      <c r="S32" s="167">
        <v>0</v>
      </c>
      <c r="T32" s="174">
        <v>0</v>
      </c>
      <c r="U32" s="167">
        <f>V32+W32+X32</f>
        <v>0</v>
      </c>
      <c r="V32" s="167">
        <v>0</v>
      </c>
      <c r="W32" s="167">
        <v>0</v>
      </c>
      <c r="X32" s="167">
        <v>0</v>
      </c>
      <c r="Y32" s="174">
        <v>0</v>
      </c>
      <c r="Z32" s="167">
        <f>AA32+AB32+AC32</f>
        <v>0</v>
      </c>
      <c r="AA32" s="167">
        <v>0</v>
      </c>
      <c r="AB32" s="167">
        <v>0</v>
      </c>
      <c r="AC32" s="167">
        <v>0</v>
      </c>
      <c r="AD32" s="28"/>
      <c r="AE32" s="28"/>
      <c r="AF32" s="28"/>
    </row>
    <row r="33" spans="1:32" s="8" customFormat="1" ht="40.5" customHeight="1" x14ac:dyDescent="0.2">
      <c r="A33" s="177"/>
      <c r="B33" s="178" t="s">
        <v>473</v>
      </c>
      <c r="C33" s="179">
        <f t="shared" ref="C33:R33" si="16">C11+C16+C17+C18+C19+C20+C21+C23+C15+C25+C26+C27+C28+C32</f>
        <v>3.0680000000000001</v>
      </c>
      <c r="D33" s="180">
        <f t="shared" si="16"/>
        <v>440467</v>
      </c>
      <c r="E33" s="179">
        <f t="shared" si="16"/>
        <v>2.1</v>
      </c>
      <c r="F33" s="180">
        <f t="shared" si="16"/>
        <v>321465</v>
      </c>
      <c r="G33" s="180">
        <f t="shared" si="16"/>
        <v>126793</v>
      </c>
      <c r="H33" s="180">
        <f t="shared" si="16"/>
        <v>182270</v>
      </c>
      <c r="I33" s="180">
        <f t="shared" si="16"/>
        <v>12402</v>
      </c>
      <c r="J33" s="179">
        <f t="shared" si="16"/>
        <v>0</v>
      </c>
      <c r="K33" s="180">
        <f t="shared" si="16"/>
        <v>8332</v>
      </c>
      <c r="L33" s="180">
        <f t="shared" si="16"/>
        <v>0</v>
      </c>
      <c r="M33" s="180">
        <f t="shared" si="16"/>
        <v>0</v>
      </c>
      <c r="N33" s="180">
        <f t="shared" si="16"/>
        <v>8332</v>
      </c>
      <c r="O33" s="181">
        <f t="shared" si="16"/>
        <v>0</v>
      </c>
      <c r="P33" s="180">
        <f t="shared" si="16"/>
        <v>67626</v>
      </c>
      <c r="Q33" s="180">
        <f t="shared" si="16"/>
        <v>0</v>
      </c>
      <c r="R33" s="180">
        <f t="shared" si="16"/>
        <v>64161</v>
      </c>
      <c r="S33" s="180">
        <f>S11+S16+S17+S18+S19+S20+S21+S23+S15+S25+S26+S27+S32</f>
        <v>3465</v>
      </c>
      <c r="T33" s="179">
        <f>T11+T16+T17+T18+T19+T20+T21+T23+T15+T25+T26+T27+T28+T32</f>
        <v>0.96799999999999997</v>
      </c>
      <c r="U33" s="180">
        <f>V33+W33+X33</f>
        <v>43044</v>
      </c>
      <c r="V33" s="180">
        <f>V11+V16+V17+V18+V19+V20+V21+V23+V15+V25+V26+V27+V28+V32</f>
        <v>0</v>
      </c>
      <c r="W33" s="180">
        <f>W11+W16+W17+W18+W19+W20+W21+W23+W15+W25+W26+W27+W28+W32</f>
        <v>40792</v>
      </c>
      <c r="X33" s="180">
        <f>X11+X16+X17+X18+X19+X20+X21+X23+X15+X25+X26+X27+X28+X32</f>
        <v>2252</v>
      </c>
      <c r="Y33" s="179">
        <f>Y11+Y15+Y16+Y17+Y18+Y19+Y20+Y21+Y23+Y25+Y26+Y27+Y28+Y32</f>
        <v>0</v>
      </c>
      <c r="Z33" s="180">
        <f>Z11+Z16+Z17+Z18+Z19+Z20+Z21+Z23+Z15+Z25+Z26+Z27+Z28+Z32</f>
        <v>0</v>
      </c>
      <c r="AA33" s="180">
        <f>AA11+AA16+AA17+AA18+AA19+AA20+AA21+AA23+AA15+AA25+AA26+AA27+AA28+AA32</f>
        <v>0</v>
      </c>
      <c r="AB33" s="180">
        <f>AB11+AB16+AB17+AB18+AB19+AB20+AB21+AB23+AB15+AB25+AB26+AB27+AB28+AB32</f>
        <v>0</v>
      </c>
      <c r="AC33" s="180">
        <f>AC11+AC16+AC17+AC18+AC19+AC20+AC21+AC23+AC15+AC25+AC26+AC27+AC28+AC32</f>
        <v>0</v>
      </c>
      <c r="AD33" s="302"/>
      <c r="AE33" s="302"/>
    </row>
    <row r="34" spans="1:32" ht="40.5" customHeight="1" x14ac:dyDescent="0.2">
      <c r="A34" s="182" t="s">
        <v>36</v>
      </c>
      <c r="B34" s="430" t="s">
        <v>1070</v>
      </c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431"/>
      <c r="AB34" s="431"/>
      <c r="AC34" s="432"/>
      <c r="AD34" s="28"/>
      <c r="AE34" s="28"/>
      <c r="AF34" s="28"/>
    </row>
    <row r="35" spans="1:32" s="3" customFormat="1" ht="112.15" customHeight="1" outlineLevel="1" x14ac:dyDescent="0.2">
      <c r="A35" s="164" t="s">
        <v>474</v>
      </c>
      <c r="B35" s="183" t="s">
        <v>41</v>
      </c>
      <c r="C35" s="166">
        <f t="shared" ref="C35:C36" si="17">E35+J35+O35+Y35+T35</f>
        <v>0</v>
      </c>
      <c r="D35" s="167">
        <f t="shared" ref="D35:D37" si="18">F35+K35+P35+Z35+U35</f>
        <v>0</v>
      </c>
      <c r="E35" s="166">
        <v>0</v>
      </c>
      <c r="F35" s="176">
        <f>G35+H35+I35</f>
        <v>0</v>
      </c>
      <c r="G35" s="167">
        <v>0</v>
      </c>
      <c r="H35" s="167">
        <v>0</v>
      </c>
      <c r="I35" s="167">
        <v>0</v>
      </c>
      <c r="J35" s="166">
        <v>0</v>
      </c>
      <c r="K35" s="167">
        <f>N35+M35+L35</f>
        <v>0</v>
      </c>
      <c r="L35" s="167">
        <v>0</v>
      </c>
      <c r="M35" s="167">
        <v>0</v>
      </c>
      <c r="N35" s="167">
        <v>0</v>
      </c>
      <c r="O35" s="166">
        <v>0</v>
      </c>
      <c r="P35" s="176">
        <f t="shared" ref="P35:P37" si="19">S35+R35+Q35</f>
        <v>0</v>
      </c>
      <c r="Q35" s="167">
        <v>0</v>
      </c>
      <c r="R35" s="167">
        <v>0</v>
      </c>
      <c r="S35" s="167">
        <v>0</v>
      </c>
      <c r="T35" s="166">
        <v>0</v>
      </c>
      <c r="U35" s="176">
        <f t="shared" ref="U35:U37" si="20">V35+W35+X35</f>
        <v>0</v>
      </c>
      <c r="V35" s="167">
        <v>0</v>
      </c>
      <c r="W35" s="167">
        <v>0</v>
      </c>
      <c r="X35" s="167">
        <v>0</v>
      </c>
      <c r="Y35" s="166">
        <v>0</v>
      </c>
      <c r="Z35" s="167">
        <f>AC35+AB35+AA35</f>
        <v>0</v>
      </c>
      <c r="AA35" s="167">
        <v>0</v>
      </c>
      <c r="AB35" s="167">
        <v>0</v>
      </c>
      <c r="AC35" s="167">
        <v>0</v>
      </c>
      <c r="AD35" s="33"/>
      <c r="AE35" s="33"/>
      <c r="AF35" s="33"/>
    </row>
    <row r="36" spans="1:32" s="3" customFormat="1" ht="105" customHeight="1" outlineLevel="1" x14ac:dyDescent="0.2">
      <c r="A36" s="164" t="s">
        <v>475</v>
      </c>
      <c r="B36" s="183" t="s">
        <v>123</v>
      </c>
      <c r="C36" s="166">
        <f t="shared" si="17"/>
        <v>0</v>
      </c>
      <c r="D36" s="167">
        <f t="shared" si="18"/>
        <v>0</v>
      </c>
      <c r="E36" s="166">
        <v>0</v>
      </c>
      <c r="F36" s="176">
        <f>G36+H36+I36</f>
        <v>0</v>
      </c>
      <c r="G36" s="167">
        <v>0</v>
      </c>
      <c r="H36" s="167">
        <v>0</v>
      </c>
      <c r="I36" s="167">
        <v>0</v>
      </c>
      <c r="J36" s="166">
        <v>0</v>
      </c>
      <c r="K36" s="167">
        <f t="shared" ref="K36:K37" si="21">N36+M36+L36</f>
        <v>0</v>
      </c>
      <c r="L36" s="167">
        <v>0</v>
      </c>
      <c r="M36" s="167">
        <v>0</v>
      </c>
      <c r="N36" s="167">
        <v>0</v>
      </c>
      <c r="O36" s="166">
        <v>0</v>
      </c>
      <c r="P36" s="176">
        <f t="shared" si="19"/>
        <v>0</v>
      </c>
      <c r="Q36" s="167">
        <v>0</v>
      </c>
      <c r="R36" s="167">
        <v>0</v>
      </c>
      <c r="S36" s="167">
        <v>0</v>
      </c>
      <c r="T36" s="166">
        <v>0</v>
      </c>
      <c r="U36" s="176">
        <f t="shared" si="20"/>
        <v>0</v>
      </c>
      <c r="V36" s="167">
        <v>0</v>
      </c>
      <c r="W36" s="167">
        <v>0</v>
      </c>
      <c r="X36" s="167">
        <v>0</v>
      </c>
      <c r="Y36" s="166">
        <v>0</v>
      </c>
      <c r="Z36" s="167">
        <f t="shared" ref="Z36:Z37" si="22">AC36+AB36+AA36</f>
        <v>0</v>
      </c>
      <c r="AA36" s="167">
        <v>0</v>
      </c>
      <c r="AB36" s="167">
        <v>0</v>
      </c>
      <c r="AC36" s="167">
        <v>0</v>
      </c>
      <c r="AD36" s="33"/>
      <c r="AE36" s="33"/>
      <c r="AF36" s="33"/>
    </row>
    <row r="37" spans="1:32" s="3" customFormat="1" ht="122.25" customHeight="1" outlineLevel="1" x14ac:dyDescent="0.2">
      <c r="A37" s="164" t="s">
        <v>476</v>
      </c>
      <c r="B37" s="183" t="s">
        <v>628</v>
      </c>
      <c r="C37" s="166">
        <f>E37+J37+O37+Y37+T37</f>
        <v>0</v>
      </c>
      <c r="D37" s="167">
        <f t="shared" si="18"/>
        <v>0</v>
      </c>
      <c r="E37" s="166">
        <v>0</v>
      </c>
      <c r="F37" s="176">
        <f t="shared" ref="F37" si="23">G37+H37+I37</f>
        <v>0</v>
      </c>
      <c r="G37" s="167">
        <v>0</v>
      </c>
      <c r="H37" s="167">
        <v>0</v>
      </c>
      <c r="I37" s="167">
        <v>0</v>
      </c>
      <c r="J37" s="166">
        <v>0</v>
      </c>
      <c r="K37" s="167">
        <f t="shared" si="21"/>
        <v>0</v>
      </c>
      <c r="L37" s="167">
        <v>0</v>
      </c>
      <c r="M37" s="167">
        <v>0</v>
      </c>
      <c r="N37" s="167">
        <v>0</v>
      </c>
      <c r="O37" s="166">
        <v>0</v>
      </c>
      <c r="P37" s="176">
        <f t="shared" si="19"/>
        <v>0</v>
      </c>
      <c r="Q37" s="167">
        <v>0</v>
      </c>
      <c r="R37" s="167">
        <v>0</v>
      </c>
      <c r="S37" s="167">
        <v>0</v>
      </c>
      <c r="T37" s="166">
        <v>0</v>
      </c>
      <c r="U37" s="176">
        <f t="shared" si="20"/>
        <v>0</v>
      </c>
      <c r="V37" s="167">
        <v>0</v>
      </c>
      <c r="W37" s="167">
        <v>0</v>
      </c>
      <c r="X37" s="167">
        <v>0</v>
      </c>
      <c r="Y37" s="166">
        <v>0</v>
      </c>
      <c r="Z37" s="167">
        <f t="shared" si="22"/>
        <v>0</v>
      </c>
      <c r="AA37" s="167">
        <v>0</v>
      </c>
      <c r="AB37" s="167">
        <v>0</v>
      </c>
      <c r="AC37" s="167">
        <v>0</v>
      </c>
      <c r="AD37" s="33"/>
      <c r="AE37" s="33"/>
      <c r="AF37" s="33"/>
    </row>
    <row r="38" spans="1:32" s="3" customFormat="1" ht="79.5" customHeight="1" outlineLevel="1" x14ac:dyDescent="0.2">
      <c r="A38" s="164" t="s">
        <v>477</v>
      </c>
      <c r="B38" s="183" t="s">
        <v>307</v>
      </c>
      <c r="C38" s="166">
        <f t="shared" ref="C38:D40" si="24">E38+J38+O38+T38+Y38</f>
        <v>2</v>
      </c>
      <c r="D38" s="167">
        <f>F38+K38+P38+U38+Z38</f>
        <v>184170</v>
      </c>
      <c r="E38" s="174">
        <v>1</v>
      </c>
      <c r="F38" s="176">
        <f>G38+H38+I38</f>
        <v>66560</v>
      </c>
      <c r="G38" s="176">
        <f>G39+G40</f>
        <v>0</v>
      </c>
      <c r="H38" s="176">
        <f>H39+H40</f>
        <v>62060</v>
      </c>
      <c r="I38" s="176">
        <f>I39+I40</f>
        <v>4500</v>
      </c>
      <c r="J38" s="166">
        <v>0</v>
      </c>
      <c r="K38" s="167">
        <f>K39+K40</f>
        <v>0</v>
      </c>
      <c r="L38" s="167">
        <f>L39+L40</f>
        <v>0</v>
      </c>
      <c r="M38" s="167">
        <f>M39+M40</f>
        <v>0</v>
      </c>
      <c r="N38" s="167">
        <f>N39+N40</f>
        <v>0</v>
      </c>
      <c r="O38" s="174">
        <f>O39+O40</f>
        <v>1</v>
      </c>
      <c r="P38" s="176">
        <f>S38+R38+Q38</f>
        <v>117610</v>
      </c>
      <c r="Q38" s="176">
        <v>0</v>
      </c>
      <c r="R38" s="176">
        <f>R39+R40+R41</f>
        <v>110000</v>
      </c>
      <c r="S38" s="176">
        <f>S39+S40+S41</f>
        <v>7610</v>
      </c>
      <c r="T38" s="174">
        <v>0</v>
      </c>
      <c r="U38" s="176">
        <f>V38+W38+X38</f>
        <v>0</v>
      </c>
      <c r="V38" s="176">
        <v>0</v>
      </c>
      <c r="W38" s="176">
        <v>0</v>
      </c>
      <c r="X38" s="176">
        <v>0</v>
      </c>
      <c r="Y38" s="174">
        <v>0</v>
      </c>
      <c r="Z38" s="176">
        <v>0</v>
      </c>
      <c r="AA38" s="176">
        <v>0</v>
      </c>
      <c r="AB38" s="176">
        <v>0</v>
      </c>
      <c r="AC38" s="176">
        <v>0</v>
      </c>
      <c r="AD38" s="33"/>
      <c r="AE38" s="33"/>
      <c r="AF38" s="33"/>
    </row>
    <row r="39" spans="1:32" ht="79.5" customHeight="1" outlineLevel="1" x14ac:dyDescent="0.2">
      <c r="A39" s="168" t="s">
        <v>478</v>
      </c>
      <c r="B39" s="184" t="s">
        <v>307</v>
      </c>
      <c r="C39" s="170">
        <f t="shared" si="24"/>
        <v>2</v>
      </c>
      <c r="D39" s="171">
        <f t="shared" si="24"/>
        <v>180619</v>
      </c>
      <c r="E39" s="172">
        <v>1</v>
      </c>
      <c r="F39" s="173">
        <f>G39+H39+I39</f>
        <v>65189</v>
      </c>
      <c r="G39" s="173">
        <v>0</v>
      </c>
      <c r="H39" s="173">
        <f>62060</f>
        <v>62060</v>
      </c>
      <c r="I39" s="173">
        <v>3129</v>
      </c>
      <c r="J39" s="170">
        <v>0</v>
      </c>
      <c r="K39" s="171">
        <f>L39+M39+N39</f>
        <v>0</v>
      </c>
      <c r="L39" s="171">
        <v>0</v>
      </c>
      <c r="M39" s="173">
        <f>61000-33953-27047</f>
        <v>0</v>
      </c>
      <c r="N39" s="173">
        <f>3756-2091-1665</f>
        <v>0</v>
      </c>
      <c r="O39" s="172">
        <v>1</v>
      </c>
      <c r="P39" s="173">
        <f>S39+R39</f>
        <v>115430</v>
      </c>
      <c r="Q39" s="173">
        <v>0</v>
      </c>
      <c r="R39" s="173">
        <v>108735</v>
      </c>
      <c r="S39" s="173">
        <v>6695</v>
      </c>
      <c r="T39" s="172">
        <v>0</v>
      </c>
      <c r="U39" s="173">
        <f>V39+W39+X39</f>
        <v>0</v>
      </c>
      <c r="V39" s="173">
        <v>0</v>
      </c>
      <c r="W39" s="173">
        <v>0</v>
      </c>
      <c r="X39" s="173">
        <v>0</v>
      </c>
      <c r="Y39" s="172">
        <v>0</v>
      </c>
      <c r="Z39" s="173">
        <v>0</v>
      </c>
      <c r="AA39" s="173">
        <v>0</v>
      </c>
      <c r="AB39" s="173">
        <v>0</v>
      </c>
      <c r="AC39" s="173">
        <v>0</v>
      </c>
      <c r="AD39" s="28"/>
      <c r="AE39" s="28"/>
      <c r="AF39" s="28"/>
    </row>
    <row r="40" spans="1:32" ht="93" customHeight="1" outlineLevel="1" x14ac:dyDescent="0.2">
      <c r="A40" s="168" t="s">
        <v>479</v>
      </c>
      <c r="B40" s="184" t="s">
        <v>315</v>
      </c>
      <c r="C40" s="170">
        <f t="shared" si="24"/>
        <v>0</v>
      </c>
      <c r="D40" s="171">
        <f t="shared" si="24"/>
        <v>2208</v>
      </c>
      <c r="E40" s="172">
        <v>0</v>
      </c>
      <c r="F40" s="173">
        <f>G40+H40+I40</f>
        <v>1371</v>
      </c>
      <c r="G40" s="173">
        <v>0</v>
      </c>
      <c r="H40" s="173">
        <v>0</v>
      </c>
      <c r="I40" s="173">
        <v>1371</v>
      </c>
      <c r="J40" s="170">
        <v>0</v>
      </c>
      <c r="K40" s="171">
        <v>0</v>
      </c>
      <c r="L40" s="171">
        <v>0</v>
      </c>
      <c r="M40" s="173">
        <v>0</v>
      </c>
      <c r="N40" s="173">
        <v>0</v>
      </c>
      <c r="O40" s="172">
        <v>0</v>
      </c>
      <c r="P40" s="173">
        <f>Q40+R40+S40</f>
        <v>837</v>
      </c>
      <c r="Q40" s="173">
        <v>0</v>
      </c>
      <c r="R40" s="173">
        <v>0</v>
      </c>
      <c r="S40" s="173">
        <f>1366+836-1365</f>
        <v>837</v>
      </c>
      <c r="T40" s="172">
        <v>0</v>
      </c>
      <c r="U40" s="173">
        <v>0</v>
      </c>
      <c r="V40" s="173">
        <v>0</v>
      </c>
      <c r="W40" s="173">
        <v>0</v>
      </c>
      <c r="X40" s="173">
        <v>0</v>
      </c>
      <c r="Y40" s="172">
        <v>0</v>
      </c>
      <c r="Z40" s="173">
        <v>0</v>
      </c>
      <c r="AA40" s="173">
        <v>0</v>
      </c>
      <c r="AB40" s="173">
        <v>0</v>
      </c>
      <c r="AC40" s="173">
        <v>0</v>
      </c>
      <c r="AD40" s="28"/>
      <c r="AE40" s="28"/>
      <c r="AF40" s="28"/>
    </row>
    <row r="41" spans="1:32" ht="27" customHeight="1" outlineLevel="1" x14ac:dyDescent="0.2">
      <c r="A41" s="168"/>
      <c r="B41" s="184" t="s">
        <v>207</v>
      </c>
      <c r="C41" s="170">
        <f>E41+J41+O41+T41+Y41</f>
        <v>0</v>
      </c>
      <c r="D41" s="171">
        <f>F41+K41+P41+U41+Z41</f>
        <v>1343</v>
      </c>
      <c r="E41" s="172">
        <v>0</v>
      </c>
      <c r="F41" s="173">
        <f>G41+H41+I41</f>
        <v>0</v>
      </c>
      <c r="G41" s="173">
        <v>0</v>
      </c>
      <c r="H41" s="173">
        <v>0</v>
      </c>
      <c r="I41" s="173">
        <v>0</v>
      </c>
      <c r="J41" s="170">
        <v>0</v>
      </c>
      <c r="K41" s="171">
        <f>L41+M41+N41</f>
        <v>0</v>
      </c>
      <c r="L41" s="171">
        <v>0</v>
      </c>
      <c r="M41" s="173">
        <f>35662-35662</f>
        <v>0</v>
      </c>
      <c r="N41" s="173">
        <v>0</v>
      </c>
      <c r="O41" s="172">
        <v>0</v>
      </c>
      <c r="P41" s="173">
        <f>Q41+R41+S41</f>
        <v>1343</v>
      </c>
      <c r="Q41" s="173">
        <v>0</v>
      </c>
      <c r="R41" s="173">
        <v>1265</v>
      </c>
      <c r="S41" s="173">
        <v>78</v>
      </c>
      <c r="T41" s="172">
        <v>0</v>
      </c>
      <c r="U41" s="173">
        <v>0</v>
      </c>
      <c r="V41" s="173">
        <v>0</v>
      </c>
      <c r="W41" s="173">
        <v>0</v>
      </c>
      <c r="X41" s="173">
        <v>0</v>
      </c>
      <c r="Y41" s="172">
        <v>0</v>
      </c>
      <c r="Z41" s="173">
        <v>0</v>
      </c>
      <c r="AA41" s="173">
        <v>0</v>
      </c>
      <c r="AB41" s="173">
        <v>0</v>
      </c>
      <c r="AC41" s="168">
        <v>0</v>
      </c>
      <c r="AD41" s="28"/>
      <c r="AE41" s="28"/>
      <c r="AF41" s="28"/>
    </row>
    <row r="42" spans="1:32" s="3" customFormat="1" ht="106.5" customHeight="1" outlineLevel="1" x14ac:dyDescent="0.2">
      <c r="A42" s="164" t="s">
        <v>480</v>
      </c>
      <c r="B42" s="183" t="s">
        <v>348</v>
      </c>
      <c r="C42" s="166">
        <f>E42+J42+O42+T42+Y42</f>
        <v>0.99299999999999999</v>
      </c>
      <c r="D42" s="167">
        <f>F42+K42+P42+U42+Z42</f>
        <v>222522</v>
      </c>
      <c r="E42" s="174">
        <v>0</v>
      </c>
      <c r="F42" s="176">
        <f>G42+H42+I42</f>
        <v>0</v>
      </c>
      <c r="G42" s="176">
        <v>0</v>
      </c>
      <c r="H42" s="176">
        <v>0</v>
      </c>
      <c r="I42" s="176">
        <v>0</v>
      </c>
      <c r="J42" s="166">
        <f>0.45-0.42</f>
        <v>3.0000000000000027E-2</v>
      </c>
      <c r="K42" s="167">
        <f>L42+M42+N42</f>
        <v>2196</v>
      </c>
      <c r="L42" s="167">
        <v>0</v>
      </c>
      <c r="M42" s="176">
        <f>35662-35662</f>
        <v>0</v>
      </c>
      <c r="N42" s="176">
        <v>2196</v>
      </c>
      <c r="O42" s="174">
        <v>0.96299999999999997</v>
      </c>
      <c r="P42" s="176">
        <f>Q42+R42+S42</f>
        <v>219169</v>
      </c>
      <c r="Q42" s="176">
        <v>0</v>
      </c>
      <c r="R42" s="176">
        <f>0+196000+1952</f>
        <v>197952</v>
      </c>
      <c r="S42" s="176">
        <f>8048+360+5272+7537</f>
        <v>21217</v>
      </c>
      <c r="T42" s="174">
        <v>0</v>
      </c>
      <c r="U42" s="180">
        <f>V42+W42+X42</f>
        <v>1157</v>
      </c>
      <c r="V42" s="176">
        <v>0</v>
      </c>
      <c r="W42" s="176">
        <f>14769-14769</f>
        <v>0</v>
      </c>
      <c r="X42" s="176">
        <f>747+410</f>
        <v>1157</v>
      </c>
      <c r="Y42" s="174">
        <v>0</v>
      </c>
      <c r="Z42" s="176">
        <v>0</v>
      </c>
      <c r="AA42" s="176">
        <v>0</v>
      </c>
      <c r="AB42" s="176">
        <v>0</v>
      </c>
      <c r="AC42" s="176">
        <v>0</v>
      </c>
      <c r="AD42" s="33"/>
      <c r="AE42" s="33"/>
      <c r="AF42" s="33"/>
    </row>
    <row r="43" spans="1:32" s="3" customFormat="1" ht="36" customHeight="1" outlineLevel="1" x14ac:dyDescent="0.2">
      <c r="A43" s="164"/>
      <c r="B43" s="201" t="s">
        <v>373</v>
      </c>
      <c r="C43" s="166">
        <v>0</v>
      </c>
      <c r="D43" s="167">
        <v>0</v>
      </c>
      <c r="E43" s="174">
        <v>0</v>
      </c>
      <c r="F43" s="176">
        <v>0</v>
      </c>
      <c r="G43" s="176">
        <v>0</v>
      </c>
      <c r="H43" s="176">
        <v>0</v>
      </c>
      <c r="I43" s="176">
        <v>0</v>
      </c>
      <c r="J43" s="166">
        <v>0</v>
      </c>
      <c r="K43" s="167">
        <v>0</v>
      </c>
      <c r="L43" s="167">
        <v>0</v>
      </c>
      <c r="M43" s="176">
        <v>0</v>
      </c>
      <c r="N43" s="176">
        <v>0</v>
      </c>
      <c r="O43" s="174">
        <v>0</v>
      </c>
      <c r="P43" s="176">
        <v>0</v>
      </c>
      <c r="Q43" s="176">
        <v>0</v>
      </c>
      <c r="R43" s="176">
        <v>0</v>
      </c>
      <c r="S43" s="176">
        <v>0</v>
      </c>
      <c r="T43" s="174">
        <v>0</v>
      </c>
      <c r="U43" s="180">
        <v>0</v>
      </c>
      <c r="V43" s="176">
        <v>0</v>
      </c>
      <c r="W43" s="176">
        <v>0</v>
      </c>
      <c r="X43" s="176">
        <v>0</v>
      </c>
      <c r="Y43" s="174">
        <v>0</v>
      </c>
      <c r="Z43" s="176">
        <f>AA43+AB43+AC43</f>
        <v>23106</v>
      </c>
      <c r="AA43" s="176">
        <v>0</v>
      </c>
      <c r="AB43" s="176">
        <v>0</v>
      </c>
      <c r="AC43" s="176">
        <v>23106</v>
      </c>
      <c r="AD43" s="33"/>
      <c r="AE43" s="33"/>
      <c r="AF43" s="33"/>
    </row>
    <row r="44" spans="1:32" s="9" customFormat="1" ht="42" customHeight="1" x14ac:dyDescent="0.2">
      <c r="A44" s="185"/>
      <c r="B44" s="186" t="s">
        <v>481</v>
      </c>
      <c r="C44" s="179">
        <f t="shared" ref="C44:S44" si="25">C35+C36+C37+C38+C42</f>
        <v>2.9929999999999999</v>
      </c>
      <c r="D44" s="180">
        <f t="shared" si="25"/>
        <v>406692</v>
      </c>
      <c r="E44" s="179">
        <f t="shared" si="25"/>
        <v>1</v>
      </c>
      <c r="F44" s="180">
        <f t="shared" si="25"/>
        <v>66560</v>
      </c>
      <c r="G44" s="180">
        <f t="shared" si="25"/>
        <v>0</v>
      </c>
      <c r="H44" s="180">
        <f t="shared" si="25"/>
        <v>62060</v>
      </c>
      <c r="I44" s="180">
        <f t="shared" si="25"/>
        <v>4500</v>
      </c>
      <c r="J44" s="179">
        <f t="shared" si="25"/>
        <v>3.0000000000000027E-2</v>
      </c>
      <c r="K44" s="180">
        <f t="shared" si="25"/>
        <v>2196</v>
      </c>
      <c r="L44" s="180">
        <f t="shared" si="25"/>
        <v>0</v>
      </c>
      <c r="M44" s="180">
        <f t="shared" si="25"/>
        <v>0</v>
      </c>
      <c r="N44" s="180">
        <f t="shared" si="25"/>
        <v>2196</v>
      </c>
      <c r="O44" s="179">
        <f t="shared" si="25"/>
        <v>1.9630000000000001</v>
      </c>
      <c r="P44" s="180">
        <f t="shared" si="25"/>
        <v>336779</v>
      </c>
      <c r="Q44" s="180">
        <f t="shared" si="25"/>
        <v>0</v>
      </c>
      <c r="R44" s="180">
        <f t="shared" si="25"/>
        <v>307952</v>
      </c>
      <c r="S44" s="180">
        <f t="shared" si="25"/>
        <v>28827</v>
      </c>
      <c r="T44" s="179">
        <f>T35+Y36+Y37+T38+T42</f>
        <v>0</v>
      </c>
      <c r="U44" s="180">
        <f>U35+U36+U37+U38+U42</f>
        <v>1157</v>
      </c>
      <c r="V44" s="180">
        <f>V35+AA36+AA37+V38+V42</f>
        <v>0</v>
      </c>
      <c r="W44" s="180">
        <f t="shared" ref="W44:AC44" si="26">W35+W36+W37+W38+W42</f>
        <v>0</v>
      </c>
      <c r="X44" s="180">
        <f t="shared" si="26"/>
        <v>1157</v>
      </c>
      <c r="Y44" s="179">
        <f t="shared" si="26"/>
        <v>0</v>
      </c>
      <c r="Z44" s="180">
        <f>Z35+Z36+Z37+Z38+Z42</f>
        <v>0</v>
      </c>
      <c r="AA44" s="180">
        <f t="shared" si="26"/>
        <v>0</v>
      </c>
      <c r="AB44" s="180">
        <f t="shared" si="26"/>
        <v>0</v>
      </c>
      <c r="AC44" s="180">
        <f t="shared" si="26"/>
        <v>0</v>
      </c>
      <c r="AD44" s="187"/>
      <c r="AE44" s="303"/>
      <c r="AF44" s="303"/>
    </row>
    <row r="45" spans="1:32" s="10" customFormat="1" ht="29.45" customHeight="1" x14ac:dyDescent="0.2">
      <c r="A45" s="188" t="s">
        <v>125</v>
      </c>
      <c r="B45" s="422" t="s">
        <v>482</v>
      </c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4"/>
      <c r="AD45" s="189"/>
      <c r="AE45" s="189"/>
      <c r="AF45" s="189"/>
    </row>
    <row r="46" spans="1:32" s="10" customFormat="1" ht="163.5" customHeight="1" outlineLevel="1" x14ac:dyDescent="0.2">
      <c r="A46" s="190" t="s">
        <v>1241</v>
      </c>
      <c r="B46" s="191" t="s">
        <v>122</v>
      </c>
      <c r="C46" s="192">
        <v>0</v>
      </c>
      <c r="D46" s="193">
        <f t="shared" ref="D46:D53" si="27">F46+K46+P46+U46+Z46</f>
        <v>21758</v>
      </c>
      <c r="E46" s="170">
        <v>0</v>
      </c>
      <c r="F46" s="171">
        <f>I46</f>
        <v>5316</v>
      </c>
      <c r="G46" s="171">
        <v>0</v>
      </c>
      <c r="H46" s="171">
        <v>0</v>
      </c>
      <c r="I46" s="171">
        <f>5960-644</f>
        <v>5316</v>
      </c>
      <c r="J46" s="192">
        <v>0</v>
      </c>
      <c r="K46" s="193">
        <f t="shared" ref="K46:K51" si="28">L46+M46+N46</f>
        <v>5316</v>
      </c>
      <c r="L46" s="193">
        <v>0</v>
      </c>
      <c r="M46" s="194">
        <v>0</v>
      </c>
      <c r="N46" s="193">
        <v>5316</v>
      </c>
      <c r="O46" s="192">
        <v>0</v>
      </c>
      <c r="P46" s="193">
        <f>Q46+R46+S46</f>
        <v>5315</v>
      </c>
      <c r="Q46" s="193">
        <v>0</v>
      </c>
      <c r="R46" s="194">
        <v>0</v>
      </c>
      <c r="S46" s="193">
        <v>5315</v>
      </c>
      <c r="T46" s="195">
        <v>0</v>
      </c>
      <c r="U46" s="194">
        <f>V46+W46+X46</f>
        <v>5811</v>
      </c>
      <c r="V46" s="194">
        <v>0</v>
      </c>
      <c r="W46" s="194">
        <v>0</v>
      </c>
      <c r="X46" s="194">
        <f>5315+496</f>
        <v>5811</v>
      </c>
      <c r="Y46" s="195">
        <v>0</v>
      </c>
      <c r="Z46" s="194">
        <v>0</v>
      </c>
      <c r="AA46" s="194">
        <v>0</v>
      </c>
      <c r="AB46" s="194">
        <v>0</v>
      </c>
      <c r="AC46" s="194">
        <v>0</v>
      </c>
      <c r="AD46" s="196"/>
      <c r="AE46" s="189"/>
      <c r="AF46" s="189"/>
    </row>
    <row r="47" spans="1:32" s="10" customFormat="1" ht="133.5" customHeight="1" outlineLevel="1" x14ac:dyDescent="0.2">
      <c r="A47" s="190" t="s">
        <v>1242</v>
      </c>
      <c r="B47" s="191" t="s">
        <v>124</v>
      </c>
      <c r="C47" s="192">
        <v>0</v>
      </c>
      <c r="D47" s="193">
        <f t="shared" si="27"/>
        <v>16702</v>
      </c>
      <c r="E47" s="170">
        <v>0</v>
      </c>
      <c r="F47" s="171">
        <f>I47</f>
        <v>4685</v>
      </c>
      <c r="G47" s="171">
        <v>0</v>
      </c>
      <c r="H47" s="171">
        <v>0</v>
      </c>
      <c r="I47" s="171">
        <v>4685</v>
      </c>
      <c r="J47" s="192">
        <v>0</v>
      </c>
      <c r="K47" s="193">
        <f t="shared" si="28"/>
        <v>0</v>
      </c>
      <c r="L47" s="193">
        <v>0</v>
      </c>
      <c r="M47" s="194">
        <v>0</v>
      </c>
      <c r="N47" s="193">
        <v>0</v>
      </c>
      <c r="O47" s="192">
        <v>0</v>
      </c>
      <c r="P47" s="193">
        <f>Q47+R47+S47</f>
        <v>4685</v>
      </c>
      <c r="Q47" s="193">
        <v>0</v>
      </c>
      <c r="R47" s="194">
        <v>0</v>
      </c>
      <c r="S47" s="193">
        <v>4685</v>
      </c>
      <c r="T47" s="195">
        <v>0</v>
      </c>
      <c r="U47" s="194">
        <f>V47+W47+X47</f>
        <v>7332</v>
      </c>
      <c r="V47" s="194">
        <v>0</v>
      </c>
      <c r="W47" s="194">
        <v>0</v>
      </c>
      <c r="X47" s="194">
        <f>4685+71+2576</f>
        <v>7332</v>
      </c>
      <c r="Y47" s="195">
        <v>0</v>
      </c>
      <c r="Z47" s="194">
        <v>0</v>
      </c>
      <c r="AA47" s="194">
        <v>0</v>
      </c>
      <c r="AB47" s="194">
        <v>0</v>
      </c>
      <c r="AC47" s="194">
        <v>0</v>
      </c>
      <c r="AD47" s="196"/>
      <c r="AE47" s="189"/>
      <c r="AF47" s="189"/>
    </row>
    <row r="48" spans="1:32" s="10" customFormat="1" ht="93" customHeight="1" outlineLevel="1" x14ac:dyDescent="0.2">
      <c r="A48" s="190" t="s">
        <v>1243</v>
      </c>
      <c r="B48" s="191" t="s">
        <v>629</v>
      </c>
      <c r="C48" s="170">
        <f>E48+J48+O48++Y48+T48</f>
        <v>0.1</v>
      </c>
      <c r="D48" s="193">
        <f>F48+K48+P48+U48+Z48</f>
        <v>0</v>
      </c>
      <c r="E48" s="170">
        <f>1-1</f>
        <v>0</v>
      </c>
      <c r="F48" s="171">
        <f>I48</f>
        <v>0</v>
      </c>
      <c r="G48" s="171">
        <v>0</v>
      </c>
      <c r="H48" s="171">
        <v>0</v>
      </c>
      <c r="I48" s="171">
        <v>0</v>
      </c>
      <c r="J48" s="192">
        <v>0</v>
      </c>
      <c r="K48" s="193">
        <f t="shared" si="28"/>
        <v>0</v>
      </c>
      <c r="L48" s="193">
        <v>0</v>
      </c>
      <c r="M48" s="194">
        <v>0</v>
      </c>
      <c r="N48" s="193">
        <v>0</v>
      </c>
      <c r="O48" s="192">
        <v>0</v>
      </c>
      <c r="P48" s="193">
        <f>Q48+R48+S48</f>
        <v>0</v>
      </c>
      <c r="Q48" s="193">
        <v>0</v>
      </c>
      <c r="R48" s="194">
        <v>0</v>
      </c>
      <c r="S48" s="193">
        <f>324-324</f>
        <v>0</v>
      </c>
      <c r="T48" s="195">
        <v>0</v>
      </c>
      <c r="U48" s="194">
        <f t="shared" ref="U48:U49" si="29">V48+W48+X48</f>
        <v>0</v>
      </c>
      <c r="V48" s="194">
        <v>0</v>
      </c>
      <c r="W48" s="194">
        <v>0</v>
      </c>
      <c r="X48" s="194">
        <v>0</v>
      </c>
      <c r="Y48" s="195">
        <v>0.1</v>
      </c>
      <c r="Z48" s="194">
        <f t="shared" ref="Z48:Z70" si="30">AA48+AB48+AC48</f>
        <v>0</v>
      </c>
      <c r="AA48" s="194">
        <v>0</v>
      </c>
      <c r="AB48" s="194">
        <v>0</v>
      </c>
      <c r="AC48" s="194">
        <f>8452-427-8025</f>
        <v>0</v>
      </c>
      <c r="AD48" s="196"/>
      <c r="AE48" s="189"/>
      <c r="AF48" s="189"/>
    </row>
    <row r="49" spans="1:32" ht="121.5" customHeight="1" outlineLevel="1" x14ac:dyDescent="0.2">
      <c r="A49" s="190" t="s">
        <v>1244</v>
      </c>
      <c r="B49" s="184" t="s">
        <v>394</v>
      </c>
      <c r="C49" s="170">
        <f t="shared" ref="C49:C70" si="31">E49+J49+O49++Y49+T49</f>
        <v>0</v>
      </c>
      <c r="D49" s="193">
        <f t="shared" si="27"/>
        <v>53</v>
      </c>
      <c r="E49" s="172">
        <v>0</v>
      </c>
      <c r="F49" s="173">
        <v>0</v>
      </c>
      <c r="G49" s="173">
        <v>0</v>
      </c>
      <c r="H49" s="173">
        <v>0</v>
      </c>
      <c r="I49" s="173">
        <v>0</v>
      </c>
      <c r="J49" s="170">
        <v>0</v>
      </c>
      <c r="K49" s="193">
        <f t="shared" si="28"/>
        <v>53</v>
      </c>
      <c r="L49" s="171">
        <v>0</v>
      </c>
      <c r="M49" s="173">
        <v>0</v>
      </c>
      <c r="N49" s="173">
        <v>53</v>
      </c>
      <c r="O49" s="172">
        <v>0</v>
      </c>
      <c r="P49" s="173">
        <f>S49</f>
        <v>0</v>
      </c>
      <c r="Q49" s="173">
        <v>0</v>
      </c>
      <c r="R49" s="173">
        <v>0</v>
      </c>
      <c r="S49" s="173">
        <v>0</v>
      </c>
      <c r="T49" s="172">
        <v>0</v>
      </c>
      <c r="U49" s="194">
        <f t="shared" si="29"/>
        <v>0</v>
      </c>
      <c r="V49" s="171">
        <v>0</v>
      </c>
      <c r="W49" s="171">
        <v>0</v>
      </c>
      <c r="X49" s="171">
        <v>0</v>
      </c>
      <c r="Y49" s="172">
        <v>0</v>
      </c>
      <c r="Z49" s="194">
        <f t="shared" si="30"/>
        <v>0</v>
      </c>
      <c r="AA49" s="173">
        <v>0</v>
      </c>
      <c r="AB49" s="173">
        <v>0</v>
      </c>
      <c r="AC49" s="173">
        <v>0</v>
      </c>
      <c r="AD49" s="28"/>
      <c r="AE49" s="28"/>
      <c r="AF49" s="28"/>
    </row>
    <row r="50" spans="1:32" s="10" customFormat="1" ht="135.75" customHeight="1" outlineLevel="1" x14ac:dyDescent="0.2">
      <c r="A50" s="190" t="s">
        <v>1245</v>
      </c>
      <c r="B50" s="50" t="s">
        <v>1490</v>
      </c>
      <c r="C50" s="170">
        <f t="shared" si="31"/>
        <v>0</v>
      </c>
      <c r="D50" s="193">
        <f t="shared" si="27"/>
        <v>11840</v>
      </c>
      <c r="E50" s="170">
        <v>0</v>
      </c>
      <c r="F50" s="171">
        <f>I50</f>
        <v>0</v>
      </c>
      <c r="G50" s="171">
        <v>0</v>
      </c>
      <c r="H50" s="171">
        <v>0</v>
      </c>
      <c r="I50" s="171">
        <v>0</v>
      </c>
      <c r="J50" s="192">
        <v>0</v>
      </c>
      <c r="K50" s="193">
        <f t="shared" si="28"/>
        <v>0</v>
      </c>
      <c r="L50" s="193">
        <v>0</v>
      </c>
      <c r="M50" s="194">
        <v>0</v>
      </c>
      <c r="N50" s="193">
        <v>0</v>
      </c>
      <c r="O50" s="192">
        <v>0</v>
      </c>
      <c r="P50" s="193">
        <f>S50</f>
        <v>0</v>
      </c>
      <c r="Q50" s="193">
        <v>0</v>
      </c>
      <c r="R50" s="194">
        <v>0</v>
      </c>
      <c r="S50" s="193">
        <f>4887-4887</f>
        <v>0</v>
      </c>
      <c r="T50" s="195">
        <v>0</v>
      </c>
      <c r="U50" s="194">
        <f>V50+W50+X50</f>
        <v>5920</v>
      </c>
      <c r="V50" s="194">
        <v>0</v>
      </c>
      <c r="W50" s="194">
        <v>0</v>
      </c>
      <c r="X50" s="194">
        <f>6358-196-79-163</f>
        <v>5920</v>
      </c>
      <c r="Y50" s="195">
        <v>0</v>
      </c>
      <c r="Z50" s="194">
        <f t="shared" si="30"/>
        <v>5920</v>
      </c>
      <c r="AA50" s="194">
        <v>0</v>
      </c>
      <c r="AB50" s="194">
        <v>0</v>
      </c>
      <c r="AC50" s="194">
        <v>5920</v>
      </c>
      <c r="AD50" s="196"/>
      <c r="AE50" s="189"/>
      <c r="AF50" s="189"/>
    </row>
    <row r="51" spans="1:32" s="10" customFormat="1" ht="132.75" customHeight="1" outlineLevel="1" x14ac:dyDescent="0.2">
      <c r="A51" s="190" t="s">
        <v>1246</v>
      </c>
      <c r="B51" s="50" t="s">
        <v>1382</v>
      </c>
      <c r="C51" s="170">
        <f t="shared" si="31"/>
        <v>0</v>
      </c>
      <c r="D51" s="193">
        <f t="shared" si="27"/>
        <v>3528</v>
      </c>
      <c r="E51" s="170">
        <v>0</v>
      </c>
      <c r="F51" s="171">
        <v>0</v>
      </c>
      <c r="G51" s="171">
        <v>0</v>
      </c>
      <c r="H51" s="171">
        <v>0</v>
      </c>
      <c r="I51" s="171">
        <v>0</v>
      </c>
      <c r="J51" s="192">
        <v>0</v>
      </c>
      <c r="K51" s="193">
        <f t="shared" si="28"/>
        <v>0</v>
      </c>
      <c r="L51" s="193">
        <v>0</v>
      </c>
      <c r="M51" s="194">
        <v>0</v>
      </c>
      <c r="N51" s="193">
        <v>0</v>
      </c>
      <c r="O51" s="192">
        <v>0</v>
      </c>
      <c r="P51" s="193">
        <v>0</v>
      </c>
      <c r="Q51" s="193">
        <v>0</v>
      </c>
      <c r="R51" s="194">
        <v>0</v>
      </c>
      <c r="S51" s="193">
        <v>0</v>
      </c>
      <c r="T51" s="195">
        <v>0</v>
      </c>
      <c r="U51" s="194">
        <v>0</v>
      </c>
      <c r="V51" s="194">
        <v>0</v>
      </c>
      <c r="W51" s="194">
        <v>0</v>
      </c>
      <c r="X51" s="194">
        <v>0</v>
      </c>
      <c r="Y51" s="195">
        <v>0</v>
      </c>
      <c r="Z51" s="194">
        <f t="shared" si="30"/>
        <v>3528</v>
      </c>
      <c r="AA51" s="194">
        <v>0</v>
      </c>
      <c r="AB51" s="194">
        <v>0</v>
      </c>
      <c r="AC51" s="194">
        <v>3528</v>
      </c>
      <c r="AD51" s="196"/>
      <c r="AE51" s="189"/>
      <c r="AF51" s="189"/>
    </row>
    <row r="52" spans="1:32" s="10" customFormat="1" ht="117.75" customHeight="1" outlineLevel="1" x14ac:dyDescent="0.2">
      <c r="A52" s="190" t="s">
        <v>1247</v>
      </c>
      <c r="B52" s="50" t="s">
        <v>618</v>
      </c>
      <c r="C52" s="170">
        <f t="shared" si="31"/>
        <v>0</v>
      </c>
      <c r="D52" s="193">
        <f t="shared" si="27"/>
        <v>4957</v>
      </c>
      <c r="E52" s="170">
        <v>0</v>
      </c>
      <c r="F52" s="171">
        <f>I52</f>
        <v>0</v>
      </c>
      <c r="G52" s="171">
        <v>0</v>
      </c>
      <c r="H52" s="171">
        <v>0</v>
      </c>
      <c r="I52" s="171">
        <v>0</v>
      </c>
      <c r="J52" s="192">
        <v>0</v>
      </c>
      <c r="K52" s="193">
        <f t="shared" ref="K52:K59" si="32">L52+M52+N52</f>
        <v>0</v>
      </c>
      <c r="L52" s="193">
        <v>0</v>
      </c>
      <c r="M52" s="194">
        <v>0</v>
      </c>
      <c r="N52" s="193">
        <v>0</v>
      </c>
      <c r="O52" s="192">
        <v>0</v>
      </c>
      <c r="P52" s="193">
        <f>S52</f>
        <v>0</v>
      </c>
      <c r="Q52" s="193">
        <v>0</v>
      </c>
      <c r="R52" s="194">
        <v>0</v>
      </c>
      <c r="S52" s="193">
        <v>0</v>
      </c>
      <c r="T52" s="195">
        <v>0</v>
      </c>
      <c r="U52" s="194">
        <f t="shared" ref="U52:U71" si="33">V52+W52+X52</f>
        <v>0</v>
      </c>
      <c r="V52" s="194">
        <v>0</v>
      </c>
      <c r="W52" s="194">
        <v>0</v>
      </c>
      <c r="X52" s="194">
        <f>5991-5991</f>
        <v>0</v>
      </c>
      <c r="Y52" s="195">
        <v>0</v>
      </c>
      <c r="Z52" s="194">
        <f t="shared" si="30"/>
        <v>4957</v>
      </c>
      <c r="AA52" s="194">
        <v>0</v>
      </c>
      <c r="AB52" s="194">
        <v>0</v>
      </c>
      <c r="AC52" s="194">
        <v>4957</v>
      </c>
      <c r="AD52" s="196"/>
      <c r="AE52" s="189"/>
      <c r="AF52" s="189"/>
    </row>
    <row r="53" spans="1:32" s="10" customFormat="1" ht="119.25" customHeight="1" outlineLevel="1" x14ac:dyDescent="0.2">
      <c r="A53" s="190" t="s">
        <v>1248</v>
      </c>
      <c r="B53" s="50" t="s">
        <v>581</v>
      </c>
      <c r="C53" s="170">
        <f t="shared" si="31"/>
        <v>0</v>
      </c>
      <c r="D53" s="193">
        <f t="shared" si="27"/>
        <v>6900</v>
      </c>
      <c r="E53" s="170">
        <v>0</v>
      </c>
      <c r="F53" s="171">
        <v>0</v>
      </c>
      <c r="G53" s="171">
        <v>0</v>
      </c>
      <c r="H53" s="171">
        <v>0</v>
      </c>
      <c r="I53" s="171">
        <v>0</v>
      </c>
      <c r="J53" s="192">
        <v>0</v>
      </c>
      <c r="K53" s="193">
        <f t="shared" si="32"/>
        <v>0</v>
      </c>
      <c r="L53" s="193">
        <v>0</v>
      </c>
      <c r="M53" s="194">
        <v>0</v>
      </c>
      <c r="N53" s="193">
        <v>0</v>
      </c>
      <c r="O53" s="192">
        <v>0</v>
      </c>
      <c r="P53" s="193">
        <f>S53</f>
        <v>0</v>
      </c>
      <c r="Q53" s="193">
        <v>0</v>
      </c>
      <c r="R53" s="194">
        <v>0</v>
      </c>
      <c r="S53" s="193">
        <v>0</v>
      </c>
      <c r="T53" s="195">
        <v>0</v>
      </c>
      <c r="U53" s="194">
        <f t="shared" si="33"/>
        <v>6900</v>
      </c>
      <c r="V53" s="194">
        <v>0</v>
      </c>
      <c r="W53" s="194">
        <v>0</v>
      </c>
      <c r="X53" s="194">
        <v>6900</v>
      </c>
      <c r="Y53" s="195">
        <v>0</v>
      </c>
      <c r="Z53" s="194">
        <f t="shared" si="30"/>
        <v>0</v>
      </c>
      <c r="AA53" s="194">
        <v>0</v>
      </c>
      <c r="AB53" s="194">
        <v>0</v>
      </c>
      <c r="AC53" s="194">
        <v>0</v>
      </c>
      <c r="AD53" s="196"/>
      <c r="AE53" s="189"/>
      <c r="AF53" s="189"/>
    </row>
    <row r="54" spans="1:32" s="10" customFormat="1" ht="145.5" customHeight="1" outlineLevel="1" x14ac:dyDescent="0.2">
      <c r="A54" s="190" t="s">
        <v>1249</v>
      </c>
      <c r="B54" s="50" t="s">
        <v>312</v>
      </c>
      <c r="C54" s="170">
        <f t="shared" si="31"/>
        <v>0</v>
      </c>
      <c r="D54" s="193">
        <f t="shared" ref="D54:D74" si="34">F54+K54+P54+U54+Z54</f>
        <v>10340</v>
      </c>
      <c r="E54" s="170">
        <v>0</v>
      </c>
      <c r="F54" s="171">
        <f t="shared" ref="F54:F70" si="35">G54+H54+I54</f>
        <v>6871</v>
      </c>
      <c r="G54" s="171">
        <v>0</v>
      </c>
      <c r="H54" s="171">
        <v>0</v>
      </c>
      <c r="I54" s="171">
        <v>6871</v>
      </c>
      <c r="J54" s="192">
        <v>0</v>
      </c>
      <c r="K54" s="193">
        <f>L54+M54+N54</f>
        <v>3469</v>
      </c>
      <c r="L54" s="193">
        <v>0</v>
      </c>
      <c r="M54" s="194">
        <v>0</v>
      </c>
      <c r="N54" s="193">
        <f>3361+108</f>
        <v>3469</v>
      </c>
      <c r="O54" s="192">
        <v>0</v>
      </c>
      <c r="P54" s="193">
        <f t="shared" ref="P54:P74" si="36">Q54+R54+S54</f>
        <v>0</v>
      </c>
      <c r="Q54" s="193">
        <v>0</v>
      </c>
      <c r="R54" s="194">
        <v>0</v>
      </c>
      <c r="S54" s="193">
        <v>0</v>
      </c>
      <c r="T54" s="195">
        <v>0</v>
      </c>
      <c r="U54" s="194">
        <f t="shared" si="33"/>
        <v>0</v>
      </c>
      <c r="V54" s="194">
        <v>0</v>
      </c>
      <c r="W54" s="194">
        <v>0</v>
      </c>
      <c r="X54" s="194">
        <v>0</v>
      </c>
      <c r="Y54" s="195">
        <v>0</v>
      </c>
      <c r="Z54" s="194">
        <f t="shared" si="30"/>
        <v>0</v>
      </c>
      <c r="AA54" s="194">
        <v>0</v>
      </c>
      <c r="AB54" s="194">
        <v>0</v>
      </c>
      <c r="AC54" s="194">
        <v>0</v>
      </c>
      <c r="AD54" s="196"/>
      <c r="AE54" s="189"/>
      <c r="AF54" s="189"/>
    </row>
    <row r="55" spans="1:32" s="10" customFormat="1" ht="73.5" customHeight="1" outlineLevel="1" x14ac:dyDescent="0.2">
      <c r="A55" s="190" t="s">
        <v>1250</v>
      </c>
      <c r="B55" s="50" t="s">
        <v>583</v>
      </c>
      <c r="C55" s="170">
        <f t="shared" si="31"/>
        <v>0.34</v>
      </c>
      <c r="D55" s="193">
        <f t="shared" si="34"/>
        <v>0</v>
      </c>
      <c r="E55" s="170">
        <v>0</v>
      </c>
      <c r="F55" s="171">
        <f t="shared" si="35"/>
        <v>0</v>
      </c>
      <c r="G55" s="171">
        <v>0</v>
      </c>
      <c r="H55" s="171">
        <v>0</v>
      </c>
      <c r="I55" s="171">
        <v>0</v>
      </c>
      <c r="J55" s="192">
        <v>0</v>
      </c>
      <c r="K55" s="193">
        <f t="shared" si="32"/>
        <v>0</v>
      </c>
      <c r="L55" s="193">
        <v>0</v>
      </c>
      <c r="M55" s="194">
        <v>0</v>
      </c>
      <c r="N55" s="193">
        <v>0</v>
      </c>
      <c r="O55" s="192">
        <v>0</v>
      </c>
      <c r="P55" s="193">
        <f t="shared" si="36"/>
        <v>0</v>
      </c>
      <c r="Q55" s="193">
        <v>0</v>
      </c>
      <c r="R55" s="194">
        <v>0</v>
      </c>
      <c r="S55" s="193">
        <v>0</v>
      </c>
      <c r="T55" s="195">
        <v>0</v>
      </c>
      <c r="U55" s="194">
        <f t="shared" si="33"/>
        <v>0</v>
      </c>
      <c r="V55" s="194">
        <v>0</v>
      </c>
      <c r="W55" s="194">
        <v>0</v>
      </c>
      <c r="X55" s="194">
        <v>0</v>
      </c>
      <c r="Y55" s="195">
        <v>0.34</v>
      </c>
      <c r="Z55" s="194">
        <f t="shared" si="30"/>
        <v>0</v>
      </c>
      <c r="AA55" s="194">
        <v>0</v>
      </c>
      <c r="AB55" s="194">
        <v>0</v>
      </c>
      <c r="AC55" s="194">
        <f>3639-3639</f>
        <v>0</v>
      </c>
      <c r="AD55" s="196"/>
      <c r="AE55" s="189"/>
      <c r="AF55" s="189"/>
    </row>
    <row r="56" spans="1:32" s="10" customFormat="1" ht="165.75" customHeight="1" outlineLevel="1" x14ac:dyDescent="0.2">
      <c r="A56" s="190" t="s">
        <v>1251</v>
      </c>
      <c r="B56" s="50" t="s">
        <v>203</v>
      </c>
      <c r="C56" s="170">
        <f t="shared" si="31"/>
        <v>0</v>
      </c>
      <c r="D56" s="193">
        <f t="shared" si="34"/>
        <v>3016</v>
      </c>
      <c r="E56" s="170">
        <v>0</v>
      </c>
      <c r="F56" s="171">
        <f t="shared" si="35"/>
        <v>1512</v>
      </c>
      <c r="G56" s="171">
        <v>0</v>
      </c>
      <c r="H56" s="171">
        <v>0</v>
      </c>
      <c r="I56" s="171">
        <v>1512</v>
      </c>
      <c r="J56" s="192">
        <v>0</v>
      </c>
      <c r="K56" s="193">
        <f t="shared" si="32"/>
        <v>1504</v>
      </c>
      <c r="L56" s="193">
        <v>0</v>
      </c>
      <c r="M56" s="194">
        <v>0</v>
      </c>
      <c r="N56" s="193">
        <v>1504</v>
      </c>
      <c r="O56" s="192">
        <v>0</v>
      </c>
      <c r="P56" s="193">
        <f t="shared" si="36"/>
        <v>0</v>
      </c>
      <c r="Q56" s="193">
        <v>0</v>
      </c>
      <c r="R56" s="194">
        <v>0</v>
      </c>
      <c r="S56" s="193">
        <v>0</v>
      </c>
      <c r="T56" s="195">
        <v>0</v>
      </c>
      <c r="U56" s="194">
        <f t="shared" si="33"/>
        <v>0</v>
      </c>
      <c r="V56" s="194">
        <v>0</v>
      </c>
      <c r="W56" s="194">
        <v>0</v>
      </c>
      <c r="X56" s="194">
        <v>0</v>
      </c>
      <c r="Y56" s="195">
        <v>0</v>
      </c>
      <c r="Z56" s="194">
        <f t="shared" si="30"/>
        <v>0</v>
      </c>
      <c r="AA56" s="194">
        <v>0</v>
      </c>
      <c r="AB56" s="194">
        <v>0</v>
      </c>
      <c r="AC56" s="194">
        <v>0</v>
      </c>
      <c r="AD56" s="196"/>
      <c r="AE56" s="189"/>
      <c r="AF56" s="189"/>
    </row>
    <row r="57" spans="1:32" s="10" customFormat="1" ht="75" customHeight="1" outlineLevel="1" x14ac:dyDescent="0.2">
      <c r="A57" s="190" t="s">
        <v>1252</v>
      </c>
      <c r="B57" s="50" t="s">
        <v>204</v>
      </c>
      <c r="C57" s="170">
        <f t="shared" si="31"/>
        <v>0</v>
      </c>
      <c r="D57" s="193">
        <f t="shared" si="34"/>
        <v>1100</v>
      </c>
      <c r="E57" s="170">
        <v>0</v>
      </c>
      <c r="F57" s="171">
        <f t="shared" si="35"/>
        <v>1100</v>
      </c>
      <c r="G57" s="171">
        <v>0</v>
      </c>
      <c r="H57" s="171">
        <v>0</v>
      </c>
      <c r="I57" s="171">
        <v>1100</v>
      </c>
      <c r="J57" s="192">
        <v>0</v>
      </c>
      <c r="K57" s="193">
        <f t="shared" si="32"/>
        <v>0</v>
      </c>
      <c r="L57" s="193">
        <v>0</v>
      </c>
      <c r="M57" s="194">
        <v>0</v>
      </c>
      <c r="N57" s="193">
        <v>0</v>
      </c>
      <c r="O57" s="192">
        <v>0</v>
      </c>
      <c r="P57" s="193">
        <f t="shared" si="36"/>
        <v>0</v>
      </c>
      <c r="Q57" s="193">
        <v>0</v>
      </c>
      <c r="R57" s="194">
        <v>0</v>
      </c>
      <c r="S57" s="193">
        <v>0</v>
      </c>
      <c r="T57" s="195">
        <v>0</v>
      </c>
      <c r="U57" s="194">
        <f t="shared" si="33"/>
        <v>0</v>
      </c>
      <c r="V57" s="194">
        <v>0</v>
      </c>
      <c r="W57" s="194">
        <v>0</v>
      </c>
      <c r="X57" s="194">
        <v>0</v>
      </c>
      <c r="Y57" s="195">
        <v>0</v>
      </c>
      <c r="Z57" s="194">
        <f t="shared" si="30"/>
        <v>0</v>
      </c>
      <c r="AA57" s="194">
        <v>0</v>
      </c>
      <c r="AB57" s="194">
        <v>0</v>
      </c>
      <c r="AC57" s="194">
        <v>0</v>
      </c>
      <c r="AD57" s="196"/>
      <c r="AE57" s="189"/>
      <c r="AF57" s="189"/>
    </row>
    <row r="58" spans="1:32" s="10" customFormat="1" ht="110.45" customHeight="1" outlineLevel="1" x14ac:dyDescent="0.2">
      <c r="A58" s="190" t="s">
        <v>1253</v>
      </c>
      <c r="B58" s="50" t="s">
        <v>228</v>
      </c>
      <c r="C58" s="170">
        <f t="shared" si="31"/>
        <v>0</v>
      </c>
      <c r="D58" s="193">
        <f t="shared" si="34"/>
        <v>18791</v>
      </c>
      <c r="E58" s="170">
        <v>0</v>
      </c>
      <c r="F58" s="171">
        <f t="shared" si="35"/>
        <v>6923</v>
      </c>
      <c r="G58" s="171">
        <v>0</v>
      </c>
      <c r="H58" s="171">
        <v>6590</v>
      </c>
      <c r="I58" s="171">
        <v>333</v>
      </c>
      <c r="J58" s="192">
        <v>0</v>
      </c>
      <c r="K58" s="193">
        <f t="shared" si="32"/>
        <v>6357</v>
      </c>
      <c r="L58" s="193">
        <v>0</v>
      </c>
      <c r="M58" s="194">
        <v>0</v>
      </c>
      <c r="N58" s="193">
        <v>6357</v>
      </c>
      <c r="O58" s="192">
        <v>0</v>
      </c>
      <c r="P58" s="193">
        <f t="shared" si="36"/>
        <v>5511</v>
      </c>
      <c r="Q58" s="193">
        <v>0</v>
      </c>
      <c r="R58" s="194">
        <v>0</v>
      </c>
      <c r="S58" s="193">
        <f>7211-1700</f>
        <v>5511</v>
      </c>
      <c r="T58" s="195">
        <v>0</v>
      </c>
      <c r="U58" s="194">
        <f t="shared" si="33"/>
        <v>0</v>
      </c>
      <c r="V58" s="194">
        <v>0</v>
      </c>
      <c r="W58" s="194">
        <v>0</v>
      </c>
      <c r="X58" s="194">
        <v>0</v>
      </c>
      <c r="Y58" s="195">
        <v>0</v>
      </c>
      <c r="Z58" s="194">
        <f t="shared" si="30"/>
        <v>0</v>
      </c>
      <c r="AA58" s="194">
        <v>0</v>
      </c>
      <c r="AB58" s="194">
        <v>0</v>
      </c>
      <c r="AC58" s="194">
        <v>0</v>
      </c>
      <c r="AD58" s="196"/>
      <c r="AE58" s="189"/>
      <c r="AF58" s="189"/>
    </row>
    <row r="59" spans="1:32" s="10" customFormat="1" ht="236.45" customHeight="1" outlineLevel="1" x14ac:dyDescent="0.2">
      <c r="A59" s="190" t="s">
        <v>1254</v>
      </c>
      <c r="B59" s="50" t="s">
        <v>229</v>
      </c>
      <c r="C59" s="170">
        <f t="shared" si="31"/>
        <v>0</v>
      </c>
      <c r="D59" s="193">
        <f t="shared" si="34"/>
        <v>778</v>
      </c>
      <c r="E59" s="170">
        <v>0</v>
      </c>
      <c r="F59" s="171">
        <f t="shared" si="35"/>
        <v>778</v>
      </c>
      <c r="G59" s="171">
        <v>0</v>
      </c>
      <c r="H59" s="171">
        <v>0</v>
      </c>
      <c r="I59" s="171">
        <v>778</v>
      </c>
      <c r="J59" s="192">
        <v>0</v>
      </c>
      <c r="K59" s="193">
        <f t="shared" si="32"/>
        <v>0</v>
      </c>
      <c r="L59" s="193">
        <v>0</v>
      </c>
      <c r="M59" s="194">
        <v>0</v>
      </c>
      <c r="N59" s="193">
        <v>0</v>
      </c>
      <c r="O59" s="192">
        <v>0</v>
      </c>
      <c r="P59" s="193">
        <f t="shared" si="36"/>
        <v>0</v>
      </c>
      <c r="Q59" s="193">
        <v>0</v>
      </c>
      <c r="R59" s="194">
        <v>0</v>
      </c>
      <c r="S59" s="193">
        <v>0</v>
      </c>
      <c r="T59" s="195">
        <v>0</v>
      </c>
      <c r="U59" s="194">
        <f t="shared" si="33"/>
        <v>0</v>
      </c>
      <c r="V59" s="194">
        <v>0</v>
      </c>
      <c r="W59" s="194">
        <v>0</v>
      </c>
      <c r="X59" s="194">
        <v>0</v>
      </c>
      <c r="Y59" s="195">
        <v>0</v>
      </c>
      <c r="Z59" s="194">
        <f t="shared" si="30"/>
        <v>0</v>
      </c>
      <c r="AA59" s="194">
        <v>0</v>
      </c>
      <c r="AB59" s="194">
        <v>0</v>
      </c>
      <c r="AC59" s="194">
        <v>0</v>
      </c>
      <c r="AD59" s="196"/>
      <c r="AE59" s="189"/>
      <c r="AF59" s="189"/>
    </row>
    <row r="60" spans="1:32" s="10" customFormat="1" ht="116.25" customHeight="1" outlineLevel="1" x14ac:dyDescent="0.2">
      <c r="A60" s="190" t="s">
        <v>1255</v>
      </c>
      <c r="B60" s="50" t="s">
        <v>277</v>
      </c>
      <c r="C60" s="170">
        <f t="shared" si="31"/>
        <v>0</v>
      </c>
      <c r="D60" s="193">
        <f t="shared" si="34"/>
        <v>4370</v>
      </c>
      <c r="E60" s="170">
        <v>0</v>
      </c>
      <c r="F60" s="171">
        <f t="shared" si="35"/>
        <v>4370</v>
      </c>
      <c r="G60" s="171">
        <v>0</v>
      </c>
      <c r="H60" s="171">
        <v>4160</v>
      </c>
      <c r="I60" s="171">
        <v>210</v>
      </c>
      <c r="J60" s="192">
        <v>0</v>
      </c>
      <c r="K60" s="193">
        <f t="shared" ref="K60:K65" si="37">L60+M60+N60</f>
        <v>0</v>
      </c>
      <c r="L60" s="193">
        <v>0</v>
      </c>
      <c r="M60" s="194">
        <v>0</v>
      </c>
      <c r="N60" s="193">
        <v>0</v>
      </c>
      <c r="O60" s="192">
        <v>0</v>
      </c>
      <c r="P60" s="193">
        <f t="shared" si="36"/>
        <v>0</v>
      </c>
      <c r="Q60" s="193">
        <v>0</v>
      </c>
      <c r="R60" s="194">
        <v>0</v>
      </c>
      <c r="S60" s="193">
        <v>0</v>
      </c>
      <c r="T60" s="195">
        <v>0</v>
      </c>
      <c r="U60" s="194">
        <f t="shared" si="33"/>
        <v>0</v>
      </c>
      <c r="V60" s="194">
        <v>0</v>
      </c>
      <c r="W60" s="194">
        <v>0</v>
      </c>
      <c r="X60" s="194">
        <v>0</v>
      </c>
      <c r="Y60" s="195">
        <v>0</v>
      </c>
      <c r="Z60" s="194">
        <f t="shared" si="30"/>
        <v>0</v>
      </c>
      <c r="AA60" s="194">
        <v>0</v>
      </c>
      <c r="AB60" s="194">
        <v>0</v>
      </c>
      <c r="AC60" s="194">
        <v>0</v>
      </c>
      <c r="AD60" s="196"/>
      <c r="AE60" s="189"/>
      <c r="AF60" s="189"/>
    </row>
    <row r="61" spans="1:32" s="10" customFormat="1" ht="109.5" customHeight="1" outlineLevel="1" x14ac:dyDescent="0.2">
      <c r="A61" s="190" t="s">
        <v>1256</v>
      </c>
      <c r="B61" s="50" t="s">
        <v>278</v>
      </c>
      <c r="C61" s="170">
        <f t="shared" si="31"/>
        <v>0</v>
      </c>
      <c r="D61" s="193">
        <f t="shared" si="34"/>
        <v>4081</v>
      </c>
      <c r="E61" s="170">
        <v>0</v>
      </c>
      <c r="F61" s="171">
        <f t="shared" si="35"/>
        <v>4081</v>
      </c>
      <c r="G61" s="171">
        <v>0</v>
      </c>
      <c r="H61" s="171">
        <v>3885</v>
      </c>
      <c r="I61" s="171">
        <v>196</v>
      </c>
      <c r="J61" s="192">
        <v>0</v>
      </c>
      <c r="K61" s="193">
        <f t="shared" si="37"/>
        <v>0</v>
      </c>
      <c r="L61" s="193">
        <v>0</v>
      </c>
      <c r="M61" s="194">
        <v>0</v>
      </c>
      <c r="N61" s="193">
        <v>0</v>
      </c>
      <c r="O61" s="192">
        <v>0</v>
      </c>
      <c r="P61" s="193">
        <f t="shared" si="36"/>
        <v>0</v>
      </c>
      <c r="Q61" s="193">
        <v>0</v>
      </c>
      <c r="R61" s="194">
        <v>0</v>
      </c>
      <c r="S61" s="193">
        <v>0</v>
      </c>
      <c r="T61" s="195">
        <v>0</v>
      </c>
      <c r="U61" s="194">
        <f t="shared" si="33"/>
        <v>0</v>
      </c>
      <c r="V61" s="194">
        <v>0</v>
      </c>
      <c r="W61" s="194">
        <v>0</v>
      </c>
      <c r="X61" s="194">
        <v>0</v>
      </c>
      <c r="Y61" s="195">
        <v>0</v>
      </c>
      <c r="Z61" s="194">
        <f t="shared" si="30"/>
        <v>0</v>
      </c>
      <c r="AA61" s="194">
        <v>0</v>
      </c>
      <c r="AB61" s="194">
        <v>0</v>
      </c>
      <c r="AC61" s="194">
        <v>0</v>
      </c>
      <c r="AD61" s="196"/>
      <c r="AE61" s="189"/>
      <c r="AF61" s="189"/>
    </row>
    <row r="62" spans="1:32" s="10" customFormat="1" ht="95.25" customHeight="1" outlineLevel="1" x14ac:dyDescent="0.2">
      <c r="A62" s="190" t="s">
        <v>1257</v>
      </c>
      <c r="B62" s="50" t="s">
        <v>279</v>
      </c>
      <c r="C62" s="170">
        <f t="shared" si="31"/>
        <v>0</v>
      </c>
      <c r="D62" s="193">
        <f t="shared" si="34"/>
        <v>1786</v>
      </c>
      <c r="E62" s="170">
        <v>0</v>
      </c>
      <c r="F62" s="171">
        <f t="shared" si="35"/>
        <v>1786</v>
      </c>
      <c r="G62" s="171">
        <v>0</v>
      </c>
      <c r="H62" s="171">
        <v>1700</v>
      </c>
      <c r="I62" s="171">
        <v>86</v>
      </c>
      <c r="J62" s="192">
        <v>0</v>
      </c>
      <c r="K62" s="193">
        <f t="shared" si="37"/>
        <v>0</v>
      </c>
      <c r="L62" s="193">
        <v>0</v>
      </c>
      <c r="M62" s="194">
        <v>0</v>
      </c>
      <c r="N62" s="193">
        <v>0</v>
      </c>
      <c r="O62" s="192">
        <v>0</v>
      </c>
      <c r="P62" s="193">
        <f t="shared" si="36"/>
        <v>0</v>
      </c>
      <c r="Q62" s="193">
        <v>0</v>
      </c>
      <c r="R62" s="194">
        <v>0</v>
      </c>
      <c r="S62" s="193">
        <v>0</v>
      </c>
      <c r="T62" s="195">
        <v>0</v>
      </c>
      <c r="U62" s="194">
        <f t="shared" si="33"/>
        <v>0</v>
      </c>
      <c r="V62" s="194">
        <v>0</v>
      </c>
      <c r="W62" s="194">
        <v>0</v>
      </c>
      <c r="X62" s="194">
        <v>0</v>
      </c>
      <c r="Y62" s="195">
        <v>0</v>
      </c>
      <c r="Z62" s="194">
        <f t="shared" si="30"/>
        <v>0</v>
      </c>
      <c r="AA62" s="194">
        <v>0</v>
      </c>
      <c r="AB62" s="194">
        <v>0</v>
      </c>
      <c r="AC62" s="194">
        <v>0</v>
      </c>
      <c r="AD62" s="196"/>
      <c r="AE62" s="189"/>
      <c r="AF62" s="189"/>
    </row>
    <row r="63" spans="1:32" s="10" customFormat="1" ht="105.6" customHeight="1" outlineLevel="1" x14ac:dyDescent="0.2">
      <c r="A63" s="190" t="s">
        <v>1258</v>
      </c>
      <c r="B63" s="50" t="s">
        <v>334</v>
      </c>
      <c r="C63" s="170">
        <f t="shared" si="31"/>
        <v>0</v>
      </c>
      <c r="D63" s="193">
        <f t="shared" si="34"/>
        <v>3041</v>
      </c>
      <c r="E63" s="170">
        <v>0</v>
      </c>
      <c r="F63" s="171">
        <f t="shared" si="35"/>
        <v>3041</v>
      </c>
      <c r="G63" s="171">
        <v>0</v>
      </c>
      <c r="H63" s="171">
        <v>0</v>
      </c>
      <c r="I63" s="171">
        <v>3041</v>
      </c>
      <c r="J63" s="192">
        <v>0</v>
      </c>
      <c r="K63" s="193">
        <f t="shared" si="37"/>
        <v>0</v>
      </c>
      <c r="L63" s="193">
        <v>0</v>
      </c>
      <c r="M63" s="194">
        <v>0</v>
      </c>
      <c r="N63" s="193">
        <v>0</v>
      </c>
      <c r="O63" s="192">
        <v>0</v>
      </c>
      <c r="P63" s="193">
        <f t="shared" si="36"/>
        <v>0</v>
      </c>
      <c r="Q63" s="193">
        <v>0</v>
      </c>
      <c r="R63" s="194">
        <v>0</v>
      </c>
      <c r="S63" s="193">
        <v>0</v>
      </c>
      <c r="T63" s="195">
        <v>0</v>
      </c>
      <c r="U63" s="194">
        <f t="shared" si="33"/>
        <v>0</v>
      </c>
      <c r="V63" s="194">
        <v>0</v>
      </c>
      <c r="W63" s="194">
        <v>0</v>
      </c>
      <c r="X63" s="194">
        <v>0</v>
      </c>
      <c r="Y63" s="195">
        <v>0</v>
      </c>
      <c r="Z63" s="194">
        <f t="shared" si="30"/>
        <v>0</v>
      </c>
      <c r="AA63" s="194">
        <v>0</v>
      </c>
      <c r="AB63" s="194">
        <v>0</v>
      </c>
      <c r="AC63" s="194">
        <v>0</v>
      </c>
      <c r="AD63" s="196"/>
      <c r="AE63" s="189"/>
      <c r="AF63" s="189"/>
    </row>
    <row r="64" spans="1:32" s="10" customFormat="1" ht="93.75" customHeight="1" outlineLevel="1" x14ac:dyDescent="0.2">
      <c r="A64" s="190" t="s">
        <v>1259</v>
      </c>
      <c r="B64" s="50" t="s">
        <v>335</v>
      </c>
      <c r="C64" s="170">
        <f t="shared" si="31"/>
        <v>0</v>
      </c>
      <c r="D64" s="193">
        <f t="shared" si="34"/>
        <v>3893</v>
      </c>
      <c r="E64" s="170">
        <v>0</v>
      </c>
      <c r="F64" s="171">
        <f t="shared" si="35"/>
        <v>3893</v>
      </c>
      <c r="G64" s="171">
        <v>0</v>
      </c>
      <c r="H64" s="171">
        <v>0</v>
      </c>
      <c r="I64" s="171">
        <f>3893</f>
        <v>3893</v>
      </c>
      <c r="J64" s="192">
        <v>0</v>
      </c>
      <c r="K64" s="193">
        <f t="shared" si="37"/>
        <v>0</v>
      </c>
      <c r="L64" s="193">
        <v>0</v>
      </c>
      <c r="M64" s="194">
        <v>0</v>
      </c>
      <c r="N64" s="193">
        <v>0</v>
      </c>
      <c r="O64" s="192">
        <v>0</v>
      </c>
      <c r="P64" s="193">
        <f t="shared" si="36"/>
        <v>0</v>
      </c>
      <c r="Q64" s="193">
        <v>0</v>
      </c>
      <c r="R64" s="194">
        <v>0</v>
      </c>
      <c r="S64" s="193">
        <v>0</v>
      </c>
      <c r="T64" s="195">
        <v>0</v>
      </c>
      <c r="U64" s="194">
        <f t="shared" si="33"/>
        <v>0</v>
      </c>
      <c r="V64" s="194">
        <v>0</v>
      </c>
      <c r="W64" s="194">
        <v>0</v>
      </c>
      <c r="X64" s="194">
        <v>0</v>
      </c>
      <c r="Y64" s="195">
        <v>0</v>
      </c>
      <c r="Z64" s="194">
        <f t="shared" si="30"/>
        <v>0</v>
      </c>
      <c r="AA64" s="194">
        <v>0</v>
      </c>
      <c r="AB64" s="194">
        <v>0</v>
      </c>
      <c r="AC64" s="194">
        <v>0</v>
      </c>
      <c r="AD64" s="196"/>
      <c r="AE64" s="189"/>
      <c r="AF64" s="189"/>
    </row>
    <row r="65" spans="1:32" s="10" customFormat="1" ht="72" customHeight="1" outlineLevel="1" x14ac:dyDescent="0.2">
      <c r="A65" s="190" t="s">
        <v>1260</v>
      </c>
      <c r="B65" s="50" t="s">
        <v>355</v>
      </c>
      <c r="C65" s="170">
        <f t="shared" si="31"/>
        <v>0</v>
      </c>
      <c r="D65" s="193">
        <f t="shared" si="34"/>
        <v>263</v>
      </c>
      <c r="E65" s="170">
        <v>0</v>
      </c>
      <c r="F65" s="171">
        <f t="shared" si="35"/>
        <v>0</v>
      </c>
      <c r="G65" s="171">
        <v>0</v>
      </c>
      <c r="H65" s="171">
        <v>0</v>
      </c>
      <c r="I65" s="171">
        <v>0</v>
      </c>
      <c r="J65" s="192">
        <v>0</v>
      </c>
      <c r="K65" s="193">
        <f t="shared" si="37"/>
        <v>263</v>
      </c>
      <c r="L65" s="193">
        <v>0</v>
      </c>
      <c r="M65" s="194">
        <v>0</v>
      </c>
      <c r="N65" s="193">
        <v>263</v>
      </c>
      <c r="O65" s="192">
        <v>0</v>
      </c>
      <c r="P65" s="193">
        <f t="shared" si="36"/>
        <v>0</v>
      </c>
      <c r="Q65" s="193">
        <v>0</v>
      </c>
      <c r="R65" s="194">
        <v>0</v>
      </c>
      <c r="S65" s="193">
        <v>0</v>
      </c>
      <c r="T65" s="195">
        <v>0</v>
      </c>
      <c r="U65" s="194">
        <f t="shared" si="33"/>
        <v>0</v>
      </c>
      <c r="V65" s="194">
        <v>0</v>
      </c>
      <c r="W65" s="194">
        <v>0</v>
      </c>
      <c r="X65" s="194">
        <v>0</v>
      </c>
      <c r="Y65" s="195">
        <v>0</v>
      </c>
      <c r="Z65" s="194">
        <f t="shared" si="30"/>
        <v>0</v>
      </c>
      <c r="AA65" s="194">
        <v>0</v>
      </c>
      <c r="AB65" s="194">
        <v>0</v>
      </c>
      <c r="AC65" s="194">
        <v>0</v>
      </c>
      <c r="AD65" s="196"/>
      <c r="AE65" s="189"/>
      <c r="AF65" s="189"/>
    </row>
    <row r="66" spans="1:32" s="10" customFormat="1" ht="69.75" customHeight="1" outlineLevel="1" x14ac:dyDescent="0.2">
      <c r="A66" s="190" t="s">
        <v>1262</v>
      </c>
      <c r="B66" s="50" t="s">
        <v>357</v>
      </c>
      <c r="C66" s="170">
        <f t="shared" si="31"/>
        <v>0</v>
      </c>
      <c r="D66" s="193">
        <f t="shared" si="34"/>
        <v>0</v>
      </c>
      <c r="E66" s="170">
        <v>0</v>
      </c>
      <c r="F66" s="171">
        <f t="shared" si="35"/>
        <v>0</v>
      </c>
      <c r="G66" s="171">
        <v>0</v>
      </c>
      <c r="H66" s="171">
        <v>0</v>
      </c>
      <c r="I66" s="171">
        <v>0</v>
      </c>
      <c r="J66" s="192">
        <v>0</v>
      </c>
      <c r="K66" s="193">
        <f>SUM(L66:N66)</f>
        <v>0</v>
      </c>
      <c r="L66" s="193">
        <v>0</v>
      </c>
      <c r="M66" s="194">
        <v>0</v>
      </c>
      <c r="N66" s="193">
        <f>2016-1236-780</f>
        <v>0</v>
      </c>
      <c r="O66" s="192">
        <v>0</v>
      </c>
      <c r="P66" s="193">
        <f t="shared" si="36"/>
        <v>0</v>
      </c>
      <c r="Q66" s="193">
        <v>0</v>
      </c>
      <c r="R66" s="194">
        <v>0</v>
      </c>
      <c r="S66" s="193">
        <f>1366-1366</f>
        <v>0</v>
      </c>
      <c r="T66" s="195">
        <v>0</v>
      </c>
      <c r="U66" s="194">
        <f t="shared" si="33"/>
        <v>0</v>
      </c>
      <c r="V66" s="194">
        <v>0</v>
      </c>
      <c r="W66" s="194">
        <v>0</v>
      </c>
      <c r="X66" s="194">
        <v>0</v>
      </c>
      <c r="Y66" s="195">
        <v>0</v>
      </c>
      <c r="Z66" s="194">
        <f t="shared" si="30"/>
        <v>0</v>
      </c>
      <c r="AA66" s="194">
        <v>0</v>
      </c>
      <c r="AB66" s="194">
        <v>0</v>
      </c>
      <c r="AC66" s="194">
        <f>25870-25870</f>
        <v>0</v>
      </c>
      <c r="AD66" s="196"/>
      <c r="AE66" s="189"/>
      <c r="AF66" s="189"/>
    </row>
    <row r="67" spans="1:32" s="10" customFormat="1" ht="119.25" customHeight="1" outlineLevel="1" x14ac:dyDescent="0.2">
      <c r="A67" s="190" t="s">
        <v>1261</v>
      </c>
      <c r="B67" s="50" t="s">
        <v>1314</v>
      </c>
      <c r="C67" s="170">
        <f t="shared" si="31"/>
        <v>0</v>
      </c>
      <c r="D67" s="193">
        <f t="shared" si="34"/>
        <v>79</v>
      </c>
      <c r="E67" s="170">
        <v>0</v>
      </c>
      <c r="F67" s="171">
        <f t="shared" si="35"/>
        <v>0</v>
      </c>
      <c r="G67" s="171">
        <v>0</v>
      </c>
      <c r="H67" s="171">
        <v>0</v>
      </c>
      <c r="I67" s="171">
        <v>0</v>
      </c>
      <c r="J67" s="192">
        <v>0</v>
      </c>
      <c r="K67" s="193">
        <f>SUM(L67:N67)</f>
        <v>0</v>
      </c>
      <c r="L67" s="193">
        <v>0</v>
      </c>
      <c r="M67" s="194">
        <v>0</v>
      </c>
      <c r="N67" s="193">
        <f>476-476</f>
        <v>0</v>
      </c>
      <c r="O67" s="192">
        <v>0</v>
      </c>
      <c r="P67" s="193">
        <f t="shared" si="36"/>
        <v>0</v>
      </c>
      <c r="Q67" s="193">
        <v>0</v>
      </c>
      <c r="R67" s="194">
        <v>0</v>
      </c>
      <c r="S67" s="193">
        <v>0</v>
      </c>
      <c r="T67" s="195">
        <v>0</v>
      </c>
      <c r="U67" s="194">
        <f t="shared" si="33"/>
        <v>79</v>
      </c>
      <c r="V67" s="194">
        <v>0</v>
      </c>
      <c r="W67" s="194">
        <v>0</v>
      </c>
      <c r="X67" s="194">
        <v>79</v>
      </c>
      <c r="Y67" s="195">
        <v>0</v>
      </c>
      <c r="Z67" s="194">
        <f t="shared" si="30"/>
        <v>0</v>
      </c>
      <c r="AA67" s="194">
        <v>0</v>
      </c>
      <c r="AB67" s="194">
        <v>0</v>
      </c>
      <c r="AC67" s="194">
        <v>0</v>
      </c>
      <c r="AD67" s="196"/>
      <c r="AE67" s="189"/>
      <c r="AF67" s="189"/>
    </row>
    <row r="68" spans="1:32" s="10" customFormat="1" ht="86.25" customHeight="1" outlineLevel="1" x14ac:dyDescent="0.2">
      <c r="A68" s="190" t="s">
        <v>483</v>
      </c>
      <c r="B68" s="50" t="s">
        <v>582</v>
      </c>
      <c r="C68" s="170">
        <f t="shared" si="31"/>
        <v>0</v>
      </c>
      <c r="D68" s="193">
        <f t="shared" si="34"/>
        <v>0</v>
      </c>
      <c r="E68" s="170">
        <v>0</v>
      </c>
      <c r="F68" s="171">
        <f t="shared" si="35"/>
        <v>0</v>
      </c>
      <c r="G68" s="171">
        <v>0</v>
      </c>
      <c r="H68" s="171">
        <v>0</v>
      </c>
      <c r="I68" s="171">
        <v>0</v>
      </c>
      <c r="J68" s="192">
        <v>0</v>
      </c>
      <c r="K68" s="193">
        <f>SUM(L68:N68)</f>
        <v>0</v>
      </c>
      <c r="L68" s="193">
        <v>0</v>
      </c>
      <c r="M68" s="194">
        <v>0</v>
      </c>
      <c r="N68" s="193">
        <f>476-476</f>
        <v>0</v>
      </c>
      <c r="O68" s="192">
        <v>0</v>
      </c>
      <c r="P68" s="193">
        <f t="shared" si="36"/>
        <v>0</v>
      </c>
      <c r="Q68" s="193">
        <v>0</v>
      </c>
      <c r="R68" s="194">
        <v>0</v>
      </c>
      <c r="S68" s="193">
        <f>1752-836-916</f>
        <v>0</v>
      </c>
      <c r="T68" s="195">
        <v>0</v>
      </c>
      <c r="U68" s="194">
        <f t="shared" si="33"/>
        <v>0</v>
      </c>
      <c r="V68" s="194">
        <v>0</v>
      </c>
      <c r="W68" s="194">
        <v>0</v>
      </c>
      <c r="X68" s="194">
        <v>0</v>
      </c>
      <c r="Y68" s="195">
        <v>0</v>
      </c>
      <c r="Z68" s="194">
        <f t="shared" si="30"/>
        <v>0</v>
      </c>
      <c r="AA68" s="194">
        <v>0</v>
      </c>
      <c r="AB68" s="194">
        <v>0</v>
      </c>
      <c r="AC68" s="194">
        <f>9040-9040</f>
        <v>0</v>
      </c>
      <c r="AD68" s="196"/>
      <c r="AE68" s="189"/>
      <c r="AF68" s="189"/>
    </row>
    <row r="69" spans="1:32" s="10" customFormat="1" ht="108" customHeight="1" outlineLevel="1" x14ac:dyDescent="0.2">
      <c r="A69" s="190" t="s">
        <v>1263</v>
      </c>
      <c r="B69" s="50" t="s">
        <v>515</v>
      </c>
      <c r="C69" s="170">
        <f>E69+J69+O69++Y69+T69</f>
        <v>0.1</v>
      </c>
      <c r="D69" s="193">
        <f t="shared" si="34"/>
        <v>0</v>
      </c>
      <c r="E69" s="170">
        <v>0</v>
      </c>
      <c r="F69" s="171">
        <f t="shared" si="35"/>
        <v>0</v>
      </c>
      <c r="G69" s="171">
        <f>H69+I69+J69</f>
        <v>0</v>
      </c>
      <c r="H69" s="171">
        <f>I69+J69+K69</f>
        <v>0</v>
      </c>
      <c r="I69" s="171">
        <f>J69+K69+L69</f>
        <v>0</v>
      </c>
      <c r="J69" s="192">
        <v>0</v>
      </c>
      <c r="K69" s="193">
        <f>SUM(L69:N69)</f>
        <v>0</v>
      </c>
      <c r="L69" s="193">
        <f>SUM(M69:O69)</f>
        <v>0</v>
      </c>
      <c r="M69" s="193">
        <f>SUM(N69:P69)</f>
        <v>0</v>
      </c>
      <c r="N69" s="193">
        <f>SUM(O69:Q69)</f>
        <v>0</v>
      </c>
      <c r="O69" s="192">
        <v>0</v>
      </c>
      <c r="P69" s="193">
        <f t="shared" si="36"/>
        <v>0</v>
      </c>
      <c r="Q69" s="193">
        <v>0</v>
      </c>
      <c r="R69" s="194">
        <v>0</v>
      </c>
      <c r="S69" s="193">
        <v>0</v>
      </c>
      <c r="T69" s="195">
        <v>0.1</v>
      </c>
      <c r="U69" s="194">
        <f t="shared" si="33"/>
        <v>0</v>
      </c>
      <c r="V69" s="194">
        <v>0</v>
      </c>
      <c r="W69" s="194">
        <v>0</v>
      </c>
      <c r="X69" s="194">
        <f>295+29-324</f>
        <v>0</v>
      </c>
      <c r="Y69" s="195">
        <v>0</v>
      </c>
      <c r="Z69" s="194">
        <f t="shared" si="30"/>
        <v>0</v>
      </c>
      <c r="AA69" s="194">
        <v>0</v>
      </c>
      <c r="AB69" s="194">
        <v>0</v>
      </c>
      <c r="AC69" s="194">
        <v>0</v>
      </c>
      <c r="AD69" s="196"/>
      <c r="AE69" s="189"/>
      <c r="AF69" s="189"/>
    </row>
    <row r="70" spans="1:32" s="10" customFormat="1" ht="94.5" customHeight="1" outlineLevel="1" x14ac:dyDescent="0.2">
      <c r="A70" s="190" t="s">
        <v>1264</v>
      </c>
      <c r="B70" s="50" t="s">
        <v>532</v>
      </c>
      <c r="C70" s="170">
        <f t="shared" si="31"/>
        <v>2.1</v>
      </c>
      <c r="D70" s="193">
        <f t="shared" si="34"/>
        <v>9051</v>
      </c>
      <c r="E70" s="170">
        <v>0</v>
      </c>
      <c r="F70" s="171">
        <f t="shared" si="35"/>
        <v>0</v>
      </c>
      <c r="G70" s="171">
        <v>0</v>
      </c>
      <c r="H70" s="171">
        <v>0</v>
      </c>
      <c r="I70" s="171">
        <v>0</v>
      </c>
      <c r="J70" s="192">
        <v>0</v>
      </c>
      <c r="K70" s="193">
        <v>0</v>
      </c>
      <c r="L70" s="193">
        <v>0</v>
      </c>
      <c r="M70" s="193">
        <v>0</v>
      </c>
      <c r="N70" s="193">
        <v>0</v>
      </c>
      <c r="O70" s="192">
        <v>0</v>
      </c>
      <c r="P70" s="193">
        <f t="shared" si="36"/>
        <v>0</v>
      </c>
      <c r="Q70" s="193">
        <v>0</v>
      </c>
      <c r="R70" s="193">
        <v>0</v>
      </c>
      <c r="S70" s="193">
        <v>0</v>
      </c>
      <c r="T70" s="195">
        <v>2.1</v>
      </c>
      <c r="U70" s="194">
        <f t="shared" si="33"/>
        <v>9051</v>
      </c>
      <c r="V70" s="194">
        <v>0</v>
      </c>
      <c r="W70" s="194">
        <v>0</v>
      </c>
      <c r="X70" s="194">
        <f>3391+1716-641+4585</f>
        <v>9051</v>
      </c>
      <c r="Y70" s="195">
        <v>0</v>
      </c>
      <c r="Z70" s="194">
        <f t="shared" si="30"/>
        <v>0</v>
      </c>
      <c r="AA70" s="194">
        <v>0</v>
      </c>
      <c r="AB70" s="194">
        <v>0</v>
      </c>
      <c r="AC70" s="194">
        <v>0</v>
      </c>
      <c r="AD70" s="196"/>
      <c r="AE70" s="189"/>
      <c r="AF70" s="189"/>
    </row>
    <row r="71" spans="1:32" s="10" customFormat="1" ht="127.5" customHeight="1" outlineLevel="1" x14ac:dyDescent="0.2">
      <c r="A71" s="190" t="s">
        <v>1265</v>
      </c>
      <c r="B71" s="191" t="s">
        <v>1491</v>
      </c>
      <c r="C71" s="192">
        <f>E71+J71+O71+T71+Y71</f>
        <v>0</v>
      </c>
      <c r="D71" s="193">
        <f t="shared" si="34"/>
        <v>3863</v>
      </c>
      <c r="E71" s="170">
        <v>0</v>
      </c>
      <c r="F71" s="171">
        <v>0</v>
      </c>
      <c r="G71" s="171">
        <v>0</v>
      </c>
      <c r="H71" s="171">
        <v>0</v>
      </c>
      <c r="I71" s="171">
        <v>0</v>
      </c>
      <c r="J71" s="192">
        <v>0</v>
      </c>
      <c r="K71" s="193">
        <f>L71+M71+N71</f>
        <v>0</v>
      </c>
      <c r="L71" s="193">
        <v>0</v>
      </c>
      <c r="M71" s="193">
        <v>0</v>
      </c>
      <c r="N71" s="193">
        <v>0</v>
      </c>
      <c r="O71" s="192">
        <v>0</v>
      </c>
      <c r="P71" s="193">
        <f t="shared" si="36"/>
        <v>0</v>
      </c>
      <c r="Q71" s="193">
        <v>0</v>
      </c>
      <c r="R71" s="193">
        <v>0</v>
      </c>
      <c r="S71" s="193">
        <f>592+235+222-1049</f>
        <v>0</v>
      </c>
      <c r="T71" s="195">
        <v>0</v>
      </c>
      <c r="U71" s="194">
        <f t="shared" si="33"/>
        <v>0</v>
      </c>
      <c r="V71" s="194">
        <v>0</v>
      </c>
      <c r="W71" s="194">
        <v>0</v>
      </c>
      <c r="X71" s="194">
        <f>3315-3315</f>
        <v>0</v>
      </c>
      <c r="Y71" s="192">
        <v>0</v>
      </c>
      <c r="Z71" s="193">
        <f>AA71+AC71</f>
        <v>3863</v>
      </c>
      <c r="AA71" s="193">
        <v>0</v>
      </c>
      <c r="AB71" s="193">
        <v>0</v>
      </c>
      <c r="AC71" s="193">
        <f>4066-203</f>
        <v>3863</v>
      </c>
      <c r="AD71" s="196"/>
      <c r="AE71" s="189"/>
      <c r="AF71" s="189"/>
    </row>
    <row r="72" spans="1:32" s="10" customFormat="1" ht="96" customHeight="1" outlineLevel="1" x14ac:dyDescent="0.2">
      <c r="A72" s="190" t="s">
        <v>1266</v>
      </c>
      <c r="B72" s="191" t="s">
        <v>574</v>
      </c>
      <c r="C72" s="192">
        <f>E72+J72+O72+T72+Y72</f>
        <v>0.03</v>
      </c>
      <c r="D72" s="193">
        <f t="shared" si="34"/>
        <v>3600</v>
      </c>
      <c r="E72" s="170">
        <v>0</v>
      </c>
      <c r="F72" s="171">
        <v>0</v>
      </c>
      <c r="G72" s="171">
        <v>0</v>
      </c>
      <c r="H72" s="171">
        <v>0</v>
      </c>
      <c r="I72" s="171">
        <v>0</v>
      </c>
      <c r="J72" s="192">
        <v>0</v>
      </c>
      <c r="K72" s="193">
        <v>0</v>
      </c>
      <c r="L72" s="193">
        <v>0</v>
      </c>
      <c r="M72" s="193">
        <v>0</v>
      </c>
      <c r="N72" s="193">
        <v>0</v>
      </c>
      <c r="O72" s="192">
        <v>0</v>
      </c>
      <c r="P72" s="193">
        <v>0</v>
      </c>
      <c r="Q72" s="193">
        <v>0</v>
      </c>
      <c r="R72" s="193">
        <v>0</v>
      </c>
      <c r="S72" s="193">
        <v>0</v>
      </c>
      <c r="T72" s="195">
        <v>0.03</v>
      </c>
      <c r="U72" s="194">
        <f>SUM(V72:X72)</f>
        <v>1800</v>
      </c>
      <c r="V72" s="194">
        <v>0</v>
      </c>
      <c r="W72" s="194">
        <v>0</v>
      </c>
      <c r="X72" s="194">
        <f>2663-120-743</f>
        <v>1800</v>
      </c>
      <c r="Y72" s="192">
        <v>0</v>
      </c>
      <c r="Z72" s="193">
        <f>AA72+AC72</f>
        <v>1800</v>
      </c>
      <c r="AA72" s="193">
        <v>0</v>
      </c>
      <c r="AB72" s="193">
        <v>0</v>
      </c>
      <c r="AC72" s="193">
        <v>1800</v>
      </c>
      <c r="AD72" s="196"/>
      <c r="AE72" s="189"/>
      <c r="AF72" s="189"/>
    </row>
    <row r="73" spans="1:32" s="10" customFormat="1" ht="96" customHeight="1" outlineLevel="1" x14ac:dyDescent="0.2">
      <c r="A73" s="190" t="s">
        <v>1267</v>
      </c>
      <c r="B73" s="191" t="s">
        <v>1492</v>
      </c>
      <c r="C73" s="192">
        <f>E73+J73+O73+T73+Y73</f>
        <v>0</v>
      </c>
      <c r="D73" s="193">
        <f t="shared" si="34"/>
        <v>4700</v>
      </c>
      <c r="E73" s="170">
        <v>0</v>
      </c>
      <c r="F73" s="171">
        <v>0</v>
      </c>
      <c r="G73" s="171">
        <v>0</v>
      </c>
      <c r="H73" s="171">
        <v>0</v>
      </c>
      <c r="I73" s="171">
        <v>0</v>
      </c>
      <c r="J73" s="192">
        <v>0</v>
      </c>
      <c r="K73" s="193">
        <v>0</v>
      </c>
      <c r="L73" s="193">
        <v>0</v>
      </c>
      <c r="M73" s="193">
        <v>0</v>
      </c>
      <c r="N73" s="193">
        <v>0</v>
      </c>
      <c r="O73" s="192">
        <v>0</v>
      </c>
      <c r="P73" s="193">
        <v>0</v>
      </c>
      <c r="Q73" s="193">
        <v>0</v>
      </c>
      <c r="R73" s="193">
        <v>0</v>
      </c>
      <c r="S73" s="193">
        <v>0</v>
      </c>
      <c r="T73" s="195">
        <v>0</v>
      </c>
      <c r="U73" s="194">
        <f>SUM(V73:X73)</f>
        <v>0</v>
      </c>
      <c r="V73" s="194">
        <v>0</v>
      </c>
      <c r="W73" s="194">
        <v>0</v>
      </c>
      <c r="X73" s="194">
        <v>0</v>
      </c>
      <c r="Y73" s="192">
        <v>0</v>
      </c>
      <c r="Z73" s="193">
        <f>AA73+AC73</f>
        <v>4700</v>
      </c>
      <c r="AA73" s="193">
        <v>0</v>
      </c>
      <c r="AB73" s="193">
        <v>0</v>
      </c>
      <c r="AC73" s="193">
        <f>7548-2848</f>
        <v>4700</v>
      </c>
      <c r="AD73" s="196"/>
      <c r="AE73" s="189"/>
      <c r="AF73" s="189"/>
    </row>
    <row r="74" spans="1:32" s="10" customFormat="1" ht="31.5" customHeight="1" outlineLevel="1" x14ac:dyDescent="0.2">
      <c r="A74" s="190"/>
      <c r="B74" s="201" t="s">
        <v>373</v>
      </c>
      <c r="C74" s="192">
        <v>0</v>
      </c>
      <c r="D74" s="193">
        <f t="shared" si="34"/>
        <v>2572</v>
      </c>
      <c r="E74" s="170">
        <v>0</v>
      </c>
      <c r="F74" s="171">
        <f>G74+H74+I74</f>
        <v>988</v>
      </c>
      <c r="G74" s="171">
        <v>0</v>
      </c>
      <c r="H74" s="171">
        <v>0</v>
      </c>
      <c r="I74" s="171">
        <v>988</v>
      </c>
      <c r="J74" s="192">
        <v>0</v>
      </c>
      <c r="K74" s="193">
        <f>L74+M74+N74</f>
        <v>1584</v>
      </c>
      <c r="L74" s="193">
        <v>0</v>
      </c>
      <c r="M74" s="194">
        <v>0</v>
      </c>
      <c r="N74" s="193">
        <v>1584</v>
      </c>
      <c r="O74" s="192">
        <v>0</v>
      </c>
      <c r="P74" s="193">
        <f t="shared" si="36"/>
        <v>0</v>
      </c>
      <c r="Q74" s="193">
        <v>0</v>
      </c>
      <c r="R74" s="194">
        <v>0</v>
      </c>
      <c r="S74" s="193">
        <v>0</v>
      </c>
      <c r="T74" s="195">
        <v>0</v>
      </c>
      <c r="U74" s="194">
        <f>V74+W74+X74</f>
        <v>0</v>
      </c>
      <c r="V74" s="194">
        <v>0</v>
      </c>
      <c r="W74" s="194">
        <v>0</v>
      </c>
      <c r="X74" s="194">
        <v>0</v>
      </c>
      <c r="Y74" s="195">
        <v>0</v>
      </c>
      <c r="Z74" s="194">
        <f>AA74+AB74+AC74</f>
        <v>0</v>
      </c>
      <c r="AA74" s="194">
        <v>0</v>
      </c>
      <c r="AB74" s="194">
        <v>0</v>
      </c>
      <c r="AC74" s="194">
        <v>0</v>
      </c>
      <c r="AD74" s="196"/>
      <c r="AE74" s="189"/>
      <c r="AF74" s="189"/>
    </row>
    <row r="75" spans="1:32" s="10" customFormat="1" ht="91.15" customHeight="1" x14ac:dyDescent="0.2">
      <c r="A75" s="197"/>
      <c r="B75" s="198" t="s">
        <v>484</v>
      </c>
      <c r="C75" s="199">
        <f>SUM(C46:C71)</f>
        <v>2.64</v>
      </c>
      <c r="D75" s="200">
        <f>SUM(D46:D73)</f>
        <v>138490</v>
      </c>
      <c r="E75" s="199">
        <f t="shared" ref="E75:T75" si="38">SUM(E46:E71)</f>
        <v>0</v>
      </c>
      <c r="F75" s="200">
        <f t="shared" si="38"/>
        <v>44356</v>
      </c>
      <c r="G75" s="200">
        <f t="shared" si="38"/>
        <v>0</v>
      </c>
      <c r="H75" s="200">
        <f t="shared" si="38"/>
        <v>16335</v>
      </c>
      <c r="I75" s="200">
        <f t="shared" si="38"/>
        <v>28021</v>
      </c>
      <c r="J75" s="199">
        <f t="shared" si="38"/>
        <v>0</v>
      </c>
      <c r="K75" s="200">
        <f t="shared" si="38"/>
        <v>16962</v>
      </c>
      <c r="L75" s="200">
        <f t="shared" si="38"/>
        <v>0</v>
      </c>
      <c r="M75" s="200">
        <f t="shared" si="38"/>
        <v>0</v>
      </c>
      <c r="N75" s="200">
        <f t="shared" si="38"/>
        <v>16962</v>
      </c>
      <c r="O75" s="199">
        <f t="shared" si="38"/>
        <v>0</v>
      </c>
      <c r="P75" s="200">
        <f t="shared" si="38"/>
        <v>15511</v>
      </c>
      <c r="Q75" s="200">
        <f t="shared" si="38"/>
        <v>0</v>
      </c>
      <c r="R75" s="200">
        <f t="shared" si="38"/>
        <v>0</v>
      </c>
      <c r="S75" s="200">
        <f t="shared" si="38"/>
        <v>15511</v>
      </c>
      <c r="T75" s="199">
        <f t="shared" si="38"/>
        <v>2.2000000000000002</v>
      </c>
      <c r="U75" s="200">
        <f>SUM(U46:U74)</f>
        <v>36893</v>
      </c>
      <c r="V75" s="200">
        <f>SUM(V46:V71)</f>
        <v>0</v>
      </c>
      <c r="W75" s="200">
        <f>SUM(W46:W71)</f>
        <v>0</v>
      </c>
      <c r="X75" s="200">
        <f>SUM(X46:X74)</f>
        <v>36893</v>
      </c>
      <c r="Y75" s="199">
        <f>SUM(Y46:Y71)</f>
        <v>0.44000000000000006</v>
      </c>
      <c r="Z75" s="200">
        <f>SUM(Z46:Z74)</f>
        <v>24768</v>
      </c>
      <c r="AA75" s="200">
        <f>SUM(AA46:AA71)</f>
        <v>0</v>
      </c>
      <c r="AB75" s="200">
        <f>SUM(AB46:AB71)</f>
        <v>0</v>
      </c>
      <c r="AC75" s="200">
        <f>SUM(AC46:AC74)</f>
        <v>24768</v>
      </c>
      <c r="AD75" s="196"/>
      <c r="AE75" s="196"/>
      <c r="AF75" s="189"/>
    </row>
    <row r="76" spans="1:32" s="10" customFormat="1" ht="45" customHeight="1" x14ac:dyDescent="0.2">
      <c r="A76" s="188" t="s">
        <v>435</v>
      </c>
      <c r="B76" s="422" t="s">
        <v>1072</v>
      </c>
      <c r="C76" s="423"/>
      <c r="D76" s="423"/>
      <c r="E76" s="423"/>
      <c r="F76" s="423"/>
      <c r="G76" s="423"/>
      <c r="H76" s="423"/>
      <c r="I76" s="423"/>
      <c r="J76" s="423"/>
      <c r="K76" s="423"/>
      <c r="L76" s="423"/>
      <c r="M76" s="423"/>
      <c r="N76" s="423"/>
      <c r="O76" s="423"/>
      <c r="P76" s="423"/>
      <c r="Q76" s="423"/>
      <c r="R76" s="423"/>
      <c r="S76" s="423"/>
      <c r="T76" s="423"/>
      <c r="U76" s="423"/>
      <c r="V76" s="423"/>
      <c r="W76" s="423"/>
      <c r="X76" s="423"/>
      <c r="Y76" s="423"/>
      <c r="Z76" s="423"/>
      <c r="AA76" s="423"/>
      <c r="AB76" s="423"/>
      <c r="AC76" s="424"/>
      <c r="AD76" s="196"/>
      <c r="AE76" s="189"/>
      <c r="AF76" s="189"/>
    </row>
    <row r="77" spans="1:32" s="10" customFormat="1" ht="95.25" customHeight="1" outlineLevel="1" x14ac:dyDescent="0.2">
      <c r="A77" s="168" t="s">
        <v>1268</v>
      </c>
      <c r="B77" s="191" t="s">
        <v>6</v>
      </c>
      <c r="C77" s="192">
        <f>E77+J77+O77+Y77+T77</f>
        <v>0</v>
      </c>
      <c r="D77" s="171">
        <f>F77+K77+P77+Z77+U77</f>
        <v>0</v>
      </c>
      <c r="E77" s="170">
        <v>0</v>
      </c>
      <c r="F77" s="171">
        <v>0</v>
      </c>
      <c r="G77" s="171">
        <v>0</v>
      </c>
      <c r="H77" s="171">
        <v>0</v>
      </c>
      <c r="I77" s="171">
        <v>0</v>
      </c>
      <c r="J77" s="192">
        <v>0</v>
      </c>
      <c r="K77" s="204">
        <f>SUM(L77:N77)</f>
        <v>0</v>
      </c>
      <c r="L77" s="193">
        <v>0</v>
      </c>
      <c r="M77" s="193">
        <v>0</v>
      </c>
      <c r="N77" s="193">
        <v>0</v>
      </c>
      <c r="O77" s="192">
        <v>0</v>
      </c>
      <c r="P77" s="193">
        <f>SUM(Q77:S77)</f>
        <v>0</v>
      </c>
      <c r="Q77" s="193">
        <v>0</v>
      </c>
      <c r="R77" s="193">
        <v>0</v>
      </c>
      <c r="S77" s="193">
        <v>0</v>
      </c>
      <c r="T77" s="192">
        <v>0</v>
      </c>
      <c r="U77" s="193">
        <f>SUM(V77:X77)</f>
        <v>0</v>
      </c>
      <c r="V77" s="193">
        <v>0</v>
      </c>
      <c r="W77" s="193">
        <v>0</v>
      </c>
      <c r="X77" s="193">
        <v>0</v>
      </c>
      <c r="Y77" s="195">
        <v>0</v>
      </c>
      <c r="Z77" s="194">
        <f t="shared" ref="Z77:Z82" si="39">AA77+AB77+AC77</f>
        <v>0</v>
      </c>
      <c r="AA77" s="194">
        <v>0</v>
      </c>
      <c r="AB77" s="194">
        <v>0</v>
      </c>
      <c r="AC77" s="194">
        <v>0</v>
      </c>
      <c r="AD77" s="189"/>
      <c r="AE77" s="189"/>
      <c r="AF77" s="189"/>
    </row>
    <row r="78" spans="1:32" s="10" customFormat="1" ht="65.45" customHeight="1" outlineLevel="1" x14ac:dyDescent="0.2">
      <c r="A78" s="168" t="s">
        <v>1269</v>
      </c>
      <c r="B78" s="191" t="s">
        <v>34</v>
      </c>
      <c r="C78" s="192">
        <f>E78+J78+O78+Y78+T78</f>
        <v>0</v>
      </c>
      <c r="D78" s="171">
        <f t="shared" ref="D78:D87" si="40">F78+K78+P78+Z78+U78</f>
        <v>0</v>
      </c>
      <c r="E78" s="170">
        <v>0</v>
      </c>
      <c r="F78" s="171">
        <v>0</v>
      </c>
      <c r="G78" s="171">
        <v>0</v>
      </c>
      <c r="H78" s="171">
        <v>0</v>
      </c>
      <c r="I78" s="171">
        <v>0</v>
      </c>
      <c r="J78" s="192">
        <v>0</v>
      </c>
      <c r="K78" s="204">
        <f t="shared" ref="K78:K83" si="41">SUM(L78:N78)</f>
        <v>0</v>
      </c>
      <c r="L78" s="193">
        <v>0</v>
      </c>
      <c r="M78" s="193">
        <v>0</v>
      </c>
      <c r="N78" s="193">
        <v>0</v>
      </c>
      <c r="O78" s="192">
        <v>0</v>
      </c>
      <c r="P78" s="193">
        <v>0</v>
      </c>
      <c r="Q78" s="193">
        <v>0</v>
      </c>
      <c r="R78" s="193">
        <v>0</v>
      </c>
      <c r="S78" s="193">
        <v>0</v>
      </c>
      <c r="T78" s="192">
        <v>0</v>
      </c>
      <c r="U78" s="193">
        <f t="shared" ref="U78:U89" si="42">SUM(V78:X78)</f>
        <v>0</v>
      </c>
      <c r="V78" s="193">
        <v>0</v>
      </c>
      <c r="W78" s="193">
        <v>0</v>
      </c>
      <c r="X78" s="193">
        <v>0</v>
      </c>
      <c r="Y78" s="195">
        <v>0</v>
      </c>
      <c r="Z78" s="194">
        <f t="shared" si="39"/>
        <v>0</v>
      </c>
      <c r="AA78" s="194">
        <v>0</v>
      </c>
      <c r="AB78" s="194">
        <v>0</v>
      </c>
      <c r="AC78" s="194">
        <v>0</v>
      </c>
      <c r="AD78" s="189"/>
      <c r="AE78" s="189"/>
      <c r="AF78" s="189"/>
    </row>
    <row r="79" spans="1:32" s="10" customFormat="1" ht="90.6" customHeight="1" outlineLevel="1" x14ac:dyDescent="0.2">
      <c r="A79" s="168" t="s">
        <v>1270</v>
      </c>
      <c r="B79" s="191" t="s">
        <v>35</v>
      </c>
      <c r="C79" s="192">
        <f>E79+J79+O79+Y79+T79</f>
        <v>0</v>
      </c>
      <c r="D79" s="171">
        <f t="shared" si="40"/>
        <v>0</v>
      </c>
      <c r="E79" s="170">
        <v>0</v>
      </c>
      <c r="F79" s="171">
        <v>0</v>
      </c>
      <c r="G79" s="171">
        <v>0</v>
      </c>
      <c r="H79" s="171">
        <v>0</v>
      </c>
      <c r="I79" s="171">
        <v>0</v>
      </c>
      <c r="J79" s="192">
        <v>0</v>
      </c>
      <c r="K79" s="204">
        <v>0</v>
      </c>
      <c r="L79" s="193">
        <v>0</v>
      </c>
      <c r="M79" s="193">
        <v>0</v>
      </c>
      <c r="N79" s="193">
        <v>0</v>
      </c>
      <c r="O79" s="192">
        <v>0</v>
      </c>
      <c r="P79" s="193">
        <v>0</v>
      </c>
      <c r="Q79" s="193">
        <v>0</v>
      </c>
      <c r="R79" s="193">
        <v>0</v>
      </c>
      <c r="S79" s="193">
        <v>0</v>
      </c>
      <c r="T79" s="192">
        <v>0</v>
      </c>
      <c r="U79" s="193">
        <f t="shared" si="42"/>
        <v>0</v>
      </c>
      <c r="V79" s="193">
        <v>0</v>
      </c>
      <c r="W79" s="193">
        <v>0</v>
      </c>
      <c r="X79" s="193">
        <v>0</v>
      </c>
      <c r="Y79" s="195">
        <v>0</v>
      </c>
      <c r="Z79" s="194">
        <f t="shared" si="39"/>
        <v>0</v>
      </c>
      <c r="AA79" s="194">
        <v>0</v>
      </c>
      <c r="AB79" s="194">
        <v>0</v>
      </c>
      <c r="AC79" s="194">
        <v>0</v>
      </c>
      <c r="AD79" s="189"/>
      <c r="AE79" s="189"/>
      <c r="AF79" s="189"/>
    </row>
    <row r="80" spans="1:32" s="10" customFormat="1" ht="60" customHeight="1" outlineLevel="1" x14ac:dyDescent="0.2">
      <c r="A80" s="168" t="s">
        <v>1271</v>
      </c>
      <c r="B80" s="191" t="s">
        <v>166</v>
      </c>
      <c r="C80" s="192">
        <f t="shared" ref="C80:C95" si="43">E80+J80+O80+T80+Y80</f>
        <v>0</v>
      </c>
      <c r="D80" s="171">
        <f t="shared" si="40"/>
        <v>0</v>
      </c>
      <c r="E80" s="170">
        <v>0</v>
      </c>
      <c r="F80" s="171">
        <v>0</v>
      </c>
      <c r="G80" s="171">
        <v>0</v>
      </c>
      <c r="H80" s="171">
        <v>0</v>
      </c>
      <c r="I80" s="171">
        <v>0</v>
      </c>
      <c r="J80" s="192">
        <v>0</v>
      </c>
      <c r="K80" s="204">
        <v>0</v>
      </c>
      <c r="L80" s="193">
        <v>0</v>
      </c>
      <c r="M80" s="193">
        <v>0</v>
      </c>
      <c r="N80" s="193">
        <v>0</v>
      </c>
      <c r="O80" s="192">
        <v>0</v>
      </c>
      <c r="P80" s="193">
        <v>0</v>
      </c>
      <c r="Q80" s="193">
        <v>0</v>
      </c>
      <c r="R80" s="193">
        <v>0</v>
      </c>
      <c r="S80" s="193">
        <v>0</v>
      </c>
      <c r="T80" s="195">
        <v>0</v>
      </c>
      <c r="U80" s="193">
        <f t="shared" si="42"/>
        <v>0</v>
      </c>
      <c r="V80" s="194">
        <v>0</v>
      </c>
      <c r="W80" s="194">
        <v>0</v>
      </c>
      <c r="X80" s="194">
        <v>0</v>
      </c>
      <c r="Y80" s="195">
        <v>0</v>
      </c>
      <c r="Z80" s="194">
        <f t="shared" si="39"/>
        <v>0</v>
      </c>
      <c r="AA80" s="194">
        <v>0</v>
      </c>
      <c r="AB80" s="193">
        <v>0</v>
      </c>
      <c r="AC80" s="194">
        <v>0</v>
      </c>
      <c r="AD80" s="189"/>
      <c r="AE80" s="189"/>
      <c r="AF80" s="189"/>
    </row>
    <row r="81" spans="1:32" s="10" customFormat="1" ht="98.45" customHeight="1" outlineLevel="1" x14ac:dyDescent="0.2">
      <c r="A81" s="168" t="s">
        <v>1272</v>
      </c>
      <c r="B81" s="191" t="s">
        <v>167</v>
      </c>
      <c r="C81" s="192">
        <f t="shared" si="43"/>
        <v>0</v>
      </c>
      <c r="D81" s="171">
        <f t="shared" si="40"/>
        <v>0</v>
      </c>
      <c r="E81" s="170">
        <v>0</v>
      </c>
      <c r="F81" s="171">
        <v>0</v>
      </c>
      <c r="G81" s="171">
        <v>0</v>
      </c>
      <c r="H81" s="171">
        <v>0</v>
      </c>
      <c r="I81" s="171">
        <v>0</v>
      </c>
      <c r="J81" s="192">
        <v>0</v>
      </c>
      <c r="K81" s="204">
        <f t="shared" si="41"/>
        <v>0</v>
      </c>
      <c r="L81" s="193">
        <v>0</v>
      </c>
      <c r="M81" s="193">
        <v>0</v>
      </c>
      <c r="N81" s="193">
        <v>0</v>
      </c>
      <c r="O81" s="192">
        <v>0</v>
      </c>
      <c r="P81" s="193">
        <v>0</v>
      </c>
      <c r="Q81" s="193">
        <v>0</v>
      </c>
      <c r="R81" s="193">
        <v>0</v>
      </c>
      <c r="S81" s="193">
        <v>0</v>
      </c>
      <c r="T81" s="195">
        <v>0</v>
      </c>
      <c r="U81" s="193">
        <f t="shared" si="42"/>
        <v>0</v>
      </c>
      <c r="V81" s="194">
        <v>0</v>
      </c>
      <c r="W81" s="194">
        <v>0</v>
      </c>
      <c r="X81" s="194">
        <v>0</v>
      </c>
      <c r="Y81" s="195">
        <v>0</v>
      </c>
      <c r="Z81" s="194">
        <f t="shared" si="39"/>
        <v>0</v>
      </c>
      <c r="AA81" s="194">
        <v>0</v>
      </c>
      <c r="AB81" s="193">
        <v>0</v>
      </c>
      <c r="AC81" s="194">
        <v>0</v>
      </c>
      <c r="AD81" s="189"/>
      <c r="AE81" s="189"/>
      <c r="AF81" s="189"/>
    </row>
    <row r="82" spans="1:32" s="10" customFormat="1" ht="60" customHeight="1" outlineLevel="1" x14ac:dyDescent="0.2">
      <c r="A82" s="168" t="s">
        <v>1273</v>
      </c>
      <c r="B82" s="191" t="s">
        <v>631</v>
      </c>
      <c r="C82" s="192">
        <f t="shared" si="43"/>
        <v>0</v>
      </c>
      <c r="D82" s="171">
        <f t="shared" si="40"/>
        <v>0</v>
      </c>
      <c r="E82" s="170">
        <v>0</v>
      </c>
      <c r="F82" s="171">
        <v>0</v>
      </c>
      <c r="G82" s="171">
        <v>0</v>
      </c>
      <c r="H82" s="171">
        <v>0</v>
      </c>
      <c r="I82" s="171">
        <v>0</v>
      </c>
      <c r="J82" s="192">
        <v>0</v>
      </c>
      <c r="K82" s="204">
        <f t="shared" si="41"/>
        <v>0</v>
      </c>
      <c r="L82" s="193">
        <v>0</v>
      </c>
      <c r="M82" s="193">
        <v>0</v>
      </c>
      <c r="N82" s="193">
        <v>0</v>
      </c>
      <c r="O82" s="192">
        <v>0</v>
      </c>
      <c r="P82" s="193">
        <v>0</v>
      </c>
      <c r="Q82" s="193">
        <v>0</v>
      </c>
      <c r="R82" s="193">
        <v>0</v>
      </c>
      <c r="S82" s="193">
        <v>0</v>
      </c>
      <c r="T82" s="195">
        <v>0</v>
      </c>
      <c r="U82" s="193">
        <f t="shared" si="42"/>
        <v>0</v>
      </c>
      <c r="V82" s="194">
        <v>0</v>
      </c>
      <c r="W82" s="194">
        <v>0</v>
      </c>
      <c r="X82" s="194">
        <v>0</v>
      </c>
      <c r="Y82" s="195">
        <v>0</v>
      </c>
      <c r="Z82" s="194">
        <f t="shared" si="39"/>
        <v>0</v>
      </c>
      <c r="AA82" s="194">
        <v>0</v>
      </c>
      <c r="AB82" s="193">
        <v>0</v>
      </c>
      <c r="AC82" s="194">
        <v>0</v>
      </c>
      <c r="AD82" s="189"/>
      <c r="AE82" s="189"/>
      <c r="AF82" s="189"/>
    </row>
    <row r="83" spans="1:32" s="10" customFormat="1" ht="82.9" customHeight="1" outlineLevel="1" x14ac:dyDescent="0.2">
      <c r="A83" s="168" t="s">
        <v>1274</v>
      </c>
      <c r="B83" s="191" t="s">
        <v>630</v>
      </c>
      <c r="C83" s="192">
        <f t="shared" si="43"/>
        <v>0</v>
      </c>
      <c r="D83" s="171">
        <f t="shared" si="40"/>
        <v>0</v>
      </c>
      <c r="E83" s="170">
        <v>0</v>
      </c>
      <c r="F83" s="171">
        <v>0</v>
      </c>
      <c r="G83" s="171">
        <v>0</v>
      </c>
      <c r="H83" s="171">
        <v>0</v>
      </c>
      <c r="I83" s="171">
        <v>0</v>
      </c>
      <c r="J83" s="192">
        <v>0</v>
      </c>
      <c r="K83" s="204">
        <f t="shared" si="41"/>
        <v>0</v>
      </c>
      <c r="L83" s="193">
        <v>0</v>
      </c>
      <c r="M83" s="193">
        <v>0</v>
      </c>
      <c r="N83" s="193">
        <v>0</v>
      </c>
      <c r="O83" s="192">
        <v>0</v>
      </c>
      <c r="P83" s="193">
        <v>0</v>
      </c>
      <c r="Q83" s="193">
        <v>0</v>
      </c>
      <c r="R83" s="193">
        <v>0</v>
      </c>
      <c r="S83" s="193">
        <v>0</v>
      </c>
      <c r="T83" s="195">
        <v>0</v>
      </c>
      <c r="U83" s="193">
        <f t="shared" si="42"/>
        <v>0</v>
      </c>
      <c r="V83" s="194">
        <v>0</v>
      </c>
      <c r="W83" s="194">
        <v>0</v>
      </c>
      <c r="X83" s="194">
        <v>0</v>
      </c>
      <c r="Y83" s="195">
        <v>0</v>
      </c>
      <c r="Z83" s="194">
        <v>0</v>
      </c>
      <c r="AA83" s="194">
        <v>0</v>
      </c>
      <c r="AB83" s="193">
        <v>0</v>
      </c>
      <c r="AC83" s="194">
        <v>0</v>
      </c>
      <c r="AD83" s="189"/>
      <c r="AE83" s="189"/>
      <c r="AF83" s="189"/>
    </row>
    <row r="84" spans="1:32" s="10" customFormat="1" ht="122.25" customHeight="1" outlineLevel="1" x14ac:dyDescent="0.2">
      <c r="A84" s="168" t="s">
        <v>1275</v>
      </c>
      <c r="B84" s="191" t="s">
        <v>212</v>
      </c>
      <c r="C84" s="192">
        <f t="shared" si="43"/>
        <v>11.08</v>
      </c>
      <c r="D84" s="171">
        <f>F84+K84+P84+Z84+U84</f>
        <v>54661</v>
      </c>
      <c r="E84" s="170">
        <v>5.54</v>
      </c>
      <c r="F84" s="171">
        <f>H84+I84</f>
        <v>41382</v>
      </c>
      <c r="G84" s="171">
        <v>0</v>
      </c>
      <c r="H84" s="171">
        <f>39396</f>
        <v>39396</v>
      </c>
      <c r="I84" s="171">
        <f>1986</f>
        <v>1986</v>
      </c>
      <c r="J84" s="192">
        <v>5.54</v>
      </c>
      <c r="K84" s="204">
        <f>SUM(L84:N84)</f>
        <v>13279</v>
      </c>
      <c r="L84" s="193">
        <v>0</v>
      </c>
      <c r="M84" s="193">
        <v>12509</v>
      </c>
      <c r="N84" s="193">
        <v>770</v>
      </c>
      <c r="O84" s="192">
        <v>0</v>
      </c>
      <c r="P84" s="193">
        <v>0</v>
      </c>
      <c r="Q84" s="193">
        <v>0</v>
      </c>
      <c r="R84" s="193">
        <v>0</v>
      </c>
      <c r="S84" s="193">
        <v>0</v>
      </c>
      <c r="T84" s="195">
        <v>0</v>
      </c>
      <c r="U84" s="193">
        <f>SUM(V84:X84)</f>
        <v>0</v>
      </c>
      <c r="V84" s="194">
        <v>0</v>
      </c>
      <c r="W84" s="194">
        <v>0</v>
      </c>
      <c r="X84" s="194">
        <v>0</v>
      </c>
      <c r="Y84" s="195">
        <v>0</v>
      </c>
      <c r="Z84" s="194">
        <v>0</v>
      </c>
      <c r="AA84" s="194">
        <v>0</v>
      </c>
      <c r="AB84" s="193">
        <v>0</v>
      </c>
      <c r="AC84" s="194">
        <v>0</v>
      </c>
      <c r="AD84" s="189"/>
      <c r="AE84" s="189"/>
      <c r="AF84" s="189"/>
    </row>
    <row r="85" spans="1:32" s="10" customFormat="1" ht="144.6" customHeight="1" outlineLevel="1" x14ac:dyDescent="0.2">
      <c r="A85" s="168" t="s">
        <v>1276</v>
      </c>
      <c r="B85" s="191" t="s">
        <v>308</v>
      </c>
      <c r="C85" s="192">
        <f t="shared" si="43"/>
        <v>0</v>
      </c>
      <c r="D85" s="171">
        <f t="shared" si="40"/>
        <v>90</v>
      </c>
      <c r="E85" s="170">
        <v>0</v>
      </c>
      <c r="F85" s="171">
        <f>G85+H85+I85</f>
        <v>90</v>
      </c>
      <c r="G85" s="171">
        <v>0</v>
      </c>
      <c r="H85" s="171">
        <v>0</v>
      </c>
      <c r="I85" s="171">
        <v>90</v>
      </c>
      <c r="J85" s="192">
        <v>0</v>
      </c>
      <c r="K85" s="193">
        <f>SUM(L85:N85)</f>
        <v>0</v>
      </c>
      <c r="L85" s="193">
        <v>0</v>
      </c>
      <c r="M85" s="193">
        <v>0</v>
      </c>
      <c r="N85" s="193">
        <v>0</v>
      </c>
      <c r="O85" s="192">
        <v>0</v>
      </c>
      <c r="P85" s="193">
        <v>0</v>
      </c>
      <c r="Q85" s="193">
        <v>0</v>
      </c>
      <c r="R85" s="193">
        <v>0</v>
      </c>
      <c r="S85" s="193">
        <v>0</v>
      </c>
      <c r="T85" s="195">
        <v>0</v>
      </c>
      <c r="U85" s="193">
        <f t="shared" si="42"/>
        <v>0</v>
      </c>
      <c r="V85" s="194">
        <v>0</v>
      </c>
      <c r="W85" s="194">
        <v>0</v>
      </c>
      <c r="X85" s="194">
        <v>0</v>
      </c>
      <c r="Y85" s="195">
        <v>0</v>
      </c>
      <c r="Z85" s="194">
        <v>0</v>
      </c>
      <c r="AA85" s="194">
        <v>0</v>
      </c>
      <c r="AB85" s="194">
        <v>0</v>
      </c>
      <c r="AC85" s="194">
        <v>0</v>
      </c>
      <c r="AD85" s="189"/>
      <c r="AE85" s="189"/>
      <c r="AF85" s="189"/>
    </row>
    <row r="86" spans="1:32" s="10" customFormat="1" ht="174.75" customHeight="1" outlineLevel="1" x14ac:dyDescent="0.2">
      <c r="A86" s="168" t="s">
        <v>1277</v>
      </c>
      <c r="B86" s="191" t="s">
        <v>318</v>
      </c>
      <c r="C86" s="192">
        <f t="shared" si="43"/>
        <v>0</v>
      </c>
      <c r="D86" s="171">
        <f t="shared" si="40"/>
        <v>469</v>
      </c>
      <c r="E86" s="170">
        <v>0</v>
      </c>
      <c r="F86" s="171">
        <f>G86+H86+I86</f>
        <v>426</v>
      </c>
      <c r="G86" s="171">
        <v>0</v>
      </c>
      <c r="H86" s="171">
        <v>0</v>
      </c>
      <c r="I86" s="171">
        <v>426</v>
      </c>
      <c r="J86" s="192">
        <v>0</v>
      </c>
      <c r="K86" s="193">
        <f>SUM(L86:N86)</f>
        <v>43</v>
      </c>
      <c r="L86" s="193">
        <v>0</v>
      </c>
      <c r="M86" s="193">
        <v>0</v>
      </c>
      <c r="N86" s="193">
        <v>43</v>
      </c>
      <c r="O86" s="192">
        <v>0</v>
      </c>
      <c r="P86" s="193">
        <v>0</v>
      </c>
      <c r="Q86" s="193">
        <v>0</v>
      </c>
      <c r="R86" s="193">
        <v>0</v>
      </c>
      <c r="S86" s="193">
        <v>0</v>
      </c>
      <c r="T86" s="195">
        <v>0</v>
      </c>
      <c r="U86" s="193">
        <f t="shared" si="42"/>
        <v>0</v>
      </c>
      <c r="V86" s="194">
        <v>0</v>
      </c>
      <c r="W86" s="194">
        <v>0</v>
      </c>
      <c r="X86" s="194">
        <v>0</v>
      </c>
      <c r="Y86" s="195">
        <v>0</v>
      </c>
      <c r="Z86" s="194">
        <v>0</v>
      </c>
      <c r="AA86" s="194">
        <v>0</v>
      </c>
      <c r="AB86" s="194">
        <v>0</v>
      </c>
      <c r="AC86" s="194">
        <v>0</v>
      </c>
      <c r="AD86" s="189"/>
      <c r="AE86" s="189"/>
      <c r="AF86" s="189"/>
    </row>
    <row r="87" spans="1:32" s="10" customFormat="1" ht="101.25" customHeight="1" outlineLevel="1" x14ac:dyDescent="0.2">
      <c r="A87" s="168" t="s">
        <v>1278</v>
      </c>
      <c r="B87" s="191" t="s">
        <v>30</v>
      </c>
      <c r="C87" s="192">
        <f t="shared" si="43"/>
        <v>0</v>
      </c>
      <c r="D87" s="171">
        <f t="shared" si="40"/>
        <v>0</v>
      </c>
      <c r="E87" s="170">
        <v>0</v>
      </c>
      <c r="F87" s="171">
        <v>0</v>
      </c>
      <c r="G87" s="171">
        <v>0</v>
      </c>
      <c r="H87" s="171">
        <v>0</v>
      </c>
      <c r="I87" s="171">
        <v>0</v>
      </c>
      <c r="J87" s="192">
        <v>0</v>
      </c>
      <c r="K87" s="204">
        <f>SUM(L87:N87)</f>
        <v>0</v>
      </c>
      <c r="L87" s="193">
        <v>0</v>
      </c>
      <c r="M87" s="193">
        <v>0</v>
      </c>
      <c r="N87" s="193">
        <v>0</v>
      </c>
      <c r="O87" s="192">
        <v>0</v>
      </c>
      <c r="P87" s="193">
        <f>SUM(Q87:S87)</f>
        <v>0</v>
      </c>
      <c r="Q87" s="193">
        <v>0</v>
      </c>
      <c r="R87" s="193">
        <v>0</v>
      </c>
      <c r="S87" s="193">
        <v>0</v>
      </c>
      <c r="T87" s="195">
        <v>0</v>
      </c>
      <c r="U87" s="193">
        <f t="shared" si="42"/>
        <v>0</v>
      </c>
      <c r="V87" s="194">
        <v>0</v>
      </c>
      <c r="W87" s="194">
        <v>0</v>
      </c>
      <c r="X87" s="194">
        <v>0</v>
      </c>
      <c r="Y87" s="195">
        <v>0</v>
      </c>
      <c r="Z87" s="194">
        <f>AA87+AB87+AC87</f>
        <v>0</v>
      </c>
      <c r="AA87" s="194">
        <v>0</v>
      </c>
      <c r="AB87" s="194">
        <v>0</v>
      </c>
      <c r="AC87" s="194">
        <v>0</v>
      </c>
      <c r="AD87" s="189"/>
      <c r="AE87" s="189"/>
      <c r="AF87" s="189"/>
    </row>
    <row r="88" spans="1:32" s="10" customFormat="1" ht="117.6" customHeight="1" outlineLevel="1" x14ac:dyDescent="0.2">
      <c r="A88" s="168" t="s">
        <v>1279</v>
      </c>
      <c r="B88" s="191" t="s">
        <v>1493</v>
      </c>
      <c r="C88" s="192">
        <f>E88+J88+O88+T88+Y88</f>
        <v>0</v>
      </c>
      <c r="D88" s="171">
        <f>F88+K88+P88+U88+Z88</f>
        <v>9228</v>
      </c>
      <c r="E88" s="170">
        <v>0</v>
      </c>
      <c r="F88" s="171">
        <f>G88+H88+I88</f>
        <v>0</v>
      </c>
      <c r="G88" s="171">
        <v>0</v>
      </c>
      <c r="H88" s="171">
        <v>0</v>
      </c>
      <c r="I88" s="171">
        <v>0</v>
      </c>
      <c r="J88" s="192">
        <v>0</v>
      </c>
      <c r="K88" s="204">
        <f>L88+M88+N88</f>
        <v>300</v>
      </c>
      <c r="L88" s="204">
        <v>0</v>
      </c>
      <c r="M88" s="204">
        <v>0</v>
      </c>
      <c r="N88" s="204">
        <f>4993-4129-51-281-232</f>
        <v>300</v>
      </c>
      <c r="O88" s="192">
        <v>0</v>
      </c>
      <c r="P88" s="204">
        <f t="shared" ref="P88:P89" si="44">SUM(Q88:S88)</f>
        <v>4051</v>
      </c>
      <c r="Q88" s="204">
        <v>0</v>
      </c>
      <c r="R88" s="204">
        <v>0</v>
      </c>
      <c r="S88" s="204">
        <v>4051</v>
      </c>
      <c r="T88" s="195">
        <v>0</v>
      </c>
      <c r="U88" s="204">
        <f t="shared" si="42"/>
        <v>781</v>
      </c>
      <c r="V88" s="204">
        <v>0</v>
      </c>
      <c r="W88" s="204">
        <v>0</v>
      </c>
      <c r="X88" s="204">
        <f>4096-3315</f>
        <v>781</v>
      </c>
      <c r="Y88" s="192">
        <v>0</v>
      </c>
      <c r="Z88" s="204">
        <f t="shared" ref="Z88" si="45">SUM(AA88:AC88)</f>
        <v>4096</v>
      </c>
      <c r="AA88" s="204">
        <v>0</v>
      </c>
      <c r="AB88" s="204">
        <v>0</v>
      </c>
      <c r="AC88" s="204">
        <v>4096</v>
      </c>
      <c r="AD88" s="189"/>
      <c r="AE88" s="189"/>
      <c r="AF88" s="189"/>
    </row>
    <row r="89" spans="1:32" s="10" customFormat="1" ht="117.6" customHeight="1" outlineLevel="1" x14ac:dyDescent="0.2">
      <c r="A89" s="168" t="s">
        <v>1280</v>
      </c>
      <c r="B89" s="191" t="s">
        <v>29</v>
      </c>
      <c r="C89" s="192">
        <f t="shared" si="43"/>
        <v>0</v>
      </c>
      <c r="D89" s="171">
        <f>F89+Z89+P89+K89+U89</f>
        <v>0</v>
      </c>
      <c r="E89" s="192">
        <f>G89+L89+Q89+V89+AA89</f>
        <v>0</v>
      </c>
      <c r="F89" s="171">
        <f>G89+H89+I89</f>
        <v>0</v>
      </c>
      <c r="G89" s="171">
        <v>0</v>
      </c>
      <c r="H89" s="171">
        <v>0</v>
      </c>
      <c r="I89" s="171">
        <v>0</v>
      </c>
      <c r="J89" s="192">
        <v>0</v>
      </c>
      <c r="K89" s="204">
        <f>SUM(L89:N89)</f>
        <v>0</v>
      </c>
      <c r="L89" s="193">
        <v>0</v>
      </c>
      <c r="M89" s="193">
        <v>0</v>
      </c>
      <c r="N89" s="193">
        <v>0</v>
      </c>
      <c r="O89" s="192">
        <v>0</v>
      </c>
      <c r="P89" s="204">
        <f t="shared" si="44"/>
        <v>0</v>
      </c>
      <c r="Q89" s="193">
        <v>0</v>
      </c>
      <c r="R89" s="193">
        <v>0</v>
      </c>
      <c r="S89" s="193">
        <v>0</v>
      </c>
      <c r="T89" s="195">
        <v>0</v>
      </c>
      <c r="U89" s="204">
        <f t="shared" si="42"/>
        <v>0</v>
      </c>
      <c r="V89" s="194">
        <v>0</v>
      </c>
      <c r="W89" s="194">
        <v>0</v>
      </c>
      <c r="X89" s="194">
        <v>0</v>
      </c>
      <c r="Y89" s="192">
        <v>0</v>
      </c>
      <c r="Z89" s="194">
        <f>AA89+AB89+AC89</f>
        <v>0</v>
      </c>
      <c r="AA89" s="194">
        <v>0</v>
      </c>
      <c r="AB89" s="193">
        <v>0</v>
      </c>
      <c r="AC89" s="205">
        <v>0</v>
      </c>
      <c r="AD89" s="189"/>
      <c r="AE89" s="189"/>
      <c r="AF89" s="189"/>
    </row>
    <row r="90" spans="1:32" s="11" customFormat="1" ht="114.75" customHeight="1" outlineLevel="1" x14ac:dyDescent="0.2">
      <c r="A90" s="190" t="s">
        <v>1281</v>
      </c>
      <c r="B90" s="206" t="s">
        <v>275</v>
      </c>
      <c r="C90" s="331">
        <f t="shared" si="43"/>
        <v>0</v>
      </c>
      <c r="D90" s="207">
        <f t="shared" ref="D90:D94" si="46">F90+K90+P90+U90+Z90</f>
        <v>34322</v>
      </c>
      <c r="E90" s="170">
        <v>0</v>
      </c>
      <c r="F90" s="204">
        <f>G90+H90+I90</f>
        <v>21761</v>
      </c>
      <c r="G90" s="204">
        <v>0</v>
      </c>
      <c r="H90" s="171">
        <v>20716</v>
      </c>
      <c r="I90" s="171">
        <v>1045</v>
      </c>
      <c r="J90" s="331">
        <v>0</v>
      </c>
      <c r="K90" s="193">
        <f t="shared" ref="K90:K94" si="47">L90+M90+N90</f>
        <v>12561</v>
      </c>
      <c r="L90" s="193">
        <v>0</v>
      </c>
      <c r="M90" s="193">
        <v>0</v>
      </c>
      <c r="N90" s="193">
        <v>12561</v>
      </c>
      <c r="O90" s="192">
        <v>0</v>
      </c>
      <c r="P90" s="193">
        <f>S90</f>
        <v>0</v>
      </c>
      <c r="Q90" s="193">
        <v>0</v>
      </c>
      <c r="R90" s="193">
        <v>0</v>
      </c>
      <c r="S90" s="193">
        <v>0</v>
      </c>
      <c r="T90" s="192">
        <v>0</v>
      </c>
      <c r="U90" s="193">
        <v>0</v>
      </c>
      <c r="V90" s="193">
        <v>0</v>
      </c>
      <c r="W90" s="193">
        <v>0</v>
      </c>
      <c r="X90" s="193">
        <v>0</v>
      </c>
      <c r="Y90" s="192">
        <v>0</v>
      </c>
      <c r="Z90" s="193">
        <v>0</v>
      </c>
      <c r="AA90" s="193">
        <v>0</v>
      </c>
      <c r="AB90" s="193">
        <v>0</v>
      </c>
      <c r="AC90" s="193">
        <v>0</v>
      </c>
      <c r="AD90" s="196"/>
      <c r="AE90" s="196"/>
      <c r="AF90" s="196"/>
    </row>
    <row r="91" spans="1:32" s="11" customFormat="1" ht="114.75" customHeight="1" outlineLevel="1" x14ac:dyDescent="0.2">
      <c r="A91" s="190" t="s">
        <v>1282</v>
      </c>
      <c r="B91" s="206" t="s">
        <v>316</v>
      </c>
      <c r="C91" s="331">
        <f t="shared" si="43"/>
        <v>0</v>
      </c>
      <c r="D91" s="207">
        <f t="shared" si="46"/>
        <v>932</v>
      </c>
      <c r="E91" s="170">
        <v>0</v>
      </c>
      <c r="F91" s="204">
        <f>G91+H91+I91</f>
        <v>466</v>
      </c>
      <c r="G91" s="204">
        <v>0</v>
      </c>
      <c r="H91" s="171">
        <v>0</v>
      </c>
      <c r="I91" s="171">
        <v>466</v>
      </c>
      <c r="J91" s="331">
        <v>0</v>
      </c>
      <c r="K91" s="193">
        <f t="shared" si="47"/>
        <v>466</v>
      </c>
      <c r="L91" s="193">
        <v>0</v>
      </c>
      <c r="M91" s="193">
        <v>0</v>
      </c>
      <c r="N91" s="193">
        <v>466</v>
      </c>
      <c r="O91" s="192">
        <v>0</v>
      </c>
      <c r="P91" s="193">
        <f>S91</f>
        <v>0</v>
      </c>
      <c r="Q91" s="193">
        <v>0</v>
      </c>
      <c r="R91" s="193">
        <v>0</v>
      </c>
      <c r="S91" s="193">
        <v>0</v>
      </c>
      <c r="T91" s="192">
        <v>0</v>
      </c>
      <c r="U91" s="193">
        <v>0</v>
      </c>
      <c r="V91" s="193">
        <v>0</v>
      </c>
      <c r="W91" s="193">
        <v>0</v>
      </c>
      <c r="X91" s="193">
        <v>0</v>
      </c>
      <c r="Y91" s="192">
        <v>0</v>
      </c>
      <c r="Z91" s="193">
        <v>0</v>
      </c>
      <c r="AA91" s="193">
        <v>0</v>
      </c>
      <c r="AB91" s="193">
        <v>0</v>
      </c>
      <c r="AC91" s="193">
        <v>0</v>
      </c>
      <c r="AD91" s="196"/>
      <c r="AE91" s="196"/>
      <c r="AF91" s="196"/>
    </row>
    <row r="92" spans="1:32" s="10" customFormat="1" ht="87.75" customHeight="1" outlineLevel="1" x14ac:dyDescent="0.2">
      <c r="A92" s="168" t="s">
        <v>1283</v>
      </c>
      <c r="B92" s="191" t="s">
        <v>1494</v>
      </c>
      <c r="C92" s="192">
        <v>40.97</v>
      </c>
      <c r="D92" s="171">
        <f>F92+K92+P92+U92+Z92</f>
        <v>539146</v>
      </c>
      <c r="E92" s="170">
        <v>0</v>
      </c>
      <c r="F92" s="171">
        <v>0</v>
      </c>
      <c r="G92" s="171">
        <v>0</v>
      </c>
      <c r="H92" s="171">
        <v>0</v>
      </c>
      <c r="I92" s="171">
        <v>0</v>
      </c>
      <c r="J92" s="192">
        <v>40.94</v>
      </c>
      <c r="K92" s="193">
        <f t="shared" si="47"/>
        <v>214595</v>
      </c>
      <c r="L92" s="193">
        <v>0</v>
      </c>
      <c r="M92" s="193">
        <v>202149</v>
      </c>
      <c r="N92" s="193">
        <v>12446</v>
      </c>
      <c r="O92" s="192">
        <v>40.94</v>
      </c>
      <c r="P92" s="193">
        <f>Q92+R92+S92</f>
        <v>109342</v>
      </c>
      <c r="Q92" s="193">
        <v>0</v>
      </c>
      <c r="R92" s="193">
        <v>103000</v>
      </c>
      <c r="S92" s="193">
        <v>6342</v>
      </c>
      <c r="T92" s="195">
        <v>40.97</v>
      </c>
      <c r="U92" s="194">
        <f>V92+W92+X92</f>
        <v>109023</v>
      </c>
      <c r="V92" s="194">
        <v>0</v>
      </c>
      <c r="W92" s="194">
        <v>103000</v>
      </c>
      <c r="X92" s="194">
        <v>6023</v>
      </c>
      <c r="Y92" s="192">
        <v>40.97</v>
      </c>
      <c r="Z92" s="193">
        <f>AA92++AB92+AC92</f>
        <v>106186</v>
      </c>
      <c r="AA92" s="193">
        <v>0</v>
      </c>
      <c r="AB92" s="193">
        <v>98540</v>
      </c>
      <c r="AC92" s="193">
        <v>7646</v>
      </c>
      <c r="AD92" s="189"/>
      <c r="AE92" s="189"/>
      <c r="AF92" s="189"/>
    </row>
    <row r="93" spans="1:32" s="10" customFormat="1" ht="71.45" customHeight="1" outlineLevel="1" x14ac:dyDescent="0.2">
      <c r="A93" s="168" t="s">
        <v>1284</v>
      </c>
      <c r="B93" s="191" t="s">
        <v>502</v>
      </c>
      <c r="C93" s="192">
        <f t="shared" si="43"/>
        <v>0</v>
      </c>
      <c r="D93" s="171">
        <f t="shared" si="46"/>
        <v>76305</v>
      </c>
      <c r="E93" s="170">
        <f>G93+L93+Q93+V93+AA93</f>
        <v>0</v>
      </c>
      <c r="F93" s="171">
        <f>G93+H93+I93</f>
        <v>0</v>
      </c>
      <c r="G93" s="171">
        <v>0</v>
      </c>
      <c r="H93" s="171">
        <v>0</v>
      </c>
      <c r="I93" s="171">
        <v>0</v>
      </c>
      <c r="J93" s="192">
        <v>0</v>
      </c>
      <c r="K93" s="193">
        <f t="shared" si="47"/>
        <v>0</v>
      </c>
      <c r="L93" s="193">
        <v>0</v>
      </c>
      <c r="M93" s="193">
        <v>0</v>
      </c>
      <c r="N93" s="193">
        <v>0</v>
      </c>
      <c r="O93" s="192">
        <v>0</v>
      </c>
      <c r="P93" s="193">
        <f>Q93+R93+S93</f>
        <v>76305</v>
      </c>
      <c r="Q93" s="193">
        <v>0</v>
      </c>
      <c r="R93" s="193">
        <f>70000+1879</f>
        <v>71879</v>
      </c>
      <c r="S93" s="193">
        <f>4310+116</f>
        <v>4426</v>
      </c>
      <c r="T93" s="195">
        <v>0</v>
      </c>
      <c r="U93" s="194">
        <v>0</v>
      </c>
      <c r="V93" s="194">
        <v>0</v>
      </c>
      <c r="W93" s="194">
        <v>0</v>
      </c>
      <c r="X93" s="194">
        <v>0</v>
      </c>
      <c r="Y93" s="192">
        <v>0</v>
      </c>
      <c r="Z93" s="193">
        <f>AA93+AB93+AC93</f>
        <v>0</v>
      </c>
      <c r="AA93" s="193">
        <v>0</v>
      </c>
      <c r="AB93" s="193">
        <v>0</v>
      </c>
      <c r="AC93" s="193">
        <v>0</v>
      </c>
      <c r="AD93" s="189"/>
      <c r="AE93" s="189"/>
      <c r="AF93" s="189"/>
    </row>
    <row r="94" spans="1:32" s="10" customFormat="1" ht="71.45" customHeight="1" outlineLevel="1" x14ac:dyDescent="0.2">
      <c r="A94" s="168" t="s">
        <v>1285</v>
      </c>
      <c r="B94" s="191" t="s">
        <v>564</v>
      </c>
      <c r="C94" s="192">
        <f t="shared" si="43"/>
        <v>0</v>
      </c>
      <c r="D94" s="171">
        <f t="shared" si="46"/>
        <v>528</v>
      </c>
      <c r="E94" s="170">
        <f>G94+L94+Q94+V94+AA94</f>
        <v>0</v>
      </c>
      <c r="F94" s="171">
        <f>G94+H94+I94</f>
        <v>0</v>
      </c>
      <c r="G94" s="171">
        <v>0</v>
      </c>
      <c r="H94" s="171">
        <v>0</v>
      </c>
      <c r="I94" s="171">
        <v>0</v>
      </c>
      <c r="J94" s="192">
        <v>0</v>
      </c>
      <c r="K94" s="193">
        <f t="shared" si="47"/>
        <v>0</v>
      </c>
      <c r="L94" s="193">
        <v>0</v>
      </c>
      <c r="M94" s="193">
        <v>0</v>
      </c>
      <c r="N94" s="193">
        <v>0</v>
      </c>
      <c r="O94" s="192">
        <v>0</v>
      </c>
      <c r="P94" s="193">
        <f>Q94+R94+S94</f>
        <v>528</v>
      </c>
      <c r="Q94" s="193">
        <v>0</v>
      </c>
      <c r="R94" s="193">
        <v>0</v>
      </c>
      <c r="S94" s="193">
        <f>1650-169+30-514-469</f>
        <v>528</v>
      </c>
      <c r="T94" s="195">
        <v>0</v>
      </c>
      <c r="U94" s="194">
        <v>0</v>
      </c>
      <c r="V94" s="194">
        <v>0</v>
      </c>
      <c r="W94" s="194">
        <v>0</v>
      </c>
      <c r="X94" s="194">
        <v>0</v>
      </c>
      <c r="Y94" s="192">
        <v>0</v>
      </c>
      <c r="Z94" s="193">
        <f>AA94+AB94+AC94</f>
        <v>0</v>
      </c>
      <c r="AA94" s="193">
        <v>0</v>
      </c>
      <c r="AB94" s="193">
        <v>0</v>
      </c>
      <c r="AC94" s="193">
        <v>0</v>
      </c>
      <c r="AD94" s="189"/>
      <c r="AE94" s="189"/>
      <c r="AF94" s="189"/>
    </row>
    <row r="95" spans="1:32" s="10" customFormat="1" ht="25.15" customHeight="1" outlineLevel="1" x14ac:dyDescent="0.2">
      <c r="A95" s="168"/>
      <c r="B95" s="191" t="s">
        <v>207</v>
      </c>
      <c r="C95" s="192">
        <f t="shared" si="43"/>
        <v>0</v>
      </c>
      <c r="D95" s="171">
        <f>F95+K95+P95+U95+Z95</f>
        <v>730</v>
      </c>
      <c r="E95" s="170">
        <v>0</v>
      </c>
      <c r="F95" s="171">
        <v>0</v>
      </c>
      <c r="G95" s="171">
        <v>0</v>
      </c>
      <c r="H95" s="171">
        <v>0</v>
      </c>
      <c r="I95" s="171">
        <v>0</v>
      </c>
      <c r="J95" s="192">
        <v>0</v>
      </c>
      <c r="K95" s="193">
        <f>L95+M95+N95</f>
        <v>730</v>
      </c>
      <c r="L95" s="193">
        <v>0</v>
      </c>
      <c r="M95" s="193">
        <f>11835-11834</f>
        <v>1</v>
      </c>
      <c r="N95" s="193">
        <v>729</v>
      </c>
      <c r="O95" s="192">
        <v>0</v>
      </c>
      <c r="P95" s="193">
        <f>Q95+R95+S95</f>
        <v>0</v>
      </c>
      <c r="Q95" s="193">
        <v>0</v>
      </c>
      <c r="R95" s="193">
        <v>0</v>
      </c>
      <c r="S95" s="193">
        <v>0</v>
      </c>
      <c r="T95" s="195">
        <v>0</v>
      </c>
      <c r="U95" s="194">
        <f>X95+W95+V95</f>
        <v>0</v>
      </c>
      <c r="V95" s="194">
        <v>0</v>
      </c>
      <c r="W95" s="194">
        <v>0</v>
      </c>
      <c r="X95" s="194">
        <f>8256-5164-3092</f>
        <v>0</v>
      </c>
      <c r="Y95" s="195">
        <v>0</v>
      </c>
      <c r="Z95" s="194">
        <f>AA95+AB95+AC95+AD95</f>
        <v>0</v>
      </c>
      <c r="AA95" s="194">
        <v>0</v>
      </c>
      <c r="AB95" s="194">
        <v>0</v>
      </c>
      <c r="AC95" s="194">
        <f>8256-8256</f>
        <v>0</v>
      </c>
      <c r="AD95" s="189"/>
      <c r="AE95" s="189"/>
      <c r="AF95" s="189"/>
    </row>
    <row r="96" spans="1:32" s="10" customFormat="1" ht="34.5" customHeight="1" outlineLevel="1" x14ac:dyDescent="0.2">
      <c r="A96" s="168"/>
      <c r="B96" s="201" t="s">
        <v>373</v>
      </c>
      <c r="C96" s="192">
        <f>E96+J96+O96+T96+Y96</f>
        <v>0</v>
      </c>
      <c r="D96" s="171">
        <f>F96+Z96+P96+K96+U96</f>
        <v>9976</v>
      </c>
      <c r="E96" s="170">
        <v>0</v>
      </c>
      <c r="F96" s="171">
        <v>0</v>
      </c>
      <c r="G96" s="171">
        <v>0</v>
      </c>
      <c r="H96" s="171">
        <v>0</v>
      </c>
      <c r="I96" s="171">
        <v>0</v>
      </c>
      <c r="J96" s="192">
        <v>0</v>
      </c>
      <c r="K96" s="204">
        <f>SUM(L96:N96)</f>
        <v>0</v>
      </c>
      <c r="L96" s="193">
        <v>0</v>
      </c>
      <c r="M96" s="193">
        <v>0</v>
      </c>
      <c r="N96" s="193">
        <v>0</v>
      </c>
      <c r="O96" s="192">
        <v>0</v>
      </c>
      <c r="P96" s="193">
        <v>0</v>
      </c>
      <c r="Q96" s="193">
        <v>0</v>
      </c>
      <c r="R96" s="193">
        <v>0</v>
      </c>
      <c r="S96" s="193">
        <v>0</v>
      </c>
      <c r="T96" s="195">
        <v>0</v>
      </c>
      <c r="U96" s="194">
        <v>0</v>
      </c>
      <c r="V96" s="194">
        <v>0</v>
      </c>
      <c r="W96" s="194">
        <v>0</v>
      </c>
      <c r="X96" s="194">
        <v>0</v>
      </c>
      <c r="Y96" s="195">
        <v>0</v>
      </c>
      <c r="Z96" s="194">
        <f>AA96+AB96+AC96</f>
        <v>9976</v>
      </c>
      <c r="AA96" s="194">
        <v>0</v>
      </c>
      <c r="AB96" s="194">
        <v>0</v>
      </c>
      <c r="AC96" s="194">
        <v>9976</v>
      </c>
      <c r="AD96" s="189"/>
      <c r="AE96" s="189"/>
      <c r="AF96" s="189"/>
    </row>
    <row r="97" spans="1:32" s="12" customFormat="1" ht="46.9" customHeight="1" x14ac:dyDescent="0.2">
      <c r="A97" s="209"/>
      <c r="B97" s="201" t="s">
        <v>485</v>
      </c>
      <c r="C97" s="202">
        <f t="shared" ref="C97:Y97" si="48">SUM(C77:C96)</f>
        <v>52.05</v>
      </c>
      <c r="D97" s="203">
        <f>SUM(D77:D95)</f>
        <v>716411</v>
      </c>
      <c r="E97" s="202">
        <f t="shared" si="48"/>
        <v>5.54</v>
      </c>
      <c r="F97" s="203">
        <f t="shared" si="48"/>
        <v>64125</v>
      </c>
      <c r="G97" s="203">
        <f t="shared" si="48"/>
        <v>0</v>
      </c>
      <c r="H97" s="203">
        <f t="shared" si="48"/>
        <v>60112</v>
      </c>
      <c r="I97" s="203">
        <f t="shared" si="48"/>
        <v>4013</v>
      </c>
      <c r="J97" s="202">
        <f t="shared" si="48"/>
        <v>46.48</v>
      </c>
      <c r="K97" s="203">
        <f t="shared" si="48"/>
        <v>241974</v>
      </c>
      <c r="L97" s="203">
        <f t="shared" si="48"/>
        <v>0</v>
      </c>
      <c r="M97" s="203">
        <f t="shared" si="48"/>
        <v>214659</v>
      </c>
      <c r="N97" s="203">
        <f t="shared" si="48"/>
        <v>27315</v>
      </c>
      <c r="O97" s="202">
        <f t="shared" si="48"/>
        <v>40.94</v>
      </c>
      <c r="P97" s="203">
        <f t="shared" si="48"/>
        <v>190226</v>
      </c>
      <c r="Q97" s="203">
        <f t="shared" si="48"/>
        <v>0</v>
      </c>
      <c r="R97" s="203">
        <f t="shared" si="48"/>
        <v>174879</v>
      </c>
      <c r="S97" s="203">
        <f t="shared" si="48"/>
        <v>15347</v>
      </c>
      <c r="T97" s="202">
        <f t="shared" si="48"/>
        <v>40.97</v>
      </c>
      <c r="U97" s="203">
        <f t="shared" si="48"/>
        <v>109804</v>
      </c>
      <c r="V97" s="203">
        <f t="shared" si="48"/>
        <v>0</v>
      </c>
      <c r="W97" s="203">
        <f t="shared" si="48"/>
        <v>103000</v>
      </c>
      <c r="X97" s="203">
        <f t="shared" si="48"/>
        <v>6804</v>
      </c>
      <c r="Y97" s="202">
        <f t="shared" si="48"/>
        <v>40.97</v>
      </c>
      <c r="Z97" s="203">
        <f>SUM(Z77:Z95)</f>
        <v>110282</v>
      </c>
      <c r="AA97" s="203">
        <f>SUM(AA77:AA96)</f>
        <v>0</v>
      </c>
      <c r="AB97" s="203">
        <f>SUM(AB77:AB95)</f>
        <v>98540</v>
      </c>
      <c r="AC97" s="203">
        <f>SUM(AC77:AC95)</f>
        <v>11742</v>
      </c>
      <c r="AD97" s="210"/>
      <c r="AE97" s="210"/>
      <c r="AF97" s="210"/>
    </row>
    <row r="98" spans="1:32" s="10" customFormat="1" ht="48.75" customHeight="1" x14ac:dyDescent="0.2">
      <c r="A98" s="188" t="s">
        <v>436</v>
      </c>
      <c r="B98" s="422" t="s">
        <v>1367</v>
      </c>
      <c r="C98" s="423"/>
      <c r="D98" s="423"/>
      <c r="E98" s="423"/>
      <c r="F98" s="423"/>
      <c r="G98" s="423"/>
      <c r="H98" s="423"/>
      <c r="I98" s="423"/>
      <c r="J98" s="423"/>
      <c r="K98" s="423"/>
      <c r="L98" s="423"/>
      <c r="M98" s="423"/>
      <c r="N98" s="423"/>
      <c r="O98" s="423"/>
      <c r="P98" s="423"/>
      <c r="Q98" s="423"/>
      <c r="R98" s="423"/>
      <c r="S98" s="423"/>
      <c r="T98" s="423"/>
      <c r="U98" s="423"/>
      <c r="V98" s="423"/>
      <c r="W98" s="423"/>
      <c r="X98" s="423"/>
      <c r="Y98" s="423"/>
      <c r="Z98" s="423"/>
      <c r="AA98" s="423"/>
      <c r="AB98" s="423"/>
      <c r="AC98" s="424"/>
      <c r="AD98" s="189"/>
      <c r="AE98" s="189"/>
      <c r="AF98" s="189"/>
    </row>
    <row r="99" spans="1:32" s="10" customFormat="1" ht="52.9" customHeight="1" outlineLevel="1" x14ac:dyDescent="0.2">
      <c r="A99" s="207" t="s">
        <v>1088</v>
      </c>
      <c r="B99" s="211" t="s">
        <v>1315</v>
      </c>
      <c r="C99" s="331">
        <f t="shared" ref="C99" si="49">E99+J99+O99+Y99+T99</f>
        <v>1</v>
      </c>
      <c r="D99" s="207">
        <f>F99+K99+P99+Z99+U99</f>
        <v>4675</v>
      </c>
      <c r="E99" s="212">
        <v>0</v>
      </c>
      <c r="F99" s="204">
        <f t="shared" ref="F99:F103" si="50">G99+H99+I99</f>
        <v>0</v>
      </c>
      <c r="G99" s="204">
        <v>0</v>
      </c>
      <c r="H99" s="204">
        <v>0</v>
      </c>
      <c r="I99" s="204">
        <v>0</v>
      </c>
      <c r="J99" s="331">
        <v>0</v>
      </c>
      <c r="K99" s="193">
        <v>0</v>
      </c>
      <c r="L99" s="193">
        <v>0</v>
      </c>
      <c r="M99" s="193">
        <v>0</v>
      </c>
      <c r="N99" s="193">
        <v>0</v>
      </c>
      <c r="O99" s="192">
        <v>0</v>
      </c>
      <c r="P99" s="193">
        <f t="shared" ref="P99" si="51">Q99+R99+S99</f>
        <v>0</v>
      </c>
      <c r="Q99" s="193">
        <v>0</v>
      </c>
      <c r="R99" s="193">
        <v>0</v>
      </c>
      <c r="S99" s="193">
        <v>0</v>
      </c>
      <c r="T99" s="192">
        <v>1</v>
      </c>
      <c r="U99" s="193">
        <f t="shared" ref="U99:U102" si="52">V99+W99+X99</f>
        <v>4675</v>
      </c>
      <c r="V99" s="193">
        <v>0</v>
      </c>
      <c r="W99" s="193">
        <v>0</v>
      </c>
      <c r="X99" s="193">
        <f>4806-81-50</f>
        <v>4675</v>
      </c>
      <c r="Y99" s="192">
        <v>0</v>
      </c>
      <c r="Z99" s="193">
        <v>0</v>
      </c>
      <c r="AA99" s="193">
        <v>0</v>
      </c>
      <c r="AB99" s="193">
        <v>0</v>
      </c>
      <c r="AC99" s="193">
        <v>0</v>
      </c>
      <c r="AD99" s="189"/>
      <c r="AE99" s="189"/>
      <c r="AF99" s="189"/>
    </row>
    <row r="100" spans="1:32" s="11" customFormat="1" ht="64.5" customHeight="1" outlineLevel="1" x14ac:dyDescent="0.2">
      <c r="A100" s="207" t="s">
        <v>1089</v>
      </c>
      <c r="B100" s="206" t="s">
        <v>332</v>
      </c>
      <c r="C100" s="331">
        <f t="shared" ref="C100:C104" si="53">E100+J100+O100+T100+Y100</f>
        <v>1.2</v>
      </c>
      <c r="D100" s="207">
        <f t="shared" ref="D100:D163" si="54">F100+K100+P100+Z100+U100</f>
        <v>8874</v>
      </c>
      <c r="E100" s="170">
        <v>1.2</v>
      </c>
      <c r="F100" s="204">
        <f>G100+H100+I100</f>
        <v>8874</v>
      </c>
      <c r="G100" s="204">
        <v>0</v>
      </c>
      <c r="H100" s="171">
        <v>8448</v>
      </c>
      <c r="I100" s="204">
        <v>426</v>
      </c>
      <c r="J100" s="331">
        <v>0</v>
      </c>
      <c r="K100" s="193">
        <f t="shared" ref="K100:K105" si="55">SUM(L100:N100)</f>
        <v>0</v>
      </c>
      <c r="L100" s="193">
        <v>0</v>
      </c>
      <c r="M100" s="193">
        <v>0</v>
      </c>
      <c r="N100" s="193">
        <v>0</v>
      </c>
      <c r="O100" s="192">
        <v>0</v>
      </c>
      <c r="P100" s="193">
        <f t="shared" ref="P100:P105" si="56">Q100+R100+S100</f>
        <v>0</v>
      </c>
      <c r="Q100" s="193">
        <v>0</v>
      </c>
      <c r="R100" s="193">
        <v>0</v>
      </c>
      <c r="S100" s="193">
        <v>0</v>
      </c>
      <c r="T100" s="192">
        <v>0</v>
      </c>
      <c r="U100" s="193">
        <f t="shared" si="52"/>
        <v>0</v>
      </c>
      <c r="V100" s="193">
        <v>0</v>
      </c>
      <c r="W100" s="193">
        <v>0</v>
      </c>
      <c r="X100" s="193">
        <v>0</v>
      </c>
      <c r="Y100" s="192">
        <v>0</v>
      </c>
      <c r="Z100" s="193">
        <f t="shared" ref="Z100:Z102" si="57">AA100+AB100+AC100</f>
        <v>0</v>
      </c>
      <c r="AA100" s="193">
        <v>0</v>
      </c>
      <c r="AB100" s="193">
        <v>0</v>
      </c>
      <c r="AC100" s="193">
        <v>0</v>
      </c>
      <c r="AD100" s="196"/>
      <c r="AE100" s="196"/>
      <c r="AF100" s="196"/>
    </row>
    <row r="101" spans="1:32" s="11" customFormat="1" ht="46.5" customHeight="1" outlineLevel="1" x14ac:dyDescent="0.2">
      <c r="A101" s="207" t="s">
        <v>1090</v>
      </c>
      <c r="B101" s="206" t="s">
        <v>333</v>
      </c>
      <c r="C101" s="331">
        <f t="shared" si="53"/>
        <v>0.85</v>
      </c>
      <c r="D101" s="207">
        <f t="shared" si="54"/>
        <v>18436</v>
      </c>
      <c r="E101" s="170">
        <v>0.85</v>
      </c>
      <c r="F101" s="204">
        <f>G101+H101+I101</f>
        <v>18436</v>
      </c>
      <c r="G101" s="204">
        <v>0</v>
      </c>
      <c r="H101" s="171">
        <v>17551</v>
      </c>
      <c r="I101" s="204">
        <v>885</v>
      </c>
      <c r="J101" s="331">
        <v>0</v>
      </c>
      <c r="K101" s="193">
        <f t="shared" si="55"/>
        <v>0</v>
      </c>
      <c r="L101" s="193">
        <v>0</v>
      </c>
      <c r="M101" s="193">
        <v>0</v>
      </c>
      <c r="N101" s="193">
        <v>0</v>
      </c>
      <c r="O101" s="192">
        <v>0</v>
      </c>
      <c r="P101" s="193">
        <f t="shared" si="56"/>
        <v>0</v>
      </c>
      <c r="Q101" s="193">
        <v>0</v>
      </c>
      <c r="R101" s="193">
        <v>0</v>
      </c>
      <c r="S101" s="193">
        <v>0</v>
      </c>
      <c r="T101" s="192">
        <v>0</v>
      </c>
      <c r="U101" s="193">
        <f t="shared" si="52"/>
        <v>0</v>
      </c>
      <c r="V101" s="193">
        <v>0</v>
      </c>
      <c r="W101" s="193">
        <v>0</v>
      </c>
      <c r="X101" s="193">
        <v>0</v>
      </c>
      <c r="Y101" s="192">
        <v>0</v>
      </c>
      <c r="Z101" s="193">
        <f t="shared" si="57"/>
        <v>0</v>
      </c>
      <c r="AA101" s="193">
        <v>0</v>
      </c>
      <c r="AB101" s="193">
        <v>0</v>
      </c>
      <c r="AC101" s="193">
        <v>0</v>
      </c>
      <c r="AD101" s="196"/>
      <c r="AE101" s="196"/>
      <c r="AF101" s="196"/>
    </row>
    <row r="102" spans="1:32" s="11" customFormat="1" ht="46.5" customHeight="1" outlineLevel="1" x14ac:dyDescent="0.2">
      <c r="A102" s="207" t="s">
        <v>1091</v>
      </c>
      <c r="B102" s="206" t="s">
        <v>356</v>
      </c>
      <c r="C102" s="331">
        <f t="shared" si="53"/>
        <v>4.71</v>
      </c>
      <c r="D102" s="207">
        <f t="shared" si="54"/>
        <v>323</v>
      </c>
      <c r="E102" s="170">
        <v>0</v>
      </c>
      <c r="F102" s="204">
        <f>G102+H102+I102</f>
        <v>0</v>
      </c>
      <c r="G102" s="204">
        <v>0</v>
      </c>
      <c r="H102" s="171">
        <v>0</v>
      </c>
      <c r="I102" s="204">
        <v>0</v>
      </c>
      <c r="J102" s="331">
        <v>4.71</v>
      </c>
      <c r="K102" s="193">
        <f>SUM(L102:N102)</f>
        <v>323</v>
      </c>
      <c r="L102" s="193">
        <v>0</v>
      </c>
      <c r="M102" s="193">
        <v>0</v>
      </c>
      <c r="N102" s="193">
        <v>323</v>
      </c>
      <c r="O102" s="192">
        <v>0</v>
      </c>
      <c r="P102" s="193">
        <f t="shared" si="56"/>
        <v>0</v>
      </c>
      <c r="Q102" s="193">
        <v>0</v>
      </c>
      <c r="R102" s="193">
        <v>0</v>
      </c>
      <c r="S102" s="193">
        <v>0</v>
      </c>
      <c r="T102" s="192">
        <v>0</v>
      </c>
      <c r="U102" s="193">
        <f t="shared" si="52"/>
        <v>0</v>
      </c>
      <c r="V102" s="193">
        <v>0</v>
      </c>
      <c r="W102" s="193">
        <v>0</v>
      </c>
      <c r="X102" s="193">
        <v>0</v>
      </c>
      <c r="Y102" s="192">
        <v>0</v>
      </c>
      <c r="Z102" s="193">
        <f t="shared" si="57"/>
        <v>0</v>
      </c>
      <c r="AA102" s="193">
        <v>0</v>
      </c>
      <c r="AB102" s="193">
        <v>0</v>
      </c>
      <c r="AC102" s="193">
        <v>0</v>
      </c>
      <c r="AD102" s="196"/>
      <c r="AE102" s="196"/>
      <c r="AF102" s="196"/>
    </row>
    <row r="103" spans="1:32" s="11" customFormat="1" ht="108.75" customHeight="1" outlineLevel="1" x14ac:dyDescent="0.2">
      <c r="A103" s="207" t="s">
        <v>1092</v>
      </c>
      <c r="B103" s="206" t="s">
        <v>544</v>
      </c>
      <c r="C103" s="331">
        <f t="shared" si="53"/>
        <v>0</v>
      </c>
      <c r="D103" s="207">
        <f t="shared" si="54"/>
        <v>5955</v>
      </c>
      <c r="E103" s="170">
        <v>0</v>
      </c>
      <c r="F103" s="204">
        <f t="shared" si="50"/>
        <v>595</v>
      </c>
      <c r="G103" s="204">
        <v>0</v>
      </c>
      <c r="H103" s="171">
        <v>0</v>
      </c>
      <c r="I103" s="171">
        <v>595</v>
      </c>
      <c r="J103" s="331">
        <v>0</v>
      </c>
      <c r="K103" s="193">
        <f t="shared" si="55"/>
        <v>1086</v>
      </c>
      <c r="L103" s="193">
        <v>0</v>
      </c>
      <c r="M103" s="193">
        <v>0</v>
      </c>
      <c r="N103" s="193">
        <f>2100+51+920-1151+23-857</f>
        <v>1086</v>
      </c>
      <c r="O103" s="192">
        <v>0</v>
      </c>
      <c r="P103" s="193">
        <f t="shared" si="56"/>
        <v>690</v>
      </c>
      <c r="Q103" s="193">
        <v>0</v>
      </c>
      <c r="R103" s="193">
        <v>0</v>
      </c>
      <c r="S103" s="193">
        <f>3000-1156+524+101+285-30-699-1335</f>
        <v>690</v>
      </c>
      <c r="T103" s="192">
        <v>0</v>
      </c>
      <c r="U103" s="193">
        <f>V103+W103+X103</f>
        <v>1522</v>
      </c>
      <c r="V103" s="193">
        <v>0</v>
      </c>
      <c r="W103" s="193">
        <v>0</v>
      </c>
      <c r="X103" s="193">
        <f>3000+494-1432-3-253-278+722-523-205</f>
        <v>1522</v>
      </c>
      <c r="Y103" s="192">
        <v>0</v>
      </c>
      <c r="Z103" s="193">
        <f t="shared" ref="Z103" si="58">AA103+AB103+AC103</f>
        <v>2062</v>
      </c>
      <c r="AA103" s="193">
        <v>0</v>
      </c>
      <c r="AB103" s="193">
        <v>0</v>
      </c>
      <c r="AC103" s="193">
        <f>4896-1402-1432</f>
        <v>2062</v>
      </c>
      <c r="AD103" s="196"/>
      <c r="AE103" s="196"/>
      <c r="AF103" s="196"/>
    </row>
    <row r="104" spans="1:32" s="11" customFormat="1" ht="37.5" customHeight="1" outlineLevel="1" x14ac:dyDescent="0.2">
      <c r="A104" s="207" t="s">
        <v>1093</v>
      </c>
      <c r="B104" s="206" t="s">
        <v>205</v>
      </c>
      <c r="C104" s="331">
        <f t="shared" si="53"/>
        <v>0</v>
      </c>
      <c r="D104" s="207">
        <f t="shared" si="54"/>
        <v>2748</v>
      </c>
      <c r="E104" s="170">
        <v>0</v>
      </c>
      <c r="F104" s="204">
        <f>G104+H104+I104</f>
        <v>2748</v>
      </c>
      <c r="G104" s="204">
        <v>0</v>
      </c>
      <c r="H104" s="171">
        <v>0</v>
      </c>
      <c r="I104" s="171">
        <v>2748</v>
      </c>
      <c r="J104" s="331">
        <v>0</v>
      </c>
      <c r="K104" s="193">
        <f t="shared" si="55"/>
        <v>0</v>
      </c>
      <c r="L104" s="193">
        <v>0</v>
      </c>
      <c r="M104" s="193">
        <v>0</v>
      </c>
      <c r="N104" s="193">
        <v>0</v>
      </c>
      <c r="O104" s="192">
        <v>0</v>
      </c>
      <c r="P104" s="193">
        <f t="shared" si="56"/>
        <v>0</v>
      </c>
      <c r="Q104" s="193">
        <v>0</v>
      </c>
      <c r="R104" s="193">
        <v>0</v>
      </c>
      <c r="S104" s="193">
        <v>0</v>
      </c>
      <c r="T104" s="192">
        <v>0</v>
      </c>
      <c r="U104" s="193">
        <f>V104+W104+X104</f>
        <v>0</v>
      </c>
      <c r="V104" s="193">
        <v>0</v>
      </c>
      <c r="W104" s="193">
        <v>0</v>
      </c>
      <c r="X104" s="193">
        <v>0</v>
      </c>
      <c r="Y104" s="192">
        <v>0</v>
      </c>
      <c r="Z104" s="193">
        <f>AA104+AB104+AC104</f>
        <v>0</v>
      </c>
      <c r="AA104" s="193">
        <v>0</v>
      </c>
      <c r="AB104" s="193">
        <v>0</v>
      </c>
      <c r="AC104" s="193">
        <v>0</v>
      </c>
      <c r="AD104" s="196"/>
      <c r="AE104" s="196"/>
      <c r="AF104" s="196"/>
    </row>
    <row r="105" spans="1:32" s="11" customFormat="1" ht="70.900000000000006" customHeight="1" outlineLevel="1" x14ac:dyDescent="0.2">
      <c r="A105" s="207" t="s">
        <v>1094</v>
      </c>
      <c r="B105" s="206" t="s">
        <v>206</v>
      </c>
      <c r="C105" s="331">
        <f t="shared" ref="C105:C165" si="59">E105+J105+O105+T105+Y105</f>
        <v>0</v>
      </c>
      <c r="D105" s="207">
        <f t="shared" si="54"/>
        <v>4757</v>
      </c>
      <c r="E105" s="170">
        <v>0</v>
      </c>
      <c r="F105" s="204">
        <f t="shared" ref="F105:F164" si="60">G105+H105+I105</f>
        <v>709</v>
      </c>
      <c r="G105" s="204">
        <v>0</v>
      </c>
      <c r="H105" s="171">
        <v>0</v>
      </c>
      <c r="I105" s="171">
        <v>709</v>
      </c>
      <c r="J105" s="331">
        <v>0</v>
      </c>
      <c r="K105" s="193">
        <f t="shared" si="55"/>
        <v>837</v>
      </c>
      <c r="L105" s="193">
        <v>0</v>
      </c>
      <c r="M105" s="193">
        <v>0</v>
      </c>
      <c r="N105" s="193">
        <v>837</v>
      </c>
      <c r="O105" s="192">
        <v>0</v>
      </c>
      <c r="P105" s="193">
        <f t="shared" si="56"/>
        <v>952</v>
      </c>
      <c r="Q105" s="193">
        <v>0</v>
      </c>
      <c r="R105" s="193">
        <v>0</v>
      </c>
      <c r="S105" s="193">
        <f>837+423-150-158</f>
        <v>952</v>
      </c>
      <c r="T105" s="192">
        <v>0</v>
      </c>
      <c r="U105" s="193">
        <f>V105+W105+X105</f>
        <v>999</v>
      </c>
      <c r="V105" s="193">
        <v>0</v>
      </c>
      <c r="W105" s="193">
        <v>0</v>
      </c>
      <c r="X105" s="193">
        <f>837+423-261</f>
        <v>999</v>
      </c>
      <c r="Y105" s="192">
        <v>0</v>
      </c>
      <c r="Z105" s="193">
        <f>AA105+AB105+AC105</f>
        <v>1260</v>
      </c>
      <c r="AA105" s="193">
        <v>0</v>
      </c>
      <c r="AB105" s="193">
        <v>0</v>
      </c>
      <c r="AC105" s="193">
        <f>837+423</f>
        <v>1260</v>
      </c>
      <c r="AD105" s="196"/>
      <c r="AE105" s="196"/>
      <c r="AF105" s="196"/>
    </row>
    <row r="106" spans="1:32" s="11" customFormat="1" ht="46.9" customHeight="1" outlineLevel="1" x14ac:dyDescent="0.2">
      <c r="A106" s="207" t="s">
        <v>1095</v>
      </c>
      <c r="B106" s="206" t="s">
        <v>230</v>
      </c>
      <c r="C106" s="331">
        <f t="shared" si="59"/>
        <v>0</v>
      </c>
      <c r="D106" s="207">
        <f t="shared" si="54"/>
        <v>202</v>
      </c>
      <c r="E106" s="170">
        <v>0</v>
      </c>
      <c r="F106" s="204">
        <f t="shared" si="60"/>
        <v>202</v>
      </c>
      <c r="G106" s="204">
        <v>0</v>
      </c>
      <c r="H106" s="171">
        <v>192</v>
      </c>
      <c r="I106" s="171">
        <v>10</v>
      </c>
      <c r="J106" s="331">
        <v>0</v>
      </c>
      <c r="K106" s="193">
        <v>0</v>
      </c>
      <c r="L106" s="193">
        <v>0</v>
      </c>
      <c r="M106" s="193">
        <v>0</v>
      </c>
      <c r="N106" s="193">
        <v>0</v>
      </c>
      <c r="O106" s="192">
        <v>0</v>
      </c>
      <c r="P106" s="193">
        <f>S106</f>
        <v>0</v>
      </c>
      <c r="Q106" s="193">
        <v>0</v>
      </c>
      <c r="R106" s="193">
        <v>0</v>
      </c>
      <c r="S106" s="193">
        <v>0</v>
      </c>
      <c r="T106" s="192">
        <v>0</v>
      </c>
      <c r="U106" s="193">
        <v>0</v>
      </c>
      <c r="V106" s="193">
        <v>0</v>
      </c>
      <c r="W106" s="193">
        <v>0</v>
      </c>
      <c r="X106" s="193">
        <v>0</v>
      </c>
      <c r="Y106" s="192">
        <v>0</v>
      </c>
      <c r="Z106" s="193">
        <v>0</v>
      </c>
      <c r="AA106" s="193">
        <v>0</v>
      </c>
      <c r="AB106" s="193">
        <v>0</v>
      </c>
      <c r="AC106" s="193">
        <v>0</v>
      </c>
      <c r="AD106" s="196"/>
      <c r="AE106" s="196"/>
      <c r="AF106" s="196"/>
    </row>
    <row r="107" spans="1:32" s="11" customFormat="1" ht="66.599999999999994" customHeight="1" outlineLevel="1" x14ac:dyDescent="0.2">
      <c r="A107" s="207" t="s">
        <v>1096</v>
      </c>
      <c r="B107" s="206" t="s">
        <v>231</v>
      </c>
      <c r="C107" s="331">
        <f t="shared" si="59"/>
        <v>0</v>
      </c>
      <c r="D107" s="207">
        <f t="shared" si="54"/>
        <v>106</v>
      </c>
      <c r="E107" s="170">
        <v>0</v>
      </c>
      <c r="F107" s="204">
        <f t="shared" si="60"/>
        <v>106</v>
      </c>
      <c r="G107" s="204">
        <v>0</v>
      </c>
      <c r="H107" s="171">
        <v>101</v>
      </c>
      <c r="I107" s="171">
        <v>5</v>
      </c>
      <c r="J107" s="331">
        <v>0</v>
      </c>
      <c r="K107" s="193">
        <v>0</v>
      </c>
      <c r="L107" s="193">
        <v>0</v>
      </c>
      <c r="M107" s="193">
        <v>0</v>
      </c>
      <c r="N107" s="193">
        <v>0</v>
      </c>
      <c r="O107" s="192">
        <v>0</v>
      </c>
      <c r="P107" s="193">
        <f t="shared" ref="P107:P168" si="61">S107</f>
        <v>0</v>
      </c>
      <c r="Q107" s="193">
        <v>0</v>
      </c>
      <c r="R107" s="193">
        <v>0</v>
      </c>
      <c r="S107" s="193">
        <v>0</v>
      </c>
      <c r="T107" s="192">
        <v>0</v>
      </c>
      <c r="U107" s="193">
        <v>0</v>
      </c>
      <c r="V107" s="193">
        <v>0</v>
      </c>
      <c r="W107" s="193">
        <v>0</v>
      </c>
      <c r="X107" s="193">
        <v>0</v>
      </c>
      <c r="Y107" s="192">
        <v>0</v>
      </c>
      <c r="Z107" s="193">
        <v>0</v>
      </c>
      <c r="AA107" s="193">
        <v>0</v>
      </c>
      <c r="AB107" s="193">
        <v>0</v>
      </c>
      <c r="AC107" s="193">
        <v>0</v>
      </c>
      <c r="AD107" s="196"/>
      <c r="AE107" s="196"/>
      <c r="AF107" s="196"/>
    </row>
    <row r="108" spans="1:32" s="11" customFormat="1" ht="73.900000000000006" customHeight="1" outlineLevel="1" x14ac:dyDescent="0.2">
      <c r="A108" s="207" t="s">
        <v>1097</v>
      </c>
      <c r="B108" s="206" t="s">
        <v>232</v>
      </c>
      <c r="C108" s="331">
        <f t="shared" si="59"/>
        <v>0</v>
      </c>
      <c r="D108" s="207">
        <f t="shared" si="54"/>
        <v>1288</v>
      </c>
      <c r="E108" s="170">
        <v>0</v>
      </c>
      <c r="F108" s="204">
        <f t="shared" si="60"/>
        <v>1288</v>
      </c>
      <c r="G108" s="204">
        <v>0</v>
      </c>
      <c r="H108" s="171">
        <v>1226</v>
      </c>
      <c r="I108" s="171">
        <v>62</v>
      </c>
      <c r="J108" s="331">
        <v>0</v>
      </c>
      <c r="K108" s="193">
        <v>0</v>
      </c>
      <c r="L108" s="193">
        <v>0</v>
      </c>
      <c r="M108" s="193">
        <v>0</v>
      </c>
      <c r="N108" s="193">
        <v>0</v>
      </c>
      <c r="O108" s="192">
        <v>0</v>
      </c>
      <c r="P108" s="193">
        <f t="shared" si="61"/>
        <v>0</v>
      </c>
      <c r="Q108" s="193">
        <v>0</v>
      </c>
      <c r="R108" s="193">
        <v>0</v>
      </c>
      <c r="S108" s="193">
        <v>0</v>
      </c>
      <c r="T108" s="192">
        <v>0</v>
      </c>
      <c r="U108" s="193">
        <v>0</v>
      </c>
      <c r="V108" s="193">
        <v>0</v>
      </c>
      <c r="W108" s="193">
        <v>0</v>
      </c>
      <c r="X108" s="193">
        <v>0</v>
      </c>
      <c r="Y108" s="192">
        <v>0</v>
      </c>
      <c r="Z108" s="193">
        <v>0</v>
      </c>
      <c r="AA108" s="193">
        <v>0</v>
      </c>
      <c r="AB108" s="193">
        <v>0</v>
      </c>
      <c r="AC108" s="193">
        <v>0</v>
      </c>
      <c r="AD108" s="196"/>
      <c r="AE108" s="196"/>
      <c r="AF108" s="196"/>
    </row>
    <row r="109" spans="1:32" s="11" customFormat="1" ht="124.5" customHeight="1" outlineLevel="1" x14ac:dyDescent="0.2">
      <c r="A109" s="207" t="s">
        <v>1098</v>
      </c>
      <c r="B109" s="206" t="s">
        <v>1308</v>
      </c>
      <c r="C109" s="331">
        <f t="shared" si="59"/>
        <v>0</v>
      </c>
      <c r="D109" s="207">
        <f t="shared" si="54"/>
        <v>628</v>
      </c>
      <c r="E109" s="170">
        <v>0</v>
      </c>
      <c r="F109" s="204">
        <f t="shared" si="60"/>
        <v>628</v>
      </c>
      <c r="G109" s="204">
        <v>0</v>
      </c>
      <c r="H109" s="171">
        <v>598</v>
      </c>
      <c r="I109" s="171">
        <v>30</v>
      </c>
      <c r="J109" s="331">
        <v>0</v>
      </c>
      <c r="K109" s="193">
        <v>0</v>
      </c>
      <c r="L109" s="193">
        <v>0</v>
      </c>
      <c r="M109" s="193">
        <v>0</v>
      </c>
      <c r="N109" s="193">
        <v>0</v>
      </c>
      <c r="O109" s="192">
        <v>0</v>
      </c>
      <c r="P109" s="193">
        <f t="shared" si="61"/>
        <v>0</v>
      </c>
      <c r="Q109" s="193">
        <v>0</v>
      </c>
      <c r="R109" s="193">
        <v>0</v>
      </c>
      <c r="S109" s="193">
        <v>0</v>
      </c>
      <c r="T109" s="192">
        <v>0</v>
      </c>
      <c r="U109" s="193">
        <v>0</v>
      </c>
      <c r="V109" s="193">
        <v>0</v>
      </c>
      <c r="W109" s="193">
        <v>0</v>
      </c>
      <c r="X109" s="193">
        <v>0</v>
      </c>
      <c r="Y109" s="192">
        <v>0</v>
      </c>
      <c r="Z109" s="193">
        <v>0</v>
      </c>
      <c r="AA109" s="193">
        <v>0</v>
      </c>
      <c r="AB109" s="193">
        <v>0</v>
      </c>
      <c r="AC109" s="193">
        <v>0</v>
      </c>
      <c r="AD109" s="196"/>
      <c r="AE109" s="196"/>
      <c r="AF109" s="196"/>
    </row>
    <row r="110" spans="1:32" s="11" customFormat="1" ht="75" customHeight="1" outlineLevel="1" x14ac:dyDescent="0.2">
      <c r="A110" s="207" t="s">
        <v>1099</v>
      </c>
      <c r="B110" s="206" t="s">
        <v>233</v>
      </c>
      <c r="C110" s="331">
        <f t="shared" si="59"/>
        <v>0</v>
      </c>
      <c r="D110" s="207">
        <f t="shared" si="54"/>
        <v>243</v>
      </c>
      <c r="E110" s="170">
        <v>0</v>
      </c>
      <c r="F110" s="204">
        <f t="shared" si="60"/>
        <v>243</v>
      </c>
      <c r="G110" s="204">
        <v>0</v>
      </c>
      <c r="H110" s="171">
        <v>231</v>
      </c>
      <c r="I110" s="171">
        <v>12</v>
      </c>
      <c r="J110" s="331">
        <v>0</v>
      </c>
      <c r="K110" s="193">
        <v>0</v>
      </c>
      <c r="L110" s="193">
        <v>0</v>
      </c>
      <c r="M110" s="193">
        <v>0</v>
      </c>
      <c r="N110" s="193">
        <v>0</v>
      </c>
      <c r="O110" s="192">
        <v>0</v>
      </c>
      <c r="P110" s="193">
        <f t="shared" si="61"/>
        <v>0</v>
      </c>
      <c r="Q110" s="193">
        <v>0</v>
      </c>
      <c r="R110" s="193">
        <v>0</v>
      </c>
      <c r="S110" s="193">
        <v>0</v>
      </c>
      <c r="T110" s="192">
        <v>0</v>
      </c>
      <c r="U110" s="193">
        <v>0</v>
      </c>
      <c r="V110" s="193">
        <v>0</v>
      </c>
      <c r="W110" s="193">
        <v>0</v>
      </c>
      <c r="X110" s="193">
        <v>0</v>
      </c>
      <c r="Y110" s="192">
        <v>0</v>
      </c>
      <c r="Z110" s="193">
        <v>0</v>
      </c>
      <c r="AA110" s="193">
        <v>0</v>
      </c>
      <c r="AB110" s="193">
        <v>0</v>
      </c>
      <c r="AC110" s="193">
        <v>0</v>
      </c>
      <c r="AD110" s="196"/>
      <c r="AE110" s="196"/>
      <c r="AF110" s="196"/>
    </row>
    <row r="111" spans="1:32" s="11" customFormat="1" ht="76.5" customHeight="1" outlineLevel="1" x14ac:dyDescent="0.2">
      <c r="A111" s="207" t="s">
        <v>1100</v>
      </c>
      <c r="B111" s="206" t="s">
        <v>632</v>
      </c>
      <c r="C111" s="331">
        <f t="shared" si="59"/>
        <v>0</v>
      </c>
      <c r="D111" s="207">
        <f t="shared" si="54"/>
        <v>428</v>
      </c>
      <c r="E111" s="170">
        <v>0</v>
      </c>
      <c r="F111" s="204">
        <f t="shared" si="60"/>
        <v>428</v>
      </c>
      <c r="G111" s="204">
        <v>0</v>
      </c>
      <c r="H111" s="171">
        <v>407</v>
      </c>
      <c r="I111" s="171">
        <v>21</v>
      </c>
      <c r="J111" s="331">
        <v>0</v>
      </c>
      <c r="K111" s="193">
        <v>0</v>
      </c>
      <c r="L111" s="193">
        <v>0</v>
      </c>
      <c r="M111" s="193">
        <v>0</v>
      </c>
      <c r="N111" s="193">
        <v>0</v>
      </c>
      <c r="O111" s="192">
        <v>0</v>
      </c>
      <c r="P111" s="193">
        <f t="shared" si="61"/>
        <v>0</v>
      </c>
      <c r="Q111" s="193">
        <v>0</v>
      </c>
      <c r="R111" s="193">
        <v>0</v>
      </c>
      <c r="S111" s="193">
        <v>0</v>
      </c>
      <c r="T111" s="192">
        <v>0</v>
      </c>
      <c r="U111" s="193">
        <v>0</v>
      </c>
      <c r="V111" s="193">
        <v>0</v>
      </c>
      <c r="W111" s="193">
        <v>0</v>
      </c>
      <c r="X111" s="193">
        <v>0</v>
      </c>
      <c r="Y111" s="192">
        <v>0</v>
      </c>
      <c r="Z111" s="193">
        <v>0</v>
      </c>
      <c r="AA111" s="193">
        <v>0</v>
      </c>
      <c r="AB111" s="193">
        <v>0</v>
      </c>
      <c r="AC111" s="193">
        <v>0</v>
      </c>
      <c r="AD111" s="196"/>
      <c r="AE111" s="196"/>
      <c r="AF111" s="196"/>
    </row>
    <row r="112" spans="1:32" s="11" customFormat="1" ht="59.45" customHeight="1" outlineLevel="1" x14ac:dyDescent="0.2">
      <c r="A112" s="207" t="s">
        <v>1101</v>
      </c>
      <c r="B112" s="206" t="s">
        <v>234</v>
      </c>
      <c r="C112" s="331">
        <f t="shared" si="59"/>
        <v>0</v>
      </c>
      <c r="D112" s="207">
        <f t="shared" si="54"/>
        <v>20</v>
      </c>
      <c r="E112" s="170">
        <v>0</v>
      </c>
      <c r="F112" s="204">
        <f t="shared" si="60"/>
        <v>20</v>
      </c>
      <c r="G112" s="204">
        <v>0</v>
      </c>
      <c r="H112" s="171">
        <v>19</v>
      </c>
      <c r="I112" s="171">
        <v>1</v>
      </c>
      <c r="J112" s="331">
        <v>0</v>
      </c>
      <c r="K112" s="193">
        <v>0</v>
      </c>
      <c r="L112" s="193">
        <v>0</v>
      </c>
      <c r="M112" s="193">
        <v>0</v>
      </c>
      <c r="N112" s="193">
        <v>0</v>
      </c>
      <c r="O112" s="192">
        <v>0</v>
      </c>
      <c r="P112" s="193">
        <f t="shared" si="61"/>
        <v>0</v>
      </c>
      <c r="Q112" s="193">
        <v>0</v>
      </c>
      <c r="R112" s="193">
        <v>0</v>
      </c>
      <c r="S112" s="193">
        <v>0</v>
      </c>
      <c r="T112" s="192">
        <v>0</v>
      </c>
      <c r="U112" s="193">
        <v>0</v>
      </c>
      <c r="V112" s="193">
        <v>0</v>
      </c>
      <c r="W112" s="193">
        <v>0</v>
      </c>
      <c r="X112" s="193">
        <v>0</v>
      </c>
      <c r="Y112" s="192">
        <v>0</v>
      </c>
      <c r="Z112" s="193">
        <v>0</v>
      </c>
      <c r="AA112" s="193">
        <v>0</v>
      </c>
      <c r="AB112" s="193">
        <v>0</v>
      </c>
      <c r="AC112" s="193">
        <v>0</v>
      </c>
      <c r="AD112" s="196"/>
      <c r="AE112" s="196"/>
      <c r="AF112" s="196"/>
    </row>
    <row r="113" spans="1:32" s="11" customFormat="1" ht="100.9" customHeight="1" outlineLevel="1" x14ac:dyDescent="0.2">
      <c r="A113" s="207" t="s">
        <v>1102</v>
      </c>
      <c r="B113" s="206" t="s">
        <v>235</v>
      </c>
      <c r="C113" s="331">
        <f t="shared" si="59"/>
        <v>0</v>
      </c>
      <c r="D113" s="207">
        <f t="shared" si="54"/>
        <v>57</v>
      </c>
      <c r="E113" s="170">
        <v>0</v>
      </c>
      <c r="F113" s="204">
        <f t="shared" si="60"/>
        <v>57</v>
      </c>
      <c r="G113" s="204">
        <v>0</v>
      </c>
      <c r="H113" s="171">
        <v>54</v>
      </c>
      <c r="I113" s="171">
        <v>3</v>
      </c>
      <c r="J113" s="331">
        <v>0</v>
      </c>
      <c r="K113" s="193">
        <v>0</v>
      </c>
      <c r="L113" s="193">
        <v>0</v>
      </c>
      <c r="M113" s="193">
        <v>0</v>
      </c>
      <c r="N113" s="193">
        <v>0</v>
      </c>
      <c r="O113" s="192">
        <v>0</v>
      </c>
      <c r="P113" s="193">
        <f t="shared" si="61"/>
        <v>0</v>
      </c>
      <c r="Q113" s="193">
        <v>0</v>
      </c>
      <c r="R113" s="193">
        <v>0</v>
      </c>
      <c r="S113" s="193">
        <v>0</v>
      </c>
      <c r="T113" s="192">
        <v>0</v>
      </c>
      <c r="U113" s="193">
        <v>0</v>
      </c>
      <c r="V113" s="193">
        <v>0</v>
      </c>
      <c r="W113" s="193">
        <v>0</v>
      </c>
      <c r="X113" s="193">
        <v>0</v>
      </c>
      <c r="Y113" s="192">
        <v>0</v>
      </c>
      <c r="Z113" s="193">
        <v>0</v>
      </c>
      <c r="AA113" s="193">
        <v>0</v>
      </c>
      <c r="AB113" s="193">
        <v>0</v>
      </c>
      <c r="AC113" s="193">
        <v>0</v>
      </c>
      <c r="AD113" s="196"/>
      <c r="AE113" s="196"/>
      <c r="AF113" s="196"/>
    </row>
    <row r="114" spans="1:32" s="11" customFormat="1" ht="51" customHeight="1" outlineLevel="1" x14ac:dyDescent="0.2">
      <c r="A114" s="207" t="s">
        <v>1103</v>
      </c>
      <c r="B114" s="206" t="s">
        <v>236</v>
      </c>
      <c r="C114" s="331">
        <f t="shared" si="59"/>
        <v>0</v>
      </c>
      <c r="D114" s="207">
        <f t="shared" si="54"/>
        <v>33</v>
      </c>
      <c r="E114" s="170">
        <v>0</v>
      </c>
      <c r="F114" s="204">
        <f t="shared" si="60"/>
        <v>33</v>
      </c>
      <c r="G114" s="204">
        <v>0</v>
      </c>
      <c r="H114" s="171">
        <v>31</v>
      </c>
      <c r="I114" s="171">
        <v>2</v>
      </c>
      <c r="J114" s="331">
        <v>0</v>
      </c>
      <c r="K114" s="193">
        <v>0</v>
      </c>
      <c r="L114" s="193">
        <v>0</v>
      </c>
      <c r="M114" s="193">
        <v>0</v>
      </c>
      <c r="N114" s="193">
        <v>0</v>
      </c>
      <c r="O114" s="192">
        <v>0</v>
      </c>
      <c r="P114" s="193">
        <f t="shared" si="61"/>
        <v>0</v>
      </c>
      <c r="Q114" s="193">
        <v>0</v>
      </c>
      <c r="R114" s="193">
        <v>0</v>
      </c>
      <c r="S114" s="193">
        <v>0</v>
      </c>
      <c r="T114" s="192">
        <v>0</v>
      </c>
      <c r="U114" s="193">
        <v>0</v>
      </c>
      <c r="V114" s="193">
        <v>0</v>
      </c>
      <c r="W114" s="193">
        <v>0</v>
      </c>
      <c r="X114" s="193">
        <v>0</v>
      </c>
      <c r="Y114" s="192">
        <v>0</v>
      </c>
      <c r="Z114" s="193">
        <v>0</v>
      </c>
      <c r="AA114" s="193">
        <v>0</v>
      </c>
      <c r="AB114" s="193">
        <v>0</v>
      </c>
      <c r="AC114" s="193">
        <v>0</v>
      </c>
      <c r="AD114" s="196"/>
      <c r="AE114" s="196"/>
      <c r="AF114" s="196"/>
    </row>
    <row r="115" spans="1:32" s="11" customFormat="1" ht="78" customHeight="1" outlineLevel="1" x14ac:dyDescent="0.2">
      <c r="A115" s="207" t="s">
        <v>1104</v>
      </c>
      <c r="B115" s="206" t="s">
        <v>237</v>
      </c>
      <c r="C115" s="331">
        <f t="shared" si="59"/>
        <v>0</v>
      </c>
      <c r="D115" s="207">
        <f t="shared" si="54"/>
        <v>630</v>
      </c>
      <c r="E115" s="170">
        <v>0</v>
      </c>
      <c r="F115" s="204">
        <f t="shared" si="60"/>
        <v>630</v>
      </c>
      <c r="G115" s="204">
        <v>0</v>
      </c>
      <c r="H115" s="171">
        <v>600</v>
      </c>
      <c r="I115" s="171">
        <v>30</v>
      </c>
      <c r="J115" s="331">
        <v>0</v>
      </c>
      <c r="K115" s="193">
        <v>0</v>
      </c>
      <c r="L115" s="193">
        <v>0</v>
      </c>
      <c r="M115" s="193">
        <v>0</v>
      </c>
      <c r="N115" s="193">
        <v>0</v>
      </c>
      <c r="O115" s="192">
        <v>0</v>
      </c>
      <c r="P115" s="193">
        <f t="shared" si="61"/>
        <v>0</v>
      </c>
      <c r="Q115" s="193">
        <v>0</v>
      </c>
      <c r="R115" s="193">
        <v>0</v>
      </c>
      <c r="S115" s="193">
        <v>0</v>
      </c>
      <c r="T115" s="192">
        <v>0</v>
      </c>
      <c r="U115" s="193">
        <v>0</v>
      </c>
      <c r="V115" s="193">
        <v>0</v>
      </c>
      <c r="W115" s="193">
        <v>0</v>
      </c>
      <c r="X115" s="193">
        <v>0</v>
      </c>
      <c r="Y115" s="192">
        <v>0</v>
      </c>
      <c r="Z115" s="193">
        <v>0</v>
      </c>
      <c r="AA115" s="193">
        <v>0</v>
      </c>
      <c r="AB115" s="193">
        <v>0</v>
      </c>
      <c r="AC115" s="193">
        <v>0</v>
      </c>
      <c r="AD115" s="196"/>
      <c r="AE115" s="196"/>
      <c r="AF115" s="196"/>
    </row>
    <row r="116" spans="1:32" s="11" customFormat="1" ht="46.9" customHeight="1" outlineLevel="1" x14ac:dyDescent="0.2">
      <c r="A116" s="207" t="s">
        <v>1105</v>
      </c>
      <c r="B116" s="206" t="s">
        <v>238</v>
      </c>
      <c r="C116" s="331">
        <f t="shared" si="59"/>
        <v>0</v>
      </c>
      <c r="D116" s="207">
        <f t="shared" si="54"/>
        <v>139</v>
      </c>
      <c r="E116" s="170">
        <v>0</v>
      </c>
      <c r="F116" s="204">
        <f t="shared" si="60"/>
        <v>139</v>
      </c>
      <c r="G116" s="204">
        <v>0</v>
      </c>
      <c r="H116" s="171">
        <v>132</v>
      </c>
      <c r="I116" s="171">
        <v>7</v>
      </c>
      <c r="J116" s="331">
        <v>0</v>
      </c>
      <c r="K116" s="193">
        <v>0</v>
      </c>
      <c r="L116" s="193">
        <v>0</v>
      </c>
      <c r="M116" s="193">
        <v>0</v>
      </c>
      <c r="N116" s="193">
        <v>0</v>
      </c>
      <c r="O116" s="192">
        <v>0</v>
      </c>
      <c r="P116" s="193">
        <f t="shared" si="61"/>
        <v>0</v>
      </c>
      <c r="Q116" s="193">
        <v>0</v>
      </c>
      <c r="R116" s="193">
        <v>0</v>
      </c>
      <c r="S116" s="193">
        <v>0</v>
      </c>
      <c r="T116" s="192">
        <v>0</v>
      </c>
      <c r="U116" s="193">
        <v>0</v>
      </c>
      <c r="V116" s="193">
        <v>0</v>
      </c>
      <c r="W116" s="193">
        <v>0</v>
      </c>
      <c r="X116" s="193">
        <v>0</v>
      </c>
      <c r="Y116" s="192">
        <v>0</v>
      </c>
      <c r="Z116" s="193">
        <v>0</v>
      </c>
      <c r="AA116" s="193">
        <v>0</v>
      </c>
      <c r="AB116" s="193">
        <v>0</v>
      </c>
      <c r="AC116" s="193">
        <v>0</v>
      </c>
      <c r="AD116" s="196"/>
      <c r="AE116" s="196"/>
      <c r="AF116" s="196"/>
    </row>
    <row r="117" spans="1:32" s="11" customFormat="1" ht="58.9" customHeight="1" outlineLevel="1" x14ac:dyDescent="0.2">
      <c r="A117" s="207" t="s">
        <v>1106</v>
      </c>
      <c r="B117" s="206" t="s">
        <v>239</v>
      </c>
      <c r="C117" s="331">
        <f t="shared" si="59"/>
        <v>0</v>
      </c>
      <c r="D117" s="207">
        <f t="shared" si="54"/>
        <v>188</v>
      </c>
      <c r="E117" s="170">
        <v>0</v>
      </c>
      <c r="F117" s="204">
        <f t="shared" si="60"/>
        <v>188</v>
      </c>
      <c r="G117" s="204">
        <v>0</v>
      </c>
      <c r="H117" s="171">
        <v>179</v>
      </c>
      <c r="I117" s="171">
        <v>9</v>
      </c>
      <c r="J117" s="331">
        <v>0</v>
      </c>
      <c r="K117" s="193">
        <v>0</v>
      </c>
      <c r="L117" s="193">
        <v>0</v>
      </c>
      <c r="M117" s="193">
        <v>0</v>
      </c>
      <c r="N117" s="193">
        <v>0</v>
      </c>
      <c r="O117" s="192">
        <v>0</v>
      </c>
      <c r="P117" s="193">
        <f t="shared" si="61"/>
        <v>0</v>
      </c>
      <c r="Q117" s="193">
        <v>0</v>
      </c>
      <c r="R117" s="193">
        <v>0</v>
      </c>
      <c r="S117" s="193">
        <v>0</v>
      </c>
      <c r="T117" s="192">
        <v>0</v>
      </c>
      <c r="U117" s="193">
        <v>0</v>
      </c>
      <c r="V117" s="193">
        <v>0</v>
      </c>
      <c r="W117" s="193">
        <v>0</v>
      </c>
      <c r="X117" s="193">
        <v>0</v>
      </c>
      <c r="Y117" s="192">
        <v>0</v>
      </c>
      <c r="Z117" s="193">
        <v>0</v>
      </c>
      <c r="AA117" s="193">
        <v>0</v>
      </c>
      <c r="AB117" s="193">
        <v>0</v>
      </c>
      <c r="AC117" s="193">
        <v>0</v>
      </c>
      <c r="AD117" s="196"/>
      <c r="AE117" s="196"/>
      <c r="AF117" s="196"/>
    </row>
    <row r="118" spans="1:32" s="11" customFormat="1" ht="63.6" customHeight="1" outlineLevel="1" x14ac:dyDescent="0.2">
      <c r="A118" s="207" t="s">
        <v>1107</v>
      </c>
      <c r="B118" s="206" t="s">
        <v>240</v>
      </c>
      <c r="C118" s="331">
        <f t="shared" si="59"/>
        <v>0</v>
      </c>
      <c r="D118" s="207">
        <f t="shared" si="54"/>
        <v>415</v>
      </c>
      <c r="E118" s="170">
        <v>0</v>
      </c>
      <c r="F118" s="204">
        <f t="shared" si="60"/>
        <v>415</v>
      </c>
      <c r="G118" s="204">
        <v>0</v>
      </c>
      <c r="H118" s="171">
        <v>395</v>
      </c>
      <c r="I118" s="171">
        <v>20</v>
      </c>
      <c r="J118" s="331">
        <v>0</v>
      </c>
      <c r="K118" s="193">
        <v>0</v>
      </c>
      <c r="L118" s="193">
        <v>0</v>
      </c>
      <c r="M118" s="193">
        <v>0</v>
      </c>
      <c r="N118" s="193">
        <v>0</v>
      </c>
      <c r="O118" s="192">
        <v>0</v>
      </c>
      <c r="P118" s="193">
        <f t="shared" si="61"/>
        <v>0</v>
      </c>
      <c r="Q118" s="193">
        <v>0</v>
      </c>
      <c r="R118" s="193">
        <v>0</v>
      </c>
      <c r="S118" s="193">
        <v>0</v>
      </c>
      <c r="T118" s="192">
        <v>0</v>
      </c>
      <c r="U118" s="193">
        <v>0</v>
      </c>
      <c r="V118" s="193">
        <v>0</v>
      </c>
      <c r="W118" s="193">
        <v>0</v>
      </c>
      <c r="X118" s="193">
        <v>0</v>
      </c>
      <c r="Y118" s="192">
        <v>0</v>
      </c>
      <c r="Z118" s="193">
        <v>0</v>
      </c>
      <c r="AA118" s="193">
        <v>0</v>
      </c>
      <c r="AB118" s="193">
        <v>0</v>
      </c>
      <c r="AC118" s="193">
        <v>0</v>
      </c>
      <c r="AD118" s="196"/>
      <c r="AE118" s="196"/>
      <c r="AF118" s="196"/>
    </row>
    <row r="119" spans="1:32" s="11" customFormat="1" ht="75" customHeight="1" outlineLevel="1" x14ac:dyDescent="0.2">
      <c r="A119" s="207" t="s">
        <v>1108</v>
      </c>
      <c r="B119" s="206" t="s">
        <v>241</v>
      </c>
      <c r="C119" s="331">
        <f t="shared" si="59"/>
        <v>0</v>
      </c>
      <c r="D119" s="207">
        <f t="shared" si="54"/>
        <v>125</v>
      </c>
      <c r="E119" s="170">
        <v>0</v>
      </c>
      <c r="F119" s="204">
        <f t="shared" si="60"/>
        <v>125</v>
      </c>
      <c r="G119" s="204">
        <v>0</v>
      </c>
      <c r="H119" s="171">
        <v>119</v>
      </c>
      <c r="I119" s="171">
        <v>6</v>
      </c>
      <c r="J119" s="331">
        <v>0</v>
      </c>
      <c r="K119" s="193">
        <v>0</v>
      </c>
      <c r="L119" s="193">
        <v>0</v>
      </c>
      <c r="M119" s="193">
        <v>0</v>
      </c>
      <c r="N119" s="193">
        <v>0</v>
      </c>
      <c r="O119" s="192">
        <v>0</v>
      </c>
      <c r="P119" s="193">
        <f t="shared" si="61"/>
        <v>0</v>
      </c>
      <c r="Q119" s="193">
        <v>0</v>
      </c>
      <c r="R119" s="193">
        <v>0</v>
      </c>
      <c r="S119" s="193">
        <v>0</v>
      </c>
      <c r="T119" s="192">
        <v>0</v>
      </c>
      <c r="U119" s="193">
        <v>0</v>
      </c>
      <c r="V119" s="193">
        <v>0</v>
      </c>
      <c r="W119" s="193">
        <v>0</v>
      </c>
      <c r="X119" s="193">
        <v>0</v>
      </c>
      <c r="Y119" s="192">
        <v>0</v>
      </c>
      <c r="Z119" s="193">
        <v>0</v>
      </c>
      <c r="AA119" s="193">
        <v>0</v>
      </c>
      <c r="AB119" s="193">
        <v>0</v>
      </c>
      <c r="AC119" s="193">
        <v>0</v>
      </c>
      <c r="AD119" s="196"/>
      <c r="AE119" s="196"/>
      <c r="AF119" s="196"/>
    </row>
    <row r="120" spans="1:32" s="11" customFormat="1" ht="78.75" customHeight="1" outlineLevel="1" x14ac:dyDescent="0.2">
      <c r="A120" s="207" t="s">
        <v>1109</v>
      </c>
      <c r="B120" s="206" t="s">
        <v>242</v>
      </c>
      <c r="C120" s="331">
        <f t="shared" si="59"/>
        <v>0</v>
      </c>
      <c r="D120" s="207">
        <f t="shared" si="54"/>
        <v>230</v>
      </c>
      <c r="E120" s="170">
        <v>0</v>
      </c>
      <c r="F120" s="204">
        <f t="shared" si="60"/>
        <v>230</v>
      </c>
      <c r="G120" s="204">
        <v>0</v>
      </c>
      <c r="H120" s="171">
        <v>219</v>
      </c>
      <c r="I120" s="171">
        <v>11</v>
      </c>
      <c r="J120" s="331">
        <v>0</v>
      </c>
      <c r="K120" s="193">
        <v>0</v>
      </c>
      <c r="L120" s="193">
        <v>0</v>
      </c>
      <c r="M120" s="193">
        <v>0</v>
      </c>
      <c r="N120" s="193">
        <v>0</v>
      </c>
      <c r="O120" s="192">
        <v>0</v>
      </c>
      <c r="P120" s="193">
        <f t="shared" si="61"/>
        <v>0</v>
      </c>
      <c r="Q120" s="193">
        <v>0</v>
      </c>
      <c r="R120" s="193">
        <v>0</v>
      </c>
      <c r="S120" s="193">
        <v>0</v>
      </c>
      <c r="T120" s="192">
        <v>0</v>
      </c>
      <c r="U120" s="193">
        <v>0</v>
      </c>
      <c r="V120" s="193">
        <v>0</v>
      </c>
      <c r="W120" s="193">
        <v>0</v>
      </c>
      <c r="X120" s="193">
        <v>0</v>
      </c>
      <c r="Y120" s="192">
        <v>0</v>
      </c>
      <c r="Z120" s="193">
        <v>0</v>
      </c>
      <c r="AA120" s="193">
        <v>0</v>
      </c>
      <c r="AB120" s="193">
        <v>0</v>
      </c>
      <c r="AC120" s="193">
        <v>0</v>
      </c>
      <c r="AD120" s="196"/>
      <c r="AE120" s="196"/>
      <c r="AF120" s="196"/>
    </row>
    <row r="121" spans="1:32" s="11" customFormat="1" ht="73.900000000000006" customHeight="1" outlineLevel="1" x14ac:dyDescent="0.2">
      <c r="A121" s="207" t="s">
        <v>1110</v>
      </c>
      <c r="B121" s="206" t="s">
        <v>243</v>
      </c>
      <c r="C121" s="331">
        <f t="shared" si="59"/>
        <v>0</v>
      </c>
      <c r="D121" s="207">
        <f t="shared" si="54"/>
        <v>532</v>
      </c>
      <c r="E121" s="170">
        <v>0</v>
      </c>
      <c r="F121" s="204">
        <f t="shared" si="60"/>
        <v>532</v>
      </c>
      <c r="G121" s="204">
        <v>0</v>
      </c>
      <c r="H121" s="171">
        <v>507</v>
      </c>
      <c r="I121" s="171">
        <v>25</v>
      </c>
      <c r="J121" s="331">
        <v>0</v>
      </c>
      <c r="K121" s="193">
        <v>0</v>
      </c>
      <c r="L121" s="193">
        <v>0</v>
      </c>
      <c r="M121" s="193">
        <v>0</v>
      </c>
      <c r="N121" s="193">
        <v>0</v>
      </c>
      <c r="O121" s="192">
        <v>0</v>
      </c>
      <c r="P121" s="193">
        <f t="shared" si="61"/>
        <v>0</v>
      </c>
      <c r="Q121" s="193">
        <v>0</v>
      </c>
      <c r="R121" s="193">
        <v>0</v>
      </c>
      <c r="S121" s="193">
        <v>0</v>
      </c>
      <c r="T121" s="192">
        <v>0</v>
      </c>
      <c r="U121" s="193">
        <v>0</v>
      </c>
      <c r="V121" s="193">
        <v>0</v>
      </c>
      <c r="W121" s="193">
        <v>0</v>
      </c>
      <c r="X121" s="193">
        <v>0</v>
      </c>
      <c r="Y121" s="192">
        <v>0</v>
      </c>
      <c r="Z121" s="193">
        <v>0</v>
      </c>
      <c r="AA121" s="193">
        <v>0</v>
      </c>
      <c r="AB121" s="193">
        <v>0</v>
      </c>
      <c r="AC121" s="193">
        <v>0</v>
      </c>
      <c r="AD121" s="196"/>
      <c r="AE121" s="196"/>
      <c r="AF121" s="196"/>
    </row>
    <row r="122" spans="1:32" s="11" customFormat="1" ht="75" customHeight="1" outlineLevel="1" x14ac:dyDescent="0.2">
      <c r="A122" s="207" t="s">
        <v>1111</v>
      </c>
      <c r="B122" s="206" t="s">
        <v>244</v>
      </c>
      <c r="C122" s="331">
        <f t="shared" si="59"/>
        <v>0</v>
      </c>
      <c r="D122" s="207">
        <f t="shared" si="54"/>
        <v>1055</v>
      </c>
      <c r="E122" s="170">
        <v>0</v>
      </c>
      <c r="F122" s="204">
        <f t="shared" si="60"/>
        <v>1055</v>
      </c>
      <c r="G122" s="204">
        <v>0</v>
      </c>
      <c r="H122" s="171">
        <v>1005</v>
      </c>
      <c r="I122" s="171">
        <v>50</v>
      </c>
      <c r="J122" s="331">
        <v>0</v>
      </c>
      <c r="K122" s="193">
        <v>0</v>
      </c>
      <c r="L122" s="193">
        <v>0</v>
      </c>
      <c r="M122" s="193">
        <v>0</v>
      </c>
      <c r="N122" s="193">
        <v>0</v>
      </c>
      <c r="O122" s="192">
        <v>0</v>
      </c>
      <c r="P122" s="193">
        <f t="shared" si="61"/>
        <v>0</v>
      </c>
      <c r="Q122" s="193">
        <v>0</v>
      </c>
      <c r="R122" s="193">
        <v>0</v>
      </c>
      <c r="S122" s="193">
        <v>0</v>
      </c>
      <c r="T122" s="192">
        <v>0</v>
      </c>
      <c r="U122" s="193">
        <v>0</v>
      </c>
      <c r="V122" s="193">
        <v>0</v>
      </c>
      <c r="W122" s="193">
        <v>0</v>
      </c>
      <c r="X122" s="193">
        <v>0</v>
      </c>
      <c r="Y122" s="192">
        <v>0</v>
      </c>
      <c r="Z122" s="193">
        <v>0</v>
      </c>
      <c r="AA122" s="193">
        <v>0</v>
      </c>
      <c r="AB122" s="193">
        <v>0</v>
      </c>
      <c r="AC122" s="193">
        <v>0</v>
      </c>
      <c r="AD122" s="196"/>
      <c r="AE122" s="196"/>
      <c r="AF122" s="196"/>
    </row>
    <row r="123" spans="1:32" s="11" customFormat="1" ht="75" customHeight="1" outlineLevel="1" x14ac:dyDescent="0.2">
      <c r="A123" s="207" t="s">
        <v>1112</v>
      </c>
      <c r="B123" s="206" t="s">
        <v>245</v>
      </c>
      <c r="C123" s="331">
        <f t="shared" si="59"/>
        <v>0</v>
      </c>
      <c r="D123" s="207">
        <f t="shared" si="54"/>
        <v>386</v>
      </c>
      <c r="E123" s="170">
        <v>0</v>
      </c>
      <c r="F123" s="204">
        <f t="shared" si="60"/>
        <v>386</v>
      </c>
      <c r="G123" s="204">
        <v>0</v>
      </c>
      <c r="H123" s="171">
        <v>367</v>
      </c>
      <c r="I123" s="171">
        <v>19</v>
      </c>
      <c r="J123" s="331">
        <v>0</v>
      </c>
      <c r="K123" s="193">
        <v>0</v>
      </c>
      <c r="L123" s="193">
        <v>0</v>
      </c>
      <c r="M123" s="193">
        <v>0</v>
      </c>
      <c r="N123" s="193">
        <v>0</v>
      </c>
      <c r="O123" s="192">
        <v>0</v>
      </c>
      <c r="P123" s="193">
        <f t="shared" si="61"/>
        <v>0</v>
      </c>
      <c r="Q123" s="193">
        <v>0</v>
      </c>
      <c r="R123" s="193">
        <v>0</v>
      </c>
      <c r="S123" s="193">
        <v>0</v>
      </c>
      <c r="T123" s="192">
        <v>0</v>
      </c>
      <c r="U123" s="193">
        <v>0</v>
      </c>
      <c r="V123" s="193">
        <v>0</v>
      </c>
      <c r="W123" s="193">
        <v>0</v>
      </c>
      <c r="X123" s="193">
        <v>0</v>
      </c>
      <c r="Y123" s="192">
        <v>0</v>
      </c>
      <c r="Z123" s="193">
        <v>0</v>
      </c>
      <c r="AA123" s="193">
        <v>0</v>
      </c>
      <c r="AB123" s="193">
        <v>0</v>
      </c>
      <c r="AC123" s="193">
        <v>0</v>
      </c>
      <c r="AD123" s="196"/>
      <c r="AE123" s="196"/>
      <c r="AF123" s="196"/>
    </row>
    <row r="124" spans="1:32" s="11" customFormat="1" ht="73.900000000000006" customHeight="1" outlineLevel="1" x14ac:dyDescent="0.2">
      <c r="A124" s="207" t="s">
        <v>1113</v>
      </c>
      <c r="B124" s="206" t="s">
        <v>246</v>
      </c>
      <c r="C124" s="331">
        <f t="shared" si="59"/>
        <v>0</v>
      </c>
      <c r="D124" s="207">
        <f t="shared" si="54"/>
        <v>94</v>
      </c>
      <c r="E124" s="170">
        <v>0</v>
      </c>
      <c r="F124" s="204">
        <f t="shared" si="60"/>
        <v>94</v>
      </c>
      <c r="G124" s="204">
        <v>0</v>
      </c>
      <c r="H124" s="171">
        <v>90</v>
      </c>
      <c r="I124" s="171">
        <v>4</v>
      </c>
      <c r="J124" s="331">
        <v>0</v>
      </c>
      <c r="K124" s="193">
        <v>0</v>
      </c>
      <c r="L124" s="193">
        <v>0</v>
      </c>
      <c r="M124" s="193">
        <v>0</v>
      </c>
      <c r="N124" s="193">
        <v>0</v>
      </c>
      <c r="O124" s="192">
        <v>0</v>
      </c>
      <c r="P124" s="193">
        <f t="shared" si="61"/>
        <v>0</v>
      </c>
      <c r="Q124" s="193">
        <v>0</v>
      </c>
      <c r="R124" s="193">
        <v>0</v>
      </c>
      <c r="S124" s="193">
        <v>0</v>
      </c>
      <c r="T124" s="192">
        <v>0</v>
      </c>
      <c r="U124" s="193">
        <v>0</v>
      </c>
      <c r="V124" s="193">
        <v>0</v>
      </c>
      <c r="W124" s="193">
        <v>0</v>
      </c>
      <c r="X124" s="193">
        <v>0</v>
      </c>
      <c r="Y124" s="192">
        <v>0</v>
      </c>
      <c r="Z124" s="193">
        <v>0</v>
      </c>
      <c r="AA124" s="193">
        <v>0</v>
      </c>
      <c r="AB124" s="193">
        <v>0</v>
      </c>
      <c r="AC124" s="193">
        <v>0</v>
      </c>
      <c r="AD124" s="196"/>
      <c r="AE124" s="196"/>
      <c r="AF124" s="196"/>
    </row>
    <row r="125" spans="1:32" s="11" customFormat="1" ht="68.45" customHeight="1" outlineLevel="1" x14ac:dyDescent="0.2">
      <c r="A125" s="207" t="s">
        <v>1114</v>
      </c>
      <c r="B125" s="206" t="s">
        <v>633</v>
      </c>
      <c r="C125" s="331">
        <f t="shared" si="59"/>
        <v>0</v>
      </c>
      <c r="D125" s="207">
        <f t="shared" si="54"/>
        <v>41</v>
      </c>
      <c r="E125" s="170">
        <v>0</v>
      </c>
      <c r="F125" s="204">
        <f t="shared" si="60"/>
        <v>41</v>
      </c>
      <c r="G125" s="204">
        <v>0</v>
      </c>
      <c r="H125" s="171">
        <v>39</v>
      </c>
      <c r="I125" s="171">
        <v>2</v>
      </c>
      <c r="J125" s="331">
        <v>0</v>
      </c>
      <c r="K125" s="193">
        <v>0</v>
      </c>
      <c r="L125" s="193">
        <v>0</v>
      </c>
      <c r="M125" s="193">
        <v>0</v>
      </c>
      <c r="N125" s="193">
        <v>0</v>
      </c>
      <c r="O125" s="192">
        <v>0</v>
      </c>
      <c r="P125" s="193">
        <f t="shared" si="61"/>
        <v>0</v>
      </c>
      <c r="Q125" s="193">
        <v>0</v>
      </c>
      <c r="R125" s="193">
        <v>0</v>
      </c>
      <c r="S125" s="193">
        <v>0</v>
      </c>
      <c r="T125" s="192">
        <v>0</v>
      </c>
      <c r="U125" s="193">
        <v>0</v>
      </c>
      <c r="V125" s="193">
        <v>0</v>
      </c>
      <c r="W125" s="193">
        <v>0</v>
      </c>
      <c r="X125" s="193">
        <v>0</v>
      </c>
      <c r="Y125" s="192">
        <v>0</v>
      </c>
      <c r="Z125" s="193">
        <v>0</v>
      </c>
      <c r="AA125" s="193">
        <v>0</v>
      </c>
      <c r="AB125" s="193">
        <v>0</v>
      </c>
      <c r="AC125" s="193">
        <v>0</v>
      </c>
      <c r="AD125" s="196"/>
      <c r="AE125" s="196"/>
      <c r="AF125" s="196"/>
    </row>
    <row r="126" spans="1:32" s="11" customFormat="1" ht="66" customHeight="1" outlineLevel="1" x14ac:dyDescent="0.2">
      <c r="A126" s="207" t="s">
        <v>1115</v>
      </c>
      <c r="B126" s="206" t="s">
        <v>634</v>
      </c>
      <c r="C126" s="331">
        <f t="shared" si="59"/>
        <v>0</v>
      </c>
      <c r="D126" s="207">
        <f t="shared" si="54"/>
        <v>95</v>
      </c>
      <c r="E126" s="170">
        <v>0</v>
      </c>
      <c r="F126" s="204">
        <f t="shared" si="60"/>
        <v>95</v>
      </c>
      <c r="G126" s="204">
        <v>0</v>
      </c>
      <c r="H126" s="171">
        <v>90</v>
      </c>
      <c r="I126" s="171">
        <v>5</v>
      </c>
      <c r="J126" s="331">
        <v>0</v>
      </c>
      <c r="K126" s="193">
        <v>0</v>
      </c>
      <c r="L126" s="193">
        <v>0</v>
      </c>
      <c r="M126" s="193">
        <v>0</v>
      </c>
      <c r="N126" s="193">
        <v>0</v>
      </c>
      <c r="O126" s="192">
        <v>0</v>
      </c>
      <c r="P126" s="193">
        <f t="shared" si="61"/>
        <v>0</v>
      </c>
      <c r="Q126" s="193">
        <v>0</v>
      </c>
      <c r="R126" s="193">
        <v>0</v>
      </c>
      <c r="S126" s="193">
        <v>0</v>
      </c>
      <c r="T126" s="192">
        <v>0</v>
      </c>
      <c r="U126" s="193">
        <v>0</v>
      </c>
      <c r="V126" s="193">
        <v>0</v>
      </c>
      <c r="W126" s="193">
        <v>0</v>
      </c>
      <c r="X126" s="193">
        <v>0</v>
      </c>
      <c r="Y126" s="192">
        <v>0</v>
      </c>
      <c r="Z126" s="193">
        <v>0</v>
      </c>
      <c r="AA126" s="193">
        <v>0</v>
      </c>
      <c r="AB126" s="193">
        <v>0</v>
      </c>
      <c r="AC126" s="193">
        <v>0</v>
      </c>
      <c r="AD126" s="196"/>
      <c r="AE126" s="196"/>
      <c r="AF126" s="196"/>
    </row>
    <row r="127" spans="1:32" s="11" customFormat="1" ht="75" customHeight="1" outlineLevel="1" x14ac:dyDescent="0.2">
      <c r="A127" s="207" t="s">
        <v>1116</v>
      </c>
      <c r="B127" s="206" t="s">
        <v>247</v>
      </c>
      <c r="C127" s="331">
        <f t="shared" si="59"/>
        <v>0</v>
      </c>
      <c r="D127" s="207">
        <f t="shared" si="54"/>
        <v>1766</v>
      </c>
      <c r="E127" s="170">
        <v>0</v>
      </c>
      <c r="F127" s="204">
        <f t="shared" si="60"/>
        <v>1766</v>
      </c>
      <c r="G127" s="204">
        <v>0</v>
      </c>
      <c r="H127" s="171">
        <v>1681</v>
      </c>
      <c r="I127" s="171">
        <v>85</v>
      </c>
      <c r="J127" s="331">
        <v>0</v>
      </c>
      <c r="K127" s="193">
        <v>0</v>
      </c>
      <c r="L127" s="193">
        <v>0</v>
      </c>
      <c r="M127" s="193">
        <v>0</v>
      </c>
      <c r="N127" s="193">
        <v>0</v>
      </c>
      <c r="O127" s="192">
        <v>0</v>
      </c>
      <c r="P127" s="193">
        <f t="shared" si="61"/>
        <v>0</v>
      </c>
      <c r="Q127" s="193">
        <v>0</v>
      </c>
      <c r="R127" s="193">
        <v>0</v>
      </c>
      <c r="S127" s="193">
        <v>0</v>
      </c>
      <c r="T127" s="192">
        <v>0</v>
      </c>
      <c r="U127" s="193">
        <v>0</v>
      </c>
      <c r="V127" s="193">
        <v>0</v>
      </c>
      <c r="W127" s="193">
        <v>0</v>
      </c>
      <c r="X127" s="193">
        <v>0</v>
      </c>
      <c r="Y127" s="192">
        <v>0</v>
      </c>
      <c r="Z127" s="193">
        <v>0</v>
      </c>
      <c r="AA127" s="193">
        <v>0</v>
      </c>
      <c r="AB127" s="193">
        <v>0</v>
      </c>
      <c r="AC127" s="193">
        <v>0</v>
      </c>
      <c r="AD127" s="196"/>
      <c r="AE127" s="196"/>
      <c r="AF127" s="196"/>
    </row>
    <row r="128" spans="1:32" s="11" customFormat="1" ht="70.900000000000006" customHeight="1" outlineLevel="1" x14ac:dyDescent="0.2">
      <c r="A128" s="207" t="s">
        <v>1117</v>
      </c>
      <c r="B128" s="206" t="s">
        <v>248</v>
      </c>
      <c r="C128" s="331">
        <f t="shared" si="59"/>
        <v>0</v>
      </c>
      <c r="D128" s="207">
        <f t="shared" si="54"/>
        <v>342</v>
      </c>
      <c r="E128" s="170">
        <v>0</v>
      </c>
      <c r="F128" s="204">
        <f t="shared" si="60"/>
        <v>342</v>
      </c>
      <c r="G128" s="204">
        <v>0</v>
      </c>
      <c r="H128" s="171">
        <v>326</v>
      </c>
      <c r="I128" s="171">
        <v>16</v>
      </c>
      <c r="J128" s="331">
        <v>0</v>
      </c>
      <c r="K128" s="193">
        <v>0</v>
      </c>
      <c r="L128" s="193">
        <v>0</v>
      </c>
      <c r="M128" s="193">
        <v>0</v>
      </c>
      <c r="N128" s="193">
        <v>0</v>
      </c>
      <c r="O128" s="192">
        <v>0</v>
      </c>
      <c r="P128" s="193">
        <f t="shared" si="61"/>
        <v>0</v>
      </c>
      <c r="Q128" s="193">
        <v>0</v>
      </c>
      <c r="R128" s="193">
        <v>0</v>
      </c>
      <c r="S128" s="193">
        <v>0</v>
      </c>
      <c r="T128" s="192">
        <v>0</v>
      </c>
      <c r="U128" s="193">
        <v>0</v>
      </c>
      <c r="V128" s="193">
        <v>0</v>
      </c>
      <c r="W128" s="193">
        <v>0</v>
      </c>
      <c r="X128" s="193">
        <v>0</v>
      </c>
      <c r="Y128" s="192">
        <v>0</v>
      </c>
      <c r="Z128" s="193">
        <v>0</v>
      </c>
      <c r="AA128" s="193">
        <v>0</v>
      </c>
      <c r="AB128" s="193">
        <v>0</v>
      </c>
      <c r="AC128" s="193">
        <v>0</v>
      </c>
      <c r="AD128" s="196"/>
      <c r="AE128" s="196"/>
      <c r="AF128" s="196"/>
    </row>
    <row r="129" spans="1:32" s="11" customFormat="1" ht="51" customHeight="1" outlineLevel="1" x14ac:dyDescent="0.2">
      <c r="A129" s="207" t="s">
        <v>1118</v>
      </c>
      <c r="B129" s="206" t="s">
        <v>249</v>
      </c>
      <c r="C129" s="331">
        <f t="shared" si="59"/>
        <v>0</v>
      </c>
      <c r="D129" s="207">
        <f t="shared" si="54"/>
        <v>289</v>
      </c>
      <c r="E129" s="170">
        <v>0</v>
      </c>
      <c r="F129" s="204">
        <f t="shared" si="60"/>
        <v>289</v>
      </c>
      <c r="G129" s="204">
        <v>0</v>
      </c>
      <c r="H129" s="171">
        <v>276</v>
      </c>
      <c r="I129" s="171">
        <v>13</v>
      </c>
      <c r="J129" s="331">
        <v>0</v>
      </c>
      <c r="K129" s="193">
        <v>0</v>
      </c>
      <c r="L129" s="193">
        <v>0</v>
      </c>
      <c r="M129" s="193">
        <v>0</v>
      </c>
      <c r="N129" s="193">
        <v>0</v>
      </c>
      <c r="O129" s="192">
        <v>0</v>
      </c>
      <c r="P129" s="193">
        <f t="shared" si="61"/>
        <v>0</v>
      </c>
      <c r="Q129" s="193">
        <v>0</v>
      </c>
      <c r="R129" s="193">
        <v>0</v>
      </c>
      <c r="S129" s="193">
        <v>0</v>
      </c>
      <c r="T129" s="192">
        <v>0</v>
      </c>
      <c r="U129" s="193">
        <v>0</v>
      </c>
      <c r="V129" s="193">
        <v>0</v>
      </c>
      <c r="W129" s="193">
        <v>0</v>
      </c>
      <c r="X129" s="193">
        <v>0</v>
      </c>
      <c r="Y129" s="192">
        <v>0</v>
      </c>
      <c r="Z129" s="193">
        <v>0</v>
      </c>
      <c r="AA129" s="193">
        <v>0</v>
      </c>
      <c r="AB129" s="193">
        <v>0</v>
      </c>
      <c r="AC129" s="193">
        <v>0</v>
      </c>
      <c r="AD129" s="196"/>
      <c r="AE129" s="196"/>
      <c r="AF129" s="196"/>
    </row>
    <row r="130" spans="1:32" s="11" customFormat="1" ht="51" customHeight="1" outlineLevel="1" x14ac:dyDescent="0.2">
      <c r="A130" s="207" t="s">
        <v>1119</v>
      </c>
      <c r="B130" s="206" t="s">
        <v>250</v>
      </c>
      <c r="C130" s="331">
        <f t="shared" si="59"/>
        <v>0</v>
      </c>
      <c r="D130" s="207">
        <f t="shared" si="54"/>
        <v>1150</v>
      </c>
      <c r="E130" s="170">
        <v>0</v>
      </c>
      <c r="F130" s="204">
        <f t="shared" si="60"/>
        <v>1150</v>
      </c>
      <c r="G130" s="204">
        <v>0</v>
      </c>
      <c r="H130" s="171">
        <v>1095</v>
      </c>
      <c r="I130" s="171">
        <v>55</v>
      </c>
      <c r="J130" s="331">
        <v>0</v>
      </c>
      <c r="K130" s="193">
        <v>0</v>
      </c>
      <c r="L130" s="193">
        <v>0</v>
      </c>
      <c r="M130" s="193">
        <v>0</v>
      </c>
      <c r="N130" s="193">
        <v>0</v>
      </c>
      <c r="O130" s="192">
        <v>0</v>
      </c>
      <c r="P130" s="193">
        <f t="shared" si="61"/>
        <v>0</v>
      </c>
      <c r="Q130" s="193">
        <v>0</v>
      </c>
      <c r="R130" s="193">
        <v>0</v>
      </c>
      <c r="S130" s="193">
        <v>0</v>
      </c>
      <c r="T130" s="192">
        <v>0</v>
      </c>
      <c r="U130" s="193">
        <v>0</v>
      </c>
      <c r="V130" s="193">
        <v>0</v>
      </c>
      <c r="W130" s="193">
        <v>0</v>
      </c>
      <c r="X130" s="193">
        <v>0</v>
      </c>
      <c r="Y130" s="192">
        <v>0</v>
      </c>
      <c r="Z130" s="193">
        <v>0</v>
      </c>
      <c r="AA130" s="193">
        <v>0</v>
      </c>
      <c r="AB130" s="193">
        <v>0</v>
      </c>
      <c r="AC130" s="193">
        <v>0</v>
      </c>
      <c r="AD130" s="196"/>
      <c r="AE130" s="196"/>
      <c r="AF130" s="196"/>
    </row>
    <row r="131" spans="1:32" s="11" customFormat="1" ht="51" customHeight="1" outlineLevel="1" x14ac:dyDescent="0.2">
      <c r="A131" s="207" t="s">
        <v>1120</v>
      </c>
      <c r="B131" s="206" t="s">
        <v>251</v>
      </c>
      <c r="C131" s="331">
        <f t="shared" si="59"/>
        <v>0</v>
      </c>
      <c r="D131" s="207">
        <f t="shared" si="54"/>
        <v>286</v>
      </c>
      <c r="E131" s="170">
        <v>0</v>
      </c>
      <c r="F131" s="204">
        <f t="shared" si="60"/>
        <v>286</v>
      </c>
      <c r="G131" s="204">
        <v>0</v>
      </c>
      <c r="H131" s="171">
        <v>272</v>
      </c>
      <c r="I131" s="171">
        <v>14</v>
      </c>
      <c r="J131" s="331">
        <v>0</v>
      </c>
      <c r="K131" s="193">
        <v>0</v>
      </c>
      <c r="L131" s="193">
        <v>0</v>
      </c>
      <c r="M131" s="193">
        <v>0</v>
      </c>
      <c r="N131" s="193">
        <v>0</v>
      </c>
      <c r="O131" s="192">
        <v>0</v>
      </c>
      <c r="P131" s="193">
        <f t="shared" si="61"/>
        <v>0</v>
      </c>
      <c r="Q131" s="193">
        <v>0</v>
      </c>
      <c r="R131" s="193">
        <v>0</v>
      </c>
      <c r="S131" s="193">
        <v>0</v>
      </c>
      <c r="T131" s="192">
        <v>0</v>
      </c>
      <c r="U131" s="193">
        <v>0</v>
      </c>
      <c r="V131" s="193">
        <v>0</v>
      </c>
      <c r="W131" s="193">
        <v>0</v>
      </c>
      <c r="X131" s="193">
        <v>0</v>
      </c>
      <c r="Y131" s="192">
        <v>0</v>
      </c>
      <c r="Z131" s="193">
        <v>0</v>
      </c>
      <c r="AA131" s="193">
        <v>0</v>
      </c>
      <c r="AB131" s="193">
        <v>0</v>
      </c>
      <c r="AC131" s="193">
        <v>0</v>
      </c>
      <c r="AD131" s="196"/>
      <c r="AE131" s="196"/>
      <c r="AF131" s="196"/>
    </row>
    <row r="132" spans="1:32" s="11" customFormat="1" ht="64.900000000000006" customHeight="1" outlineLevel="1" x14ac:dyDescent="0.2">
      <c r="A132" s="207" t="s">
        <v>1121</v>
      </c>
      <c r="B132" s="206" t="s">
        <v>252</v>
      </c>
      <c r="C132" s="331">
        <f t="shared" si="59"/>
        <v>0</v>
      </c>
      <c r="D132" s="207">
        <f t="shared" si="54"/>
        <v>238</v>
      </c>
      <c r="E132" s="170">
        <v>0</v>
      </c>
      <c r="F132" s="204">
        <f t="shared" si="60"/>
        <v>238</v>
      </c>
      <c r="G132" s="204">
        <v>0</v>
      </c>
      <c r="H132" s="171">
        <v>227</v>
      </c>
      <c r="I132" s="171">
        <v>11</v>
      </c>
      <c r="J132" s="331">
        <v>0</v>
      </c>
      <c r="K132" s="193">
        <v>0</v>
      </c>
      <c r="L132" s="193">
        <v>0</v>
      </c>
      <c r="M132" s="193">
        <v>0</v>
      </c>
      <c r="N132" s="193">
        <v>0</v>
      </c>
      <c r="O132" s="192">
        <v>0</v>
      </c>
      <c r="P132" s="193">
        <f t="shared" si="61"/>
        <v>0</v>
      </c>
      <c r="Q132" s="193">
        <v>0</v>
      </c>
      <c r="R132" s="193">
        <v>0</v>
      </c>
      <c r="S132" s="193">
        <v>0</v>
      </c>
      <c r="T132" s="192">
        <v>0</v>
      </c>
      <c r="U132" s="193">
        <v>0</v>
      </c>
      <c r="V132" s="193">
        <v>0</v>
      </c>
      <c r="W132" s="193">
        <v>0</v>
      </c>
      <c r="X132" s="193">
        <v>0</v>
      </c>
      <c r="Y132" s="192">
        <v>0</v>
      </c>
      <c r="Z132" s="193">
        <v>0</v>
      </c>
      <c r="AA132" s="193">
        <v>0</v>
      </c>
      <c r="AB132" s="193">
        <v>0</v>
      </c>
      <c r="AC132" s="193">
        <v>0</v>
      </c>
      <c r="AD132" s="196"/>
      <c r="AE132" s="196"/>
      <c r="AF132" s="196"/>
    </row>
    <row r="133" spans="1:32" s="11" customFormat="1" ht="75" customHeight="1" outlineLevel="1" x14ac:dyDescent="0.2">
      <c r="A133" s="207" t="s">
        <v>1122</v>
      </c>
      <c r="B133" s="206" t="s">
        <v>253</v>
      </c>
      <c r="C133" s="331">
        <f t="shared" si="59"/>
        <v>0</v>
      </c>
      <c r="D133" s="207">
        <f t="shared" si="54"/>
        <v>1846</v>
      </c>
      <c r="E133" s="170">
        <v>0</v>
      </c>
      <c r="F133" s="204">
        <f>G133+H133+I133</f>
        <v>1846</v>
      </c>
      <c r="G133" s="204">
        <v>0</v>
      </c>
      <c r="H133" s="171">
        <v>1757</v>
      </c>
      <c r="I133" s="171">
        <v>89</v>
      </c>
      <c r="J133" s="331">
        <v>0</v>
      </c>
      <c r="K133" s="193">
        <v>0</v>
      </c>
      <c r="L133" s="193">
        <v>0</v>
      </c>
      <c r="M133" s="193">
        <v>0</v>
      </c>
      <c r="N133" s="193">
        <v>0</v>
      </c>
      <c r="O133" s="192">
        <v>0</v>
      </c>
      <c r="P133" s="193">
        <f t="shared" si="61"/>
        <v>0</v>
      </c>
      <c r="Q133" s="193">
        <v>0</v>
      </c>
      <c r="R133" s="193">
        <v>0</v>
      </c>
      <c r="S133" s="193">
        <v>0</v>
      </c>
      <c r="T133" s="192">
        <v>0</v>
      </c>
      <c r="U133" s="193">
        <v>0</v>
      </c>
      <c r="V133" s="193">
        <v>0</v>
      </c>
      <c r="W133" s="193">
        <v>0</v>
      </c>
      <c r="X133" s="193">
        <v>0</v>
      </c>
      <c r="Y133" s="192">
        <v>0</v>
      </c>
      <c r="Z133" s="193">
        <v>0</v>
      </c>
      <c r="AA133" s="193">
        <v>0</v>
      </c>
      <c r="AB133" s="193">
        <v>0</v>
      </c>
      <c r="AC133" s="193">
        <v>0</v>
      </c>
      <c r="AD133" s="196"/>
      <c r="AE133" s="196"/>
      <c r="AF133" s="196"/>
    </row>
    <row r="134" spans="1:32" s="11" customFormat="1" ht="57" customHeight="1" outlineLevel="1" x14ac:dyDescent="0.2">
      <c r="A134" s="207" t="s">
        <v>1123</v>
      </c>
      <c r="B134" s="206" t="s">
        <v>254</v>
      </c>
      <c r="C134" s="331">
        <f t="shared" si="59"/>
        <v>0</v>
      </c>
      <c r="D134" s="207">
        <f t="shared" si="54"/>
        <v>1668</v>
      </c>
      <c r="E134" s="170">
        <v>0</v>
      </c>
      <c r="F134" s="204">
        <f t="shared" si="60"/>
        <v>1668</v>
      </c>
      <c r="G134" s="204">
        <v>0</v>
      </c>
      <c r="H134" s="171">
        <v>1588</v>
      </c>
      <c r="I134" s="171">
        <v>80</v>
      </c>
      <c r="J134" s="331">
        <v>0</v>
      </c>
      <c r="K134" s="193">
        <v>0</v>
      </c>
      <c r="L134" s="193">
        <v>0</v>
      </c>
      <c r="M134" s="193">
        <v>0</v>
      </c>
      <c r="N134" s="193">
        <v>0</v>
      </c>
      <c r="O134" s="192">
        <v>0</v>
      </c>
      <c r="P134" s="193">
        <f t="shared" si="61"/>
        <v>0</v>
      </c>
      <c r="Q134" s="193">
        <v>0</v>
      </c>
      <c r="R134" s="193">
        <v>0</v>
      </c>
      <c r="S134" s="193">
        <v>0</v>
      </c>
      <c r="T134" s="192">
        <v>0</v>
      </c>
      <c r="U134" s="193">
        <v>0</v>
      </c>
      <c r="V134" s="193">
        <v>0</v>
      </c>
      <c r="W134" s="193">
        <v>0</v>
      </c>
      <c r="X134" s="193">
        <v>0</v>
      </c>
      <c r="Y134" s="192">
        <v>0</v>
      </c>
      <c r="Z134" s="193">
        <v>0</v>
      </c>
      <c r="AA134" s="193">
        <v>0</v>
      </c>
      <c r="AB134" s="193">
        <v>0</v>
      </c>
      <c r="AC134" s="193">
        <v>0</v>
      </c>
      <c r="AD134" s="196"/>
      <c r="AE134" s="196"/>
      <c r="AF134" s="196"/>
    </row>
    <row r="135" spans="1:32" s="11" customFormat="1" ht="64.900000000000006" customHeight="1" outlineLevel="1" x14ac:dyDescent="0.2">
      <c r="A135" s="207" t="s">
        <v>1124</v>
      </c>
      <c r="B135" s="206" t="s">
        <v>255</v>
      </c>
      <c r="C135" s="331">
        <f t="shared" si="59"/>
        <v>0</v>
      </c>
      <c r="D135" s="207">
        <f t="shared" si="54"/>
        <v>3481</v>
      </c>
      <c r="E135" s="170">
        <v>0</v>
      </c>
      <c r="F135" s="204">
        <f t="shared" si="60"/>
        <v>3481</v>
      </c>
      <c r="G135" s="204">
        <v>0</v>
      </c>
      <c r="H135" s="171">
        <v>3314</v>
      </c>
      <c r="I135" s="171">
        <v>167</v>
      </c>
      <c r="J135" s="331">
        <v>0</v>
      </c>
      <c r="K135" s="193">
        <v>0</v>
      </c>
      <c r="L135" s="193">
        <v>0</v>
      </c>
      <c r="M135" s="193">
        <v>0</v>
      </c>
      <c r="N135" s="193">
        <v>0</v>
      </c>
      <c r="O135" s="192">
        <v>0</v>
      </c>
      <c r="P135" s="193">
        <f t="shared" si="61"/>
        <v>0</v>
      </c>
      <c r="Q135" s="193">
        <v>0</v>
      </c>
      <c r="R135" s="193">
        <v>0</v>
      </c>
      <c r="S135" s="193">
        <v>0</v>
      </c>
      <c r="T135" s="192">
        <v>0</v>
      </c>
      <c r="U135" s="193">
        <v>0</v>
      </c>
      <c r="V135" s="193">
        <v>0</v>
      </c>
      <c r="W135" s="193">
        <v>0</v>
      </c>
      <c r="X135" s="193">
        <v>0</v>
      </c>
      <c r="Y135" s="192">
        <v>0</v>
      </c>
      <c r="Z135" s="193">
        <v>0</v>
      </c>
      <c r="AA135" s="193">
        <v>0</v>
      </c>
      <c r="AB135" s="193">
        <v>0</v>
      </c>
      <c r="AC135" s="193">
        <v>0</v>
      </c>
      <c r="AD135" s="196"/>
      <c r="AE135" s="196"/>
      <c r="AF135" s="196"/>
    </row>
    <row r="136" spans="1:32" s="11" customFormat="1" ht="37.9" customHeight="1" outlineLevel="1" x14ac:dyDescent="0.2">
      <c r="A136" s="207" t="s">
        <v>1125</v>
      </c>
      <c r="B136" s="206" t="s">
        <v>276</v>
      </c>
      <c r="C136" s="331">
        <f t="shared" si="59"/>
        <v>0</v>
      </c>
      <c r="D136" s="207">
        <f t="shared" si="54"/>
        <v>136</v>
      </c>
      <c r="E136" s="170">
        <v>0</v>
      </c>
      <c r="F136" s="204">
        <f t="shared" si="60"/>
        <v>136</v>
      </c>
      <c r="G136" s="204">
        <v>0</v>
      </c>
      <c r="H136" s="171">
        <v>130</v>
      </c>
      <c r="I136" s="171">
        <v>6</v>
      </c>
      <c r="J136" s="331">
        <v>0</v>
      </c>
      <c r="K136" s="193">
        <v>0</v>
      </c>
      <c r="L136" s="193">
        <v>0</v>
      </c>
      <c r="M136" s="193">
        <v>0</v>
      </c>
      <c r="N136" s="193">
        <v>0</v>
      </c>
      <c r="O136" s="192">
        <v>0</v>
      </c>
      <c r="P136" s="193">
        <f t="shared" si="61"/>
        <v>0</v>
      </c>
      <c r="Q136" s="193">
        <v>0</v>
      </c>
      <c r="R136" s="193">
        <v>0</v>
      </c>
      <c r="S136" s="193">
        <v>0</v>
      </c>
      <c r="T136" s="192">
        <v>0</v>
      </c>
      <c r="U136" s="193">
        <v>0</v>
      </c>
      <c r="V136" s="193">
        <v>0</v>
      </c>
      <c r="W136" s="193">
        <v>0</v>
      </c>
      <c r="X136" s="193">
        <v>0</v>
      </c>
      <c r="Y136" s="192">
        <v>0</v>
      </c>
      <c r="Z136" s="193">
        <v>0</v>
      </c>
      <c r="AA136" s="193">
        <v>0</v>
      </c>
      <c r="AB136" s="193">
        <v>0</v>
      </c>
      <c r="AC136" s="193">
        <v>0</v>
      </c>
      <c r="AD136" s="196"/>
      <c r="AE136" s="196"/>
      <c r="AF136" s="196"/>
    </row>
    <row r="137" spans="1:32" s="11" customFormat="1" ht="85.9" customHeight="1" outlineLevel="1" x14ac:dyDescent="0.2">
      <c r="A137" s="207" t="s">
        <v>1126</v>
      </c>
      <c r="B137" s="206" t="s">
        <v>256</v>
      </c>
      <c r="C137" s="331">
        <f t="shared" si="59"/>
        <v>0</v>
      </c>
      <c r="D137" s="207">
        <f t="shared" si="54"/>
        <v>310</v>
      </c>
      <c r="E137" s="170">
        <v>0</v>
      </c>
      <c r="F137" s="204">
        <f t="shared" si="60"/>
        <v>310</v>
      </c>
      <c r="G137" s="204">
        <v>0</v>
      </c>
      <c r="H137" s="171">
        <v>295</v>
      </c>
      <c r="I137" s="171">
        <v>15</v>
      </c>
      <c r="J137" s="331">
        <v>0</v>
      </c>
      <c r="K137" s="193">
        <v>0</v>
      </c>
      <c r="L137" s="193">
        <v>0</v>
      </c>
      <c r="M137" s="193">
        <v>0</v>
      </c>
      <c r="N137" s="193">
        <v>0</v>
      </c>
      <c r="O137" s="192">
        <v>0</v>
      </c>
      <c r="P137" s="193">
        <f t="shared" si="61"/>
        <v>0</v>
      </c>
      <c r="Q137" s="193">
        <v>0</v>
      </c>
      <c r="R137" s="193">
        <v>0</v>
      </c>
      <c r="S137" s="193">
        <v>0</v>
      </c>
      <c r="T137" s="192">
        <v>0</v>
      </c>
      <c r="U137" s="193">
        <v>0</v>
      </c>
      <c r="V137" s="193">
        <v>0</v>
      </c>
      <c r="W137" s="193">
        <v>0</v>
      </c>
      <c r="X137" s="193">
        <v>0</v>
      </c>
      <c r="Y137" s="192">
        <v>0</v>
      </c>
      <c r="Z137" s="193">
        <v>0</v>
      </c>
      <c r="AA137" s="193">
        <v>0</v>
      </c>
      <c r="AB137" s="193">
        <v>0</v>
      </c>
      <c r="AC137" s="193">
        <v>0</v>
      </c>
      <c r="AD137" s="196"/>
      <c r="AE137" s="196"/>
      <c r="AF137" s="196"/>
    </row>
    <row r="138" spans="1:32" s="11" customFormat="1" ht="87" customHeight="1" outlineLevel="1" x14ac:dyDescent="0.2">
      <c r="A138" s="207" t="s">
        <v>1127</v>
      </c>
      <c r="B138" s="206" t="s">
        <v>257</v>
      </c>
      <c r="C138" s="331">
        <f t="shared" si="59"/>
        <v>0</v>
      </c>
      <c r="D138" s="207">
        <f t="shared" si="54"/>
        <v>1492</v>
      </c>
      <c r="E138" s="170">
        <v>0</v>
      </c>
      <c r="F138" s="204">
        <f t="shared" si="60"/>
        <v>1492</v>
      </c>
      <c r="G138" s="204">
        <v>0</v>
      </c>
      <c r="H138" s="171">
        <v>1420</v>
      </c>
      <c r="I138" s="171">
        <v>72</v>
      </c>
      <c r="J138" s="331">
        <v>0</v>
      </c>
      <c r="K138" s="193">
        <v>0</v>
      </c>
      <c r="L138" s="193">
        <v>0</v>
      </c>
      <c r="M138" s="193">
        <v>0</v>
      </c>
      <c r="N138" s="193">
        <v>0</v>
      </c>
      <c r="O138" s="192">
        <v>0</v>
      </c>
      <c r="P138" s="193">
        <f t="shared" si="61"/>
        <v>0</v>
      </c>
      <c r="Q138" s="193">
        <v>0</v>
      </c>
      <c r="R138" s="193">
        <v>0</v>
      </c>
      <c r="S138" s="193">
        <v>0</v>
      </c>
      <c r="T138" s="192">
        <v>0</v>
      </c>
      <c r="U138" s="193">
        <v>0</v>
      </c>
      <c r="V138" s="193">
        <v>0</v>
      </c>
      <c r="W138" s="193">
        <v>0</v>
      </c>
      <c r="X138" s="193">
        <v>0</v>
      </c>
      <c r="Y138" s="192">
        <v>0</v>
      </c>
      <c r="Z138" s="193">
        <v>0</v>
      </c>
      <c r="AA138" s="193">
        <v>0</v>
      </c>
      <c r="AB138" s="193">
        <v>0</v>
      </c>
      <c r="AC138" s="193">
        <v>0</v>
      </c>
      <c r="AD138" s="196"/>
      <c r="AE138" s="196"/>
      <c r="AF138" s="196"/>
    </row>
    <row r="139" spans="1:32" s="11" customFormat="1" ht="67.900000000000006" customHeight="1" outlineLevel="1" x14ac:dyDescent="0.2">
      <c r="A139" s="207" t="s">
        <v>1128</v>
      </c>
      <c r="B139" s="206" t="s">
        <v>258</v>
      </c>
      <c r="C139" s="331">
        <f t="shared" si="59"/>
        <v>0</v>
      </c>
      <c r="D139" s="207">
        <f t="shared" si="54"/>
        <v>143</v>
      </c>
      <c r="E139" s="170">
        <v>0</v>
      </c>
      <c r="F139" s="204">
        <f t="shared" si="60"/>
        <v>143</v>
      </c>
      <c r="G139" s="204">
        <v>0</v>
      </c>
      <c r="H139" s="171">
        <v>136</v>
      </c>
      <c r="I139" s="171">
        <v>7</v>
      </c>
      <c r="J139" s="331">
        <v>0</v>
      </c>
      <c r="K139" s="193">
        <v>0</v>
      </c>
      <c r="L139" s="193">
        <v>0</v>
      </c>
      <c r="M139" s="193">
        <v>0</v>
      </c>
      <c r="N139" s="193">
        <v>0</v>
      </c>
      <c r="O139" s="192">
        <v>0</v>
      </c>
      <c r="P139" s="193">
        <f t="shared" si="61"/>
        <v>0</v>
      </c>
      <c r="Q139" s="193">
        <v>0</v>
      </c>
      <c r="R139" s="193">
        <v>0</v>
      </c>
      <c r="S139" s="193">
        <v>0</v>
      </c>
      <c r="T139" s="192">
        <v>0</v>
      </c>
      <c r="U139" s="193">
        <v>0</v>
      </c>
      <c r="V139" s="193">
        <v>0</v>
      </c>
      <c r="W139" s="193">
        <v>0</v>
      </c>
      <c r="X139" s="193">
        <v>0</v>
      </c>
      <c r="Y139" s="192">
        <v>0</v>
      </c>
      <c r="Z139" s="193">
        <v>0</v>
      </c>
      <c r="AA139" s="193">
        <v>0</v>
      </c>
      <c r="AB139" s="193">
        <v>0</v>
      </c>
      <c r="AC139" s="193">
        <v>0</v>
      </c>
      <c r="AD139" s="196"/>
      <c r="AE139" s="196"/>
      <c r="AF139" s="196"/>
    </row>
    <row r="140" spans="1:32" s="11" customFormat="1" ht="69" customHeight="1" outlineLevel="1" x14ac:dyDescent="0.2">
      <c r="A140" s="207" t="s">
        <v>1129</v>
      </c>
      <c r="B140" s="206" t="s">
        <v>259</v>
      </c>
      <c r="C140" s="331">
        <f t="shared" si="59"/>
        <v>0</v>
      </c>
      <c r="D140" s="207">
        <f t="shared" si="54"/>
        <v>442</v>
      </c>
      <c r="E140" s="170">
        <v>0</v>
      </c>
      <c r="F140" s="204">
        <f t="shared" si="60"/>
        <v>442</v>
      </c>
      <c r="G140" s="204">
        <v>0</v>
      </c>
      <c r="H140" s="171">
        <v>421</v>
      </c>
      <c r="I140" s="171">
        <v>21</v>
      </c>
      <c r="J140" s="331">
        <v>0</v>
      </c>
      <c r="K140" s="193">
        <v>0</v>
      </c>
      <c r="L140" s="193">
        <v>0</v>
      </c>
      <c r="M140" s="193">
        <v>0</v>
      </c>
      <c r="N140" s="193">
        <v>0</v>
      </c>
      <c r="O140" s="192">
        <v>0</v>
      </c>
      <c r="P140" s="193">
        <f t="shared" si="61"/>
        <v>0</v>
      </c>
      <c r="Q140" s="193">
        <v>0</v>
      </c>
      <c r="R140" s="193">
        <v>0</v>
      </c>
      <c r="S140" s="193">
        <v>0</v>
      </c>
      <c r="T140" s="192">
        <v>0</v>
      </c>
      <c r="U140" s="193">
        <v>0</v>
      </c>
      <c r="V140" s="193">
        <v>0</v>
      </c>
      <c r="W140" s="193">
        <v>0</v>
      </c>
      <c r="X140" s="193">
        <v>0</v>
      </c>
      <c r="Y140" s="192">
        <v>0</v>
      </c>
      <c r="Z140" s="193">
        <v>0</v>
      </c>
      <c r="AA140" s="193">
        <v>0</v>
      </c>
      <c r="AB140" s="193">
        <v>0</v>
      </c>
      <c r="AC140" s="193">
        <v>0</v>
      </c>
      <c r="AD140" s="196"/>
      <c r="AE140" s="196"/>
      <c r="AF140" s="196"/>
    </row>
    <row r="141" spans="1:32" s="11" customFormat="1" ht="88.15" customHeight="1" outlineLevel="1" x14ac:dyDescent="0.2">
      <c r="A141" s="207" t="s">
        <v>1130</v>
      </c>
      <c r="B141" s="206" t="s">
        <v>1073</v>
      </c>
      <c r="C141" s="331">
        <f t="shared" si="59"/>
        <v>0</v>
      </c>
      <c r="D141" s="207">
        <f t="shared" si="54"/>
        <v>435</v>
      </c>
      <c r="E141" s="170">
        <v>0</v>
      </c>
      <c r="F141" s="204">
        <f t="shared" si="60"/>
        <v>435</v>
      </c>
      <c r="G141" s="204">
        <v>0</v>
      </c>
      <c r="H141" s="171">
        <v>414</v>
      </c>
      <c r="I141" s="171">
        <v>21</v>
      </c>
      <c r="J141" s="331">
        <v>0</v>
      </c>
      <c r="K141" s="193">
        <v>0</v>
      </c>
      <c r="L141" s="193">
        <v>0</v>
      </c>
      <c r="M141" s="193">
        <v>0</v>
      </c>
      <c r="N141" s="193">
        <v>0</v>
      </c>
      <c r="O141" s="192">
        <v>0</v>
      </c>
      <c r="P141" s="193">
        <f t="shared" si="61"/>
        <v>0</v>
      </c>
      <c r="Q141" s="193">
        <v>0</v>
      </c>
      <c r="R141" s="193">
        <v>0</v>
      </c>
      <c r="S141" s="193">
        <v>0</v>
      </c>
      <c r="T141" s="192">
        <v>0</v>
      </c>
      <c r="U141" s="193">
        <v>0</v>
      </c>
      <c r="V141" s="193">
        <v>0</v>
      </c>
      <c r="W141" s="193">
        <v>0</v>
      </c>
      <c r="X141" s="193">
        <v>0</v>
      </c>
      <c r="Y141" s="192">
        <v>0</v>
      </c>
      <c r="Z141" s="193">
        <v>0</v>
      </c>
      <c r="AA141" s="193">
        <v>0</v>
      </c>
      <c r="AB141" s="193">
        <v>0</v>
      </c>
      <c r="AC141" s="193">
        <v>0</v>
      </c>
      <c r="AD141" s="196"/>
      <c r="AE141" s="196"/>
      <c r="AF141" s="196"/>
    </row>
    <row r="142" spans="1:32" s="11" customFormat="1" ht="90" customHeight="1" outlineLevel="1" x14ac:dyDescent="0.2">
      <c r="A142" s="207" t="s">
        <v>1131</v>
      </c>
      <c r="B142" s="206" t="s">
        <v>260</v>
      </c>
      <c r="C142" s="331">
        <f t="shared" si="59"/>
        <v>0</v>
      </c>
      <c r="D142" s="207">
        <f t="shared" si="54"/>
        <v>269</v>
      </c>
      <c r="E142" s="170">
        <v>0</v>
      </c>
      <c r="F142" s="204">
        <f t="shared" si="60"/>
        <v>269</v>
      </c>
      <c r="G142" s="204">
        <v>0</v>
      </c>
      <c r="H142" s="171">
        <v>256</v>
      </c>
      <c r="I142" s="171">
        <v>13</v>
      </c>
      <c r="J142" s="331">
        <v>0</v>
      </c>
      <c r="K142" s="193">
        <v>0</v>
      </c>
      <c r="L142" s="193">
        <v>0</v>
      </c>
      <c r="M142" s="193">
        <v>0</v>
      </c>
      <c r="N142" s="193">
        <v>0</v>
      </c>
      <c r="O142" s="192">
        <v>0</v>
      </c>
      <c r="P142" s="193">
        <f t="shared" si="61"/>
        <v>0</v>
      </c>
      <c r="Q142" s="193">
        <v>0</v>
      </c>
      <c r="R142" s="193">
        <v>0</v>
      </c>
      <c r="S142" s="193">
        <v>0</v>
      </c>
      <c r="T142" s="192">
        <v>0</v>
      </c>
      <c r="U142" s="193">
        <v>0</v>
      </c>
      <c r="V142" s="193">
        <v>0</v>
      </c>
      <c r="W142" s="193">
        <v>0</v>
      </c>
      <c r="X142" s="193">
        <v>0</v>
      </c>
      <c r="Y142" s="192">
        <v>0</v>
      </c>
      <c r="Z142" s="193">
        <v>0</v>
      </c>
      <c r="AA142" s="193">
        <v>0</v>
      </c>
      <c r="AB142" s="193">
        <v>0</v>
      </c>
      <c r="AC142" s="193">
        <v>0</v>
      </c>
      <c r="AD142" s="196"/>
      <c r="AE142" s="196"/>
      <c r="AF142" s="196"/>
    </row>
    <row r="143" spans="1:32" s="11" customFormat="1" ht="49.9" customHeight="1" outlineLevel="1" x14ac:dyDescent="0.2">
      <c r="A143" s="207" t="s">
        <v>1132</v>
      </c>
      <c r="B143" s="206" t="s">
        <v>261</v>
      </c>
      <c r="C143" s="331">
        <f t="shared" si="59"/>
        <v>0</v>
      </c>
      <c r="D143" s="207">
        <f t="shared" si="54"/>
        <v>207</v>
      </c>
      <c r="E143" s="170">
        <v>0</v>
      </c>
      <c r="F143" s="204">
        <f t="shared" si="60"/>
        <v>207</v>
      </c>
      <c r="G143" s="204">
        <v>0</v>
      </c>
      <c r="H143" s="171">
        <v>197</v>
      </c>
      <c r="I143" s="171">
        <v>10</v>
      </c>
      <c r="J143" s="331">
        <v>0</v>
      </c>
      <c r="K143" s="193">
        <v>0</v>
      </c>
      <c r="L143" s="193">
        <v>0</v>
      </c>
      <c r="M143" s="193">
        <v>0</v>
      </c>
      <c r="N143" s="193">
        <v>0</v>
      </c>
      <c r="O143" s="192">
        <v>0</v>
      </c>
      <c r="P143" s="193">
        <f t="shared" si="61"/>
        <v>0</v>
      </c>
      <c r="Q143" s="193">
        <v>0</v>
      </c>
      <c r="R143" s="193">
        <v>0</v>
      </c>
      <c r="S143" s="193">
        <v>0</v>
      </c>
      <c r="T143" s="192">
        <v>0</v>
      </c>
      <c r="U143" s="193">
        <v>0</v>
      </c>
      <c r="V143" s="193">
        <v>0</v>
      </c>
      <c r="W143" s="193">
        <v>0</v>
      </c>
      <c r="X143" s="193">
        <v>0</v>
      </c>
      <c r="Y143" s="192">
        <v>0</v>
      </c>
      <c r="Z143" s="193">
        <v>0</v>
      </c>
      <c r="AA143" s="193">
        <v>0</v>
      </c>
      <c r="AB143" s="193">
        <v>0</v>
      </c>
      <c r="AC143" s="193">
        <v>0</v>
      </c>
      <c r="AD143" s="196"/>
      <c r="AE143" s="196"/>
      <c r="AF143" s="196"/>
    </row>
    <row r="144" spans="1:32" s="11" customFormat="1" ht="69" customHeight="1" outlineLevel="1" x14ac:dyDescent="0.2">
      <c r="A144" s="207" t="s">
        <v>1133</v>
      </c>
      <c r="B144" s="206" t="s">
        <v>262</v>
      </c>
      <c r="C144" s="331">
        <f t="shared" si="59"/>
        <v>0</v>
      </c>
      <c r="D144" s="207">
        <f t="shared" si="54"/>
        <v>276</v>
      </c>
      <c r="E144" s="170">
        <v>0</v>
      </c>
      <c r="F144" s="204">
        <f t="shared" si="60"/>
        <v>276</v>
      </c>
      <c r="G144" s="204">
        <v>0</v>
      </c>
      <c r="H144" s="171">
        <v>263</v>
      </c>
      <c r="I144" s="171">
        <v>13</v>
      </c>
      <c r="J144" s="331">
        <v>0</v>
      </c>
      <c r="K144" s="193">
        <v>0</v>
      </c>
      <c r="L144" s="193">
        <v>0</v>
      </c>
      <c r="M144" s="193">
        <v>0</v>
      </c>
      <c r="N144" s="193">
        <v>0</v>
      </c>
      <c r="O144" s="192">
        <v>0</v>
      </c>
      <c r="P144" s="193">
        <f t="shared" si="61"/>
        <v>0</v>
      </c>
      <c r="Q144" s="193">
        <v>0</v>
      </c>
      <c r="R144" s="193">
        <v>0</v>
      </c>
      <c r="S144" s="193">
        <v>0</v>
      </c>
      <c r="T144" s="192">
        <v>0</v>
      </c>
      <c r="U144" s="193">
        <v>0</v>
      </c>
      <c r="V144" s="193">
        <v>0</v>
      </c>
      <c r="W144" s="193">
        <v>0</v>
      </c>
      <c r="X144" s="193">
        <v>0</v>
      </c>
      <c r="Y144" s="192">
        <v>0</v>
      </c>
      <c r="Z144" s="193">
        <v>0</v>
      </c>
      <c r="AA144" s="193">
        <v>0</v>
      </c>
      <c r="AB144" s="193">
        <v>0</v>
      </c>
      <c r="AC144" s="193">
        <v>0</v>
      </c>
      <c r="AD144" s="196"/>
      <c r="AE144" s="196"/>
      <c r="AF144" s="196"/>
    </row>
    <row r="145" spans="1:32" s="11" customFormat="1" ht="55.9" customHeight="1" outlineLevel="1" x14ac:dyDescent="0.2">
      <c r="A145" s="207" t="s">
        <v>1134</v>
      </c>
      <c r="B145" s="206" t="s">
        <v>263</v>
      </c>
      <c r="C145" s="331">
        <f t="shared" si="59"/>
        <v>0</v>
      </c>
      <c r="D145" s="207">
        <f t="shared" si="54"/>
        <v>1603</v>
      </c>
      <c r="E145" s="170">
        <v>0</v>
      </c>
      <c r="F145" s="204">
        <f t="shared" si="60"/>
        <v>1603</v>
      </c>
      <c r="G145" s="204">
        <v>0</v>
      </c>
      <c r="H145" s="171">
        <v>1526</v>
      </c>
      <c r="I145" s="171">
        <v>77</v>
      </c>
      <c r="J145" s="331">
        <v>0</v>
      </c>
      <c r="K145" s="193">
        <v>0</v>
      </c>
      <c r="L145" s="193">
        <v>0</v>
      </c>
      <c r="M145" s="193">
        <v>0</v>
      </c>
      <c r="N145" s="193">
        <v>0</v>
      </c>
      <c r="O145" s="192">
        <v>0</v>
      </c>
      <c r="P145" s="193">
        <f t="shared" si="61"/>
        <v>0</v>
      </c>
      <c r="Q145" s="193">
        <v>0</v>
      </c>
      <c r="R145" s="193">
        <v>0</v>
      </c>
      <c r="S145" s="193">
        <v>0</v>
      </c>
      <c r="T145" s="192">
        <v>0</v>
      </c>
      <c r="U145" s="193">
        <v>0</v>
      </c>
      <c r="V145" s="193">
        <v>0</v>
      </c>
      <c r="W145" s="193">
        <v>0</v>
      </c>
      <c r="X145" s="193">
        <v>0</v>
      </c>
      <c r="Y145" s="192">
        <v>0</v>
      </c>
      <c r="Z145" s="193">
        <v>0</v>
      </c>
      <c r="AA145" s="193">
        <v>0</v>
      </c>
      <c r="AB145" s="193">
        <v>0</v>
      </c>
      <c r="AC145" s="193">
        <v>0</v>
      </c>
      <c r="AD145" s="196"/>
      <c r="AE145" s="196"/>
      <c r="AF145" s="196"/>
    </row>
    <row r="146" spans="1:32" s="11" customFormat="1" ht="42" customHeight="1" outlineLevel="1" x14ac:dyDescent="0.2">
      <c r="A146" s="207" t="s">
        <v>1135</v>
      </c>
      <c r="B146" s="206" t="s">
        <v>264</v>
      </c>
      <c r="C146" s="331">
        <f t="shared" si="59"/>
        <v>0</v>
      </c>
      <c r="D146" s="207">
        <f t="shared" si="54"/>
        <v>3493</v>
      </c>
      <c r="E146" s="170">
        <v>0</v>
      </c>
      <c r="F146" s="204">
        <f t="shared" si="60"/>
        <v>3493</v>
      </c>
      <c r="G146" s="204">
        <v>0</v>
      </c>
      <c r="H146" s="171">
        <v>3325</v>
      </c>
      <c r="I146" s="171">
        <v>168</v>
      </c>
      <c r="J146" s="331">
        <v>0</v>
      </c>
      <c r="K146" s="193">
        <v>0</v>
      </c>
      <c r="L146" s="193">
        <v>0</v>
      </c>
      <c r="M146" s="193">
        <v>0</v>
      </c>
      <c r="N146" s="193">
        <v>0</v>
      </c>
      <c r="O146" s="192">
        <v>0</v>
      </c>
      <c r="P146" s="193">
        <f t="shared" si="61"/>
        <v>0</v>
      </c>
      <c r="Q146" s="193">
        <v>0</v>
      </c>
      <c r="R146" s="193">
        <v>0</v>
      </c>
      <c r="S146" s="193">
        <v>0</v>
      </c>
      <c r="T146" s="192">
        <v>0</v>
      </c>
      <c r="U146" s="193">
        <v>0</v>
      </c>
      <c r="V146" s="193">
        <v>0</v>
      </c>
      <c r="W146" s="193">
        <v>0</v>
      </c>
      <c r="X146" s="193">
        <v>0</v>
      </c>
      <c r="Y146" s="192">
        <v>0</v>
      </c>
      <c r="Z146" s="193">
        <v>0</v>
      </c>
      <c r="AA146" s="193">
        <v>0</v>
      </c>
      <c r="AB146" s="193">
        <v>0</v>
      </c>
      <c r="AC146" s="193">
        <v>0</v>
      </c>
      <c r="AD146" s="196"/>
      <c r="AE146" s="196"/>
      <c r="AF146" s="196"/>
    </row>
    <row r="147" spans="1:32" s="11" customFormat="1" ht="82.9" customHeight="1" outlineLevel="1" x14ac:dyDescent="0.2">
      <c r="A147" s="207" t="s">
        <v>1136</v>
      </c>
      <c r="B147" s="206" t="s">
        <v>342</v>
      </c>
      <c r="C147" s="331">
        <f t="shared" si="59"/>
        <v>0</v>
      </c>
      <c r="D147" s="207">
        <f t="shared" si="54"/>
        <v>413</v>
      </c>
      <c r="E147" s="170">
        <v>0</v>
      </c>
      <c r="F147" s="204">
        <f t="shared" si="60"/>
        <v>413</v>
      </c>
      <c r="G147" s="204">
        <v>0</v>
      </c>
      <c r="H147" s="171">
        <v>393</v>
      </c>
      <c r="I147" s="171">
        <v>20</v>
      </c>
      <c r="J147" s="331">
        <v>0</v>
      </c>
      <c r="K147" s="193">
        <v>0</v>
      </c>
      <c r="L147" s="193">
        <v>0</v>
      </c>
      <c r="M147" s="193">
        <v>0</v>
      </c>
      <c r="N147" s="193">
        <v>0</v>
      </c>
      <c r="O147" s="192">
        <v>0</v>
      </c>
      <c r="P147" s="193">
        <f t="shared" si="61"/>
        <v>0</v>
      </c>
      <c r="Q147" s="193">
        <v>0</v>
      </c>
      <c r="R147" s="193">
        <v>0</v>
      </c>
      <c r="S147" s="193">
        <v>0</v>
      </c>
      <c r="T147" s="192">
        <v>0</v>
      </c>
      <c r="U147" s="193">
        <v>0</v>
      </c>
      <c r="V147" s="193">
        <v>0</v>
      </c>
      <c r="W147" s="193">
        <v>0</v>
      </c>
      <c r="X147" s="193">
        <v>0</v>
      </c>
      <c r="Y147" s="192">
        <v>0</v>
      </c>
      <c r="Z147" s="193">
        <v>0</v>
      </c>
      <c r="AA147" s="193">
        <v>0</v>
      </c>
      <c r="AB147" s="193">
        <v>0</v>
      </c>
      <c r="AC147" s="193">
        <v>0</v>
      </c>
      <c r="AD147" s="196"/>
      <c r="AE147" s="196"/>
      <c r="AF147" s="196"/>
    </row>
    <row r="148" spans="1:32" s="11" customFormat="1" ht="84" customHeight="1" outlineLevel="1" x14ac:dyDescent="0.2">
      <c r="A148" s="207" t="s">
        <v>1137</v>
      </c>
      <c r="B148" s="206" t="s">
        <v>265</v>
      </c>
      <c r="C148" s="331">
        <f t="shared" si="59"/>
        <v>0</v>
      </c>
      <c r="D148" s="207">
        <f t="shared" si="54"/>
        <v>1112</v>
      </c>
      <c r="E148" s="170">
        <v>0</v>
      </c>
      <c r="F148" s="204">
        <f t="shared" si="60"/>
        <v>1112</v>
      </c>
      <c r="G148" s="204">
        <v>0</v>
      </c>
      <c r="H148" s="171">
        <v>1059</v>
      </c>
      <c r="I148" s="171">
        <v>53</v>
      </c>
      <c r="J148" s="331">
        <v>0</v>
      </c>
      <c r="K148" s="193">
        <v>0</v>
      </c>
      <c r="L148" s="193">
        <v>0</v>
      </c>
      <c r="M148" s="193">
        <v>0</v>
      </c>
      <c r="N148" s="193">
        <v>0</v>
      </c>
      <c r="O148" s="192">
        <v>0</v>
      </c>
      <c r="P148" s="193">
        <f t="shared" si="61"/>
        <v>0</v>
      </c>
      <c r="Q148" s="193">
        <v>0</v>
      </c>
      <c r="R148" s="193">
        <v>0</v>
      </c>
      <c r="S148" s="193">
        <v>0</v>
      </c>
      <c r="T148" s="192">
        <v>0</v>
      </c>
      <c r="U148" s="193">
        <v>0</v>
      </c>
      <c r="V148" s="193">
        <v>0</v>
      </c>
      <c r="W148" s="193">
        <v>0</v>
      </c>
      <c r="X148" s="193">
        <v>0</v>
      </c>
      <c r="Y148" s="192">
        <v>0</v>
      </c>
      <c r="Z148" s="193">
        <v>0</v>
      </c>
      <c r="AA148" s="193">
        <v>0</v>
      </c>
      <c r="AB148" s="193">
        <v>0</v>
      </c>
      <c r="AC148" s="193">
        <v>0</v>
      </c>
      <c r="AD148" s="196"/>
      <c r="AE148" s="196"/>
      <c r="AF148" s="196"/>
    </row>
    <row r="149" spans="1:32" s="11" customFormat="1" ht="67.900000000000006" customHeight="1" outlineLevel="1" x14ac:dyDescent="0.2">
      <c r="A149" s="207" t="s">
        <v>1138</v>
      </c>
      <c r="B149" s="206" t="s">
        <v>635</v>
      </c>
      <c r="C149" s="331">
        <f t="shared" si="59"/>
        <v>0</v>
      </c>
      <c r="D149" s="207">
        <f t="shared" si="54"/>
        <v>340</v>
      </c>
      <c r="E149" s="170">
        <v>0</v>
      </c>
      <c r="F149" s="204">
        <f t="shared" si="60"/>
        <v>340</v>
      </c>
      <c r="G149" s="204">
        <v>0</v>
      </c>
      <c r="H149" s="171">
        <v>324</v>
      </c>
      <c r="I149" s="171">
        <v>16</v>
      </c>
      <c r="J149" s="331">
        <v>0</v>
      </c>
      <c r="K149" s="193">
        <v>0</v>
      </c>
      <c r="L149" s="193">
        <v>0</v>
      </c>
      <c r="M149" s="193">
        <v>0</v>
      </c>
      <c r="N149" s="193">
        <v>0</v>
      </c>
      <c r="O149" s="192">
        <v>0</v>
      </c>
      <c r="P149" s="193">
        <f t="shared" si="61"/>
        <v>0</v>
      </c>
      <c r="Q149" s="193">
        <v>0</v>
      </c>
      <c r="R149" s="193">
        <v>0</v>
      </c>
      <c r="S149" s="193">
        <v>0</v>
      </c>
      <c r="T149" s="192">
        <v>0</v>
      </c>
      <c r="U149" s="193">
        <v>0</v>
      </c>
      <c r="V149" s="193">
        <v>0</v>
      </c>
      <c r="W149" s="193">
        <v>0</v>
      </c>
      <c r="X149" s="193">
        <v>0</v>
      </c>
      <c r="Y149" s="192">
        <v>0</v>
      </c>
      <c r="Z149" s="193">
        <v>0</v>
      </c>
      <c r="AA149" s="193">
        <v>0</v>
      </c>
      <c r="AB149" s="193">
        <v>0</v>
      </c>
      <c r="AC149" s="193">
        <v>0</v>
      </c>
      <c r="AD149" s="196"/>
      <c r="AE149" s="196"/>
      <c r="AF149" s="196"/>
    </row>
    <row r="150" spans="1:32" s="11" customFormat="1" ht="76.900000000000006" customHeight="1" outlineLevel="1" x14ac:dyDescent="0.2">
      <c r="A150" s="207" t="s">
        <v>1139</v>
      </c>
      <c r="B150" s="206" t="s">
        <v>266</v>
      </c>
      <c r="C150" s="331">
        <f t="shared" si="59"/>
        <v>0</v>
      </c>
      <c r="D150" s="207">
        <f t="shared" si="54"/>
        <v>1050</v>
      </c>
      <c r="E150" s="170">
        <v>0</v>
      </c>
      <c r="F150" s="204">
        <f t="shared" si="60"/>
        <v>1050</v>
      </c>
      <c r="G150" s="204">
        <v>0</v>
      </c>
      <c r="H150" s="171">
        <v>1000</v>
      </c>
      <c r="I150" s="171">
        <v>50</v>
      </c>
      <c r="J150" s="331">
        <v>0</v>
      </c>
      <c r="K150" s="193">
        <v>0</v>
      </c>
      <c r="L150" s="193">
        <v>0</v>
      </c>
      <c r="M150" s="193">
        <v>0</v>
      </c>
      <c r="N150" s="193">
        <v>0</v>
      </c>
      <c r="O150" s="192">
        <v>0</v>
      </c>
      <c r="P150" s="193">
        <f t="shared" si="61"/>
        <v>0</v>
      </c>
      <c r="Q150" s="193">
        <v>0</v>
      </c>
      <c r="R150" s="193">
        <v>0</v>
      </c>
      <c r="S150" s="193">
        <v>0</v>
      </c>
      <c r="T150" s="192">
        <v>0</v>
      </c>
      <c r="U150" s="193">
        <v>0</v>
      </c>
      <c r="V150" s="193">
        <v>0</v>
      </c>
      <c r="W150" s="193">
        <v>0</v>
      </c>
      <c r="X150" s="193">
        <v>0</v>
      </c>
      <c r="Y150" s="192">
        <v>0</v>
      </c>
      <c r="Z150" s="193">
        <v>0</v>
      </c>
      <c r="AA150" s="193">
        <v>0</v>
      </c>
      <c r="AB150" s="193">
        <v>0</v>
      </c>
      <c r="AC150" s="193">
        <v>0</v>
      </c>
      <c r="AD150" s="196"/>
      <c r="AE150" s="196"/>
      <c r="AF150" s="196"/>
    </row>
    <row r="151" spans="1:32" s="11" customFormat="1" ht="60" customHeight="1" outlineLevel="1" x14ac:dyDescent="0.2">
      <c r="A151" s="207" t="s">
        <v>1140</v>
      </c>
      <c r="B151" s="206" t="s">
        <v>636</v>
      </c>
      <c r="C151" s="331">
        <f t="shared" si="59"/>
        <v>0</v>
      </c>
      <c r="D151" s="207">
        <f t="shared" si="54"/>
        <v>452</v>
      </c>
      <c r="E151" s="170">
        <v>0</v>
      </c>
      <c r="F151" s="204">
        <f t="shared" si="60"/>
        <v>452</v>
      </c>
      <c r="G151" s="204">
        <v>0</v>
      </c>
      <c r="H151" s="171">
        <v>430</v>
      </c>
      <c r="I151" s="171">
        <v>22</v>
      </c>
      <c r="J151" s="331">
        <v>0</v>
      </c>
      <c r="K151" s="193">
        <v>0</v>
      </c>
      <c r="L151" s="193">
        <v>0</v>
      </c>
      <c r="M151" s="193">
        <v>0</v>
      </c>
      <c r="N151" s="193">
        <v>0</v>
      </c>
      <c r="O151" s="192">
        <v>0</v>
      </c>
      <c r="P151" s="193">
        <f t="shared" si="61"/>
        <v>0</v>
      </c>
      <c r="Q151" s="193">
        <v>0</v>
      </c>
      <c r="R151" s="193">
        <v>0</v>
      </c>
      <c r="S151" s="193">
        <v>0</v>
      </c>
      <c r="T151" s="192">
        <v>0</v>
      </c>
      <c r="U151" s="193">
        <v>0</v>
      </c>
      <c r="V151" s="193">
        <v>0</v>
      </c>
      <c r="W151" s="193">
        <v>0</v>
      </c>
      <c r="X151" s="193">
        <v>0</v>
      </c>
      <c r="Y151" s="192">
        <v>0</v>
      </c>
      <c r="Z151" s="193">
        <v>0</v>
      </c>
      <c r="AA151" s="193">
        <v>0</v>
      </c>
      <c r="AB151" s="193">
        <v>0</v>
      </c>
      <c r="AC151" s="193">
        <v>0</v>
      </c>
      <c r="AD151" s="196"/>
      <c r="AE151" s="196"/>
      <c r="AF151" s="196"/>
    </row>
    <row r="152" spans="1:32" s="11" customFormat="1" ht="63" customHeight="1" outlineLevel="1" x14ac:dyDescent="0.2">
      <c r="A152" s="207" t="s">
        <v>1141</v>
      </c>
      <c r="B152" s="206" t="s">
        <v>637</v>
      </c>
      <c r="C152" s="331">
        <f t="shared" si="59"/>
        <v>0</v>
      </c>
      <c r="D152" s="207">
        <f t="shared" si="54"/>
        <v>697</v>
      </c>
      <c r="E152" s="170">
        <v>0</v>
      </c>
      <c r="F152" s="204">
        <f t="shared" si="60"/>
        <v>697</v>
      </c>
      <c r="G152" s="204">
        <v>0</v>
      </c>
      <c r="H152" s="171">
        <v>664</v>
      </c>
      <c r="I152" s="171">
        <v>33</v>
      </c>
      <c r="J152" s="331">
        <v>0</v>
      </c>
      <c r="K152" s="193">
        <v>0</v>
      </c>
      <c r="L152" s="193">
        <v>0</v>
      </c>
      <c r="M152" s="193">
        <v>0</v>
      </c>
      <c r="N152" s="193">
        <v>0</v>
      </c>
      <c r="O152" s="192">
        <v>0</v>
      </c>
      <c r="P152" s="193">
        <f t="shared" si="61"/>
        <v>0</v>
      </c>
      <c r="Q152" s="193">
        <v>0</v>
      </c>
      <c r="R152" s="193">
        <v>0</v>
      </c>
      <c r="S152" s="193">
        <v>0</v>
      </c>
      <c r="T152" s="192">
        <v>0</v>
      </c>
      <c r="U152" s="193">
        <v>0</v>
      </c>
      <c r="V152" s="193">
        <v>0</v>
      </c>
      <c r="W152" s="193">
        <v>0</v>
      </c>
      <c r="X152" s="193">
        <v>0</v>
      </c>
      <c r="Y152" s="192">
        <v>0</v>
      </c>
      <c r="Z152" s="193">
        <v>0</v>
      </c>
      <c r="AA152" s="193">
        <v>0</v>
      </c>
      <c r="AB152" s="193">
        <v>0</v>
      </c>
      <c r="AC152" s="193">
        <v>0</v>
      </c>
      <c r="AD152" s="196"/>
      <c r="AE152" s="196"/>
      <c r="AF152" s="196"/>
    </row>
    <row r="153" spans="1:32" s="11" customFormat="1" ht="91.9" customHeight="1" outlineLevel="1" x14ac:dyDescent="0.2">
      <c r="A153" s="207" t="s">
        <v>1142</v>
      </c>
      <c r="B153" s="206" t="s">
        <v>336</v>
      </c>
      <c r="C153" s="331">
        <f t="shared" si="59"/>
        <v>0</v>
      </c>
      <c r="D153" s="207">
        <f t="shared" si="54"/>
        <v>461</v>
      </c>
      <c r="E153" s="170">
        <v>0</v>
      </c>
      <c r="F153" s="204">
        <f t="shared" si="60"/>
        <v>461</v>
      </c>
      <c r="G153" s="204">
        <v>0</v>
      </c>
      <c r="H153" s="171">
        <v>439</v>
      </c>
      <c r="I153" s="171">
        <v>22</v>
      </c>
      <c r="J153" s="331">
        <v>0</v>
      </c>
      <c r="K153" s="193">
        <v>0</v>
      </c>
      <c r="L153" s="193">
        <v>0</v>
      </c>
      <c r="M153" s="193">
        <v>0</v>
      </c>
      <c r="N153" s="193">
        <v>0</v>
      </c>
      <c r="O153" s="192">
        <v>0</v>
      </c>
      <c r="P153" s="193">
        <f t="shared" si="61"/>
        <v>0</v>
      </c>
      <c r="Q153" s="193">
        <v>0</v>
      </c>
      <c r="R153" s="193">
        <v>0</v>
      </c>
      <c r="S153" s="193">
        <v>0</v>
      </c>
      <c r="T153" s="192">
        <v>0</v>
      </c>
      <c r="U153" s="193">
        <v>0</v>
      </c>
      <c r="V153" s="193">
        <v>0</v>
      </c>
      <c r="W153" s="193">
        <v>0</v>
      </c>
      <c r="X153" s="193">
        <v>0</v>
      </c>
      <c r="Y153" s="192">
        <v>0</v>
      </c>
      <c r="Z153" s="193">
        <v>0</v>
      </c>
      <c r="AA153" s="193">
        <v>0</v>
      </c>
      <c r="AB153" s="193">
        <v>0</v>
      </c>
      <c r="AC153" s="193">
        <v>0</v>
      </c>
      <c r="AD153" s="196"/>
      <c r="AE153" s="196"/>
      <c r="AF153" s="196"/>
    </row>
    <row r="154" spans="1:32" s="11" customFormat="1" ht="54.75" customHeight="1" outlineLevel="1" x14ac:dyDescent="0.2">
      <c r="A154" s="207" t="s">
        <v>1143</v>
      </c>
      <c r="B154" s="206" t="s">
        <v>337</v>
      </c>
      <c r="C154" s="331">
        <f t="shared" si="59"/>
        <v>0</v>
      </c>
      <c r="D154" s="207">
        <f t="shared" si="54"/>
        <v>286</v>
      </c>
      <c r="E154" s="170">
        <v>0</v>
      </c>
      <c r="F154" s="204">
        <f t="shared" si="60"/>
        <v>286</v>
      </c>
      <c r="G154" s="204">
        <v>0</v>
      </c>
      <c r="H154" s="171">
        <v>272</v>
      </c>
      <c r="I154" s="171">
        <v>14</v>
      </c>
      <c r="J154" s="331">
        <v>0</v>
      </c>
      <c r="K154" s="193">
        <v>0</v>
      </c>
      <c r="L154" s="193">
        <v>0</v>
      </c>
      <c r="M154" s="193">
        <v>0</v>
      </c>
      <c r="N154" s="193">
        <v>0</v>
      </c>
      <c r="O154" s="192">
        <v>0</v>
      </c>
      <c r="P154" s="193">
        <f t="shared" si="61"/>
        <v>0</v>
      </c>
      <c r="Q154" s="193">
        <v>0</v>
      </c>
      <c r="R154" s="193">
        <v>0</v>
      </c>
      <c r="S154" s="193">
        <v>0</v>
      </c>
      <c r="T154" s="192">
        <v>0</v>
      </c>
      <c r="U154" s="193">
        <v>0</v>
      </c>
      <c r="V154" s="193">
        <v>0</v>
      </c>
      <c r="W154" s="193">
        <v>0</v>
      </c>
      <c r="X154" s="193">
        <v>0</v>
      </c>
      <c r="Y154" s="192">
        <v>0</v>
      </c>
      <c r="Z154" s="193">
        <v>0</v>
      </c>
      <c r="AA154" s="193">
        <v>0</v>
      </c>
      <c r="AB154" s="193">
        <v>0</v>
      </c>
      <c r="AC154" s="193">
        <v>0</v>
      </c>
      <c r="AD154" s="196"/>
      <c r="AE154" s="196"/>
      <c r="AF154" s="196"/>
    </row>
    <row r="155" spans="1:32" s="11" customFormat="1" ht="99" customHeight="1" outlineLevel="1" x14ac:dyDescent="0.2">
      <c r="A155" s="207" t="s">
        <v>1144</v>
      </c>
      <c r="B155" s="206" t="s">
        <v>338</v>
      </c>
      <c r="C155" s="331">
        <f t="shared" si="59"/>
        <v>0</v>
      </c>
      <c r="D155" s="207">
        <f t="shared" si="54"/>
        <v>1349</v>
      </c>
      <c r="E155" s="170">
        <v>0</v>
      </c>
      <c r="F155" s="204">
        <f t="shared" si="60"/>
        <v>1349</v>
      </c>
      <c r="G155" s="204">
        <v>0</v>
      </c>
      <c r="H155" s="171">
        <v>1284</v>
      </c>
      <c r="I155" s="171">
        <v>65</v>
      </c>
      <c r="J155" s="331">
        <v>0</v>
      </c>
      <c r="K155" s="193">
        <v>0</v>
      </c>
      <c r="L155" s="193">
        <v>0</v>
      </c>
      <c r="M155" s="193">
        <v>0</v>
      </c>
      <c r="N155" s="193">
        <v>0</v>
      </c>
      <c r="O155" s="192">
        <v>0</v>
      </c>
      <c r="P155" s="193">
        <f t="shared" si="61"/>
        <v>0</v>
      </c>
      <c r="Q155" s="193">
        <v>0</v>
      </c>
      <c r="R155" s="193">
        <v>0</v>
      </c>
      <c r="S155" s="193">
        <v>0</v>
      </c>
      <c r="T155" s="192">
        <v>0</v>
      </c>
      <c r="U155" s="193">
        <v>0</v>
      </c>
      <c r="V155" s="193">
        <v>0</v>
      </c>
      <c r="W155" s="193">
        <v>0</v>
      </c>
      <c r="X155" s="193">
        <v>0</v>
      </c>
      <c r="Y155" s="192">
        <v>0</v>
      </c>
      <c r="Z155" s="193">
        <v>0</v>
      </c>
      <c r="AA155" s="193">
        <v>0</v>
      </c>
      <c r="AB155" s="193">
        <v>0</v>
      </c>
      <c r="AC155" s="193">
        <v>0</v>
      </c>
      <c r="AD155" s="196"/>
      <c r="AE155" s="196"/>
      <c r="AF155" s="196"/>
    </row>
    <row r="156" spans="1:32" s="11" customFormat="1" ht="69" customHeight="1" outlineLevel="1" x14ac:dyDescent="0.2">
      <c r="A156" s="207" t="s">
        <v>1145</v>
      </c>
      <c r="B156" s="206" t="s">
        <v>267</v>
      </c>
      <c r="C156" s="331">
        <f t="shared" si="59"/>
        <v>0</v>
      </c>
      <c r="D156" s="207">
        <f t="shared" si="54"/>
        <v>142</v>
      </c>
      <c r="E156" s="170">
        <v>0</v>
      </c>
      <c r="F156" s="204">
        <f t="shared" si="60"/>
        <v>142</v>
      </c>
      <c r="G156" s="204">
        <v>0</v>
      </c>
      <c r="H156" s="171">
        <v>135</v>
      </c>
      <c r="I156" s="171">
        <v>7</v>
      </c>
      <c r="J156" s="331">
        <v>0</v>
      </c>
      <c r="K156" s="193">
        <v>0</v>
      </c>
      <c r="L156" s="193">
        <v>0</v>
      </c>
      <c r="M156" s="193">
        <v>0</v>
      </c>
      <c r="N156" s="193">
        <v>0</v>
      </c>
      <c r="O156" s="192">
        <v>0</v>
      </c>
      <c r="P156" s="193">
        <f t="shared" si="61"/>
        <v>0</v>
      </c>
      <c r="Q156" s="193">
        <v>0</v>
      </c>
      <c r="R156" s="193">
        <v>0</v>
      </c>
      <c r="S156" s="193">
        <v>0</v>
      </c>
      <c r="T156" s="192">
        <v>0</v>
      </c>
      <c r="U156" s="193">
        <v>0</v>
      </c>
      <c r="V156" s="193">
        <v>0</v>
      </c>
      <c r="W156" s="193">
        <v>0</v>
      </c>
      <c r="X156" s="193">
        <v>0</v>
      </c>
      <c r="Y156" s="192">
        <v>0</v>
      </c>
      <c r="Z156" s="193">
        <v>0</v>
      </c>
      <c r="AA156" s="193">
        <v>0</v>
      </c>
      <c r="AB156" s="193">
        <v>0</v>
      </c>
      <c r="AC156" s="193">
        <v>0</v>
      </c>
      <c r="AD156" s="196"/>
      <c r="AE156" s="196"/>
      <c r="AF156" s="196"/>
    </row>
    <row r="157" spans="1:32" s="11" customFormat="1" ht="76.900000000000006" customHeight="1" outlineLevel="1" x14ac:dyDescent="0.2">
      <c r="A157" s="207" t="s">
        <v>1146</v>
      </c>
      <c r="B157" s="206" t="s">
        <v>638</v>
      </c>
      <c r="C157" s="331">
        <f t="shared" si="59"/>
        <v>0</v>
      </c>
      <c r="D157" s="207">
        <f t="shared" si="54"/>
        <v>3782</v>
      </c>
      <c r="E157" s="170">
        <v>0</v>
      </c>
      <c r="F157" s="204">
        <f>G157+H157+I157</f>
        <v>3782</v>
      </c>
      <c r="G157" s="204">
        <v>0</v>
      </c>
      <c r="H157" s="171">
        <v>3601</v>
      </c>
      <c r="I157" s="171">
        <v>181</v>
      </c>
      <c r="J157" s="331">
        <v>0</v>
      </c>
      <c r="K157" s="193">
        <v>0</v>
      </c>
      <c r="L157" s="193">
        <v>0</v>
      </c>
      <c r="M157" s="193">
        <v>0</v>
      </c>
      <c r="N157" s="193">
        <v>0</v>
      </c>
      <c r="O157" s="192">
        <v>0</v>
      </c>
      <c r="P157" s="193">
        <f t="shared" si="61"/>
        <v>0</v>
      </c>
      <c r="Q157" s="193">
        <v>0</v>
      </c>
      <c r="R157" s="193">
        <v>0</v>
      </c>
      <c r="S157" s="193">
        <v>0</v>
      </c>
      <c r="T157" s="192">
        <v>0</v>
      </c>
      <c r="U157" s="193">
        <v>0</v>
      </c>
      <c r="V157" s="193">
        <v>0</v>
      </c>
      <c r="W157" s="193">
        <v>0</v>
      </c>
      <c r="X157" s="193">
        <v>0</v>
      </c>
      <c r="Y157" s="192">
        <v>0</v>
      </c>
      <c r="Z157" s="193">
        <v>0</v>
      </c>
      <c r="AA157" s="193">
        <v>0</v>
      </c>
      <c r="AB157" s="193">
        <v>0</v>
      </c>
      <c r="AC157" s="193">
        <v>0</v>
      </c>
      <c r="AD157" s="196"/>
      <c r="AE157" s="196"/>
      <c r="AF157" s="196"/>
    </row>
    <row r="158" spans="1:32" s="11" customFormat="1" ht="75" customHeight="1" outlineLevel="1" x14ac:dyDescent="0.2">
      <c r="A158" s="207" t="s">
        <v>1147</v>
      </c>
      <c r="B158" s="206" t="s">
        <v>639</v>
      </c>
      <c r="C158" s="331">
        <f t="shared" si="59"/>
        <v>0</v>
      </c>
      <c r="D158" s="207">
        <f t="shared" si="54"/>
        <v>3661</v>
      </c>
      <c r="E158" s="170">
        <v>0</v>
      </c>
      <c r="F158" s="204">
        <f t="shared" si="60"/>
        <v>3661</v>
      </c>
      <c r="G158" s="204">
        <v>0</v>
      </c>
      <c r="H158" s="171">
        <v>3485</v>
      </c>
      <c r="I158" s="171">
        <v>176</v>
      </c>
      <c r="J158" s="331">
        <v>0</v>
      </c>
      <c r="K158" s="193">
        <v>0</v>
      </c>
      <c r="L158" s="193">
        <v>0</v>
      </c>
      <c r="M158" s="193">
        <v>0</v>
      </c>
      <c r="N158" s="193">
        <v>0</v>
      </c>
      <c r="O158" s="192">
        <v>0</v>
      </c>
      <c r="P158" s="193">
        <f t="shared" si="61"/>
        <v>0</v>
      </c>
      <c r="Q158" s="193">
        <v>0</v>
      </c>
      <c r="R158" s="193">
        <v>0</v>
      </c>
      <c r="S158" s="193">
        <v>0</v>
      </c>
      <c r="T158" s="192">
        <v>0</v>
      </c>
      <c r="U158" s="193">
        <v>0</v>
      </c>
      <c r="V158" s="193">
        <v>0</v>
      </c>
      <c r="W158" s="193">
        <v>0</v>
      </c>
      <c r="X158" s="193">
        <v>0</v>
      </c>
      <c r="Y158" s="192">
        <v>0</v>
      </c>
      <c r="Z158" s="193">
        <v>0</v>
      </c>
      <c r="AA158" s="193">
        <v>0</v>
      </c>
      <c r="AB158" s="193">
        <v>0</v>
      </c>
      <c r="AC158" s="193">
        <v>0</v>
      </c>
      <c r="AD158" s="196"/>
      <c r="AE158" s="196"/>
      <c r="AF158" s="196"/>
    </row>
    <row r="159" spans="1:32" s="11" customFormat="1" ht="81" customHeight="1" outlineLevel="1" x14ac:dyDescent="0.2">
      <c r="A159" s="207" t="s">
        <v>1148</v>
      </c>
      <c r="B159" s="206" t="s">
        <v>339</v>
      </c>
      <c r="C159" s="331">
        <f t="shared" si="59"/>
        <v>0</v>
      </c>
      <c r="D159" s="207">
        <f t="shared" si="54"/>
        <v>1132</v>
      </c>
      <c r="E159" s="170">
        <v>0</v>
      </c>
      <c r="F159" s="204">
        <f t="shared" si="60"/>
        <v>1132</v>
      </c>
      <c r="G159" s="204">
        <v>0</v>
      </c>
      <c r="H159" s="171">
        <v>1078</v>
      </c>
      <c r="I159" s="171">
        <v>54</v>
      </c>
      <c r="J159" s="331">
        <v>0</v>
      </c>
      <c r="K159" s="193">
        <v>0</v>
      </c>
      <c r="L159" s="193">
        <v>0</v>
      </c>
      <c r="M159" s="193">
        <v>0</v>
      </c>
      <c r="N159" s="193">
        <v>0</v>
      </c>
      <c r="O159" s="192">
        <v>0</v>
      </c>
      <c r="P159" s="193">
        <f t="shared" si="61"/>
        <v>0</v>
      </c>
      <c r="Q159" s="193">
        <v>0</v>
      </c>
      <c r="R159" s="193">
        <v>0</v>
      </c>
      <c r="S159" s="193">
        <v>0</v>
      </c>
      <c r="T159" s="192">
        <v>0</v>
      </c>
      <c r="U159" s="193">
        <v>0</v>
      </c>
      <c r="V159" s="193">
        <v>0</v>
      </c>
      <c r="W159" s="193">
        <v>0</v>
      </c>
      <c r="X159" s="193">
        <v>0</v>
      </c>
      <c r="Y159" s="192">
        <v>0</v>
      </c>
      <c r="Z159" s="193">
        <v>0</v>
      </c>
      <c r="AA159" s="193">
        <v>0</v>
      </c>
      <c r="AB159" s="193">
        <v>0</v>
      </c>
      <c r="AC159" s="193">
        <v>0</v>
      </c>
      <c r="AD159" s="196"/>
      <c r="AE159" s="196"/>
      <c r="AF159" s="196"/>
    </row>
    <row r="160" spans="1:32" s="11" customFormat="1" ht="69.599999999999994" customHeight="1" outlineLevel="1" x14ac:dyDescent="0.2">
      <c r="A160" s="207" t="s">
        <v>1149</v>
      </c>
      <c r="B160" s="206" t="s">
        <v>640</v>
      </c>
      <c r="C160" s="331">
        <f t="shared" si="59"/>
        <v>0</v>
      </c>
      <c r="D160" s="207">
        <f t="shared" si="54"/>
        <v>1475</v>
      </c>
      <c r="E160" s="170">
        <v>0</v>
      </c>
      <c r="F160" s="204">
        <f>G160+H160+I160</f>
        <v>1475</v>
      </c>
      <c r="G160" s="204">
        <v>0</v>
      </c>
      <c r="H160" s="171">
        <v>1404</v>
      </c>
      <c r="I160" s="171">
        <v>71</v>
      </c>
      <c r="J160" s="331">
        <v>0</v>
      </c>
      <c r="K160" s="193">
        <v>0</v>
      </c>
      <c r="L160" s="193">
        <v>0</v>
      </c>
      <c r="M160" s="193">
        <v>0</v>
      </c>
      <c r="N160" s="193">
        <v>0</v>
      </c>
      <c r="O160" s="192">
        <v>0</v>
      </c>
      <c r="P160" s="193">
        <f t="shared" si="61"/>
        <v>0</v>
      </c>
      <c r="Q160" s="193">
        <v>0</v>
      </c>
      <c r="R160" s="193">
        <v>0</v>
      </c>
      <c r="S160" s="193">
        <v>0</v>
      </c>
      <c r="T160" s="192">
        <v>0</v>
      </c>
      <c r="U160" s="193">
        <v>0</v>
      </c>
      <c r="V160" s="193">
        <v>0</v>
      </c>
      <c r="W160" s="193">
        <v>0</v>
      </c>
      <c r="X160" s="193">
        <v>0</v>
      </c>
      <c r="Y160" s="192">
        <v>0</v>
      </c>
      <c r="Z160" s="193">
        <v>0</v>
      </c>
      <c r="AA160" s="193">
        <v>0</v>
      </c>
      <c r="AB160" s="193">
        <v>0</v>
      </c>
      <c r="AC160" s="193">
        <v>0</v>
      </c>
      <c r="AD160" s="196"/>
      <c r="AE160" s="196"/>
      <c r="AF160" s="196"/>
    </row>
    <row r="161" spans="1:32" s="11" customFormat="1" ht="57" customHeight="1" outlineLevel="1" x14ac:dyDescent="0.2">
      <c r="A161" s="207" t="s">
        <v>1150</v>
      </c>
      <c r="B161" s="206" t="s">
        <v>268</v>
      </c>
      <c r="C161" s="331">
        <f t="shared" si="59"/>
        <v>0</v>
      </c>
      <c r="D161" s="207">
        <f t="shared" si="54"/>
        <v>1148</v>
      </c>
      <c r="E161" s="170">
        <v>0</v>
      </c>
      <c r="F161" s="204">
        <f>G161+H161+I161</f>
        <v>1148</v>
      </c>
      <c r="G161" s="204">
        <v>0</v>
      </c>
      <c r="H161" s="171">
        <v>1093</v>
      </c>
      <c r="I161" s="171">
        <v>55</v>
      </c>
      <c r="J161" s="331">
        <v>0</v>
      </c>
      <c r="K161" s="193">
        <v>0</v>
      </c>
      <c r="L161" s="193">
        <v>0</v>
      </c>
      <c r="M161" s="193">
        <v>0</v>
      </c>
      <c r="N161" s="193">
        <v>0</v>
      </c>
      <c r="O161" s="192">
        <v>0</v>
      </c>
      <c r="P161" s="193">
        <f t="shared" si="61"/>
        <v>0</v>
      </c>
      <c r="Q161" s="193">
        <v>0</v>
      </c>
      <c r="R161" s="193">
        <v>0</v>
      </c>
      <c r="S161" s="193">
        <v>0</v>
      </c>
      <c r="T161" s="192">
        <v>0</v>
      </c>
      <c r="U161" s="193">
        <v>0</v>
      </c>
      <c r="V161" s="193">
        <v>0</v>
      </c>
      <c r="W161" s="193">
        <v>0</v>
      </c>
      <c r="X161" s="193">
        <v>0</v>
      </c>
      <c r="Y161" s="192">
        <v>0</v>
      </c>
      <c r="Z161" s="193">
        <v>0</v>
      </c>
      <c r="AA161" s="193">
        <v>0</v>
      </c>
      <c r="AB161" s="193">
        <v>0</v>
      </c>
      <c r="AC161" s="193">
        <v>0</v>
      </c>
      <c r="AD161" s="196"/>
      <c r="AE161" s="196"/>
      <c r="AF161" s="196"/>
    </row>
    <row r="162" spans="1:32" s="11" customFormat="1" ht="63" customHeight="1" outlineLevel="1" x14ac:dyDescent="0.2">
      <c r="A162" s="207" t="s">
        <v>1151</v>
      </c>
      <c r="B162" s="206" t="s">
        <v>340</v>
      </c>
      <c r="C162" s="331">
        <f t="shared" si="59"/>
        <v>0</v>
      </c>
      <c r="D162" s="207">
        <f t="shared" si="54"/>
        <v>828</v>
      </c>
      <c r="E162" s="170">
        <v>0</v>
      </c>
      <c r="F162" s="204">
        <f t="shared" si="60"/>
        <v>828</v>
      </c>
      <c r="G162" s="204">
        <v>0</v>
      </c>
      <c r="H162" s="171">
        <v>788</v>
      </c>
      <c r="I162" s="171">
        <v>40</v>
      </c>
      <c r="J162" s="331">
        <v>0</v>
      </c>
      <c r="K162" s="193">
        <v>0</v>
      </c>
      <c r="L162" s="193">
        <v>0</v>
      </c>
      <c r="M162" s="193">
        <v>0</v>
      </c>
      <c r="N162" s="193">
        <v>0</v>
      </c>
      <c r="O162" s="192">
        <v>0</v>
      </c>
      <c r="P162" s="193">
        <f t="shared" si="61"/>
        <v>0</v>
      </c>
      <c r="Q162" s="193">
        <v>0</v>
      </c>
      <c r="R162" s="193">
        <v>0</v>
      </c>
      <c r="S162" s="193">
        <v>0</v>
      </c>
      <c r="T162" s="192">
        <v>0</v>
      </c>
      <c r="U162" s="193">
        <v>0</v>
      </c>
      <c r="V162" s="193">
        <v>0</v>
      </c>
      <c r="W162" s="193">
        <v>0</v>
      </c>
      <c r="X162" s="193">
        <v>0</v>
      </c>
      <c r="Y162" s="192">
        <v>0</v>
      </c>
      <c r="Z162" s="193">
        <v>0</v>
      </c>
      <c r="AA162" s="193">
        <v>0</v>
      </c>
      <c r="AB162" s="193">
        <v>0</v>
      </c>
      <c r="AC162" s="193">
        <v>0</v>
      </c>
      <c r="AD162" s="196"/>
      <c r="AE162" s="196"/>
      <c r="AF162" s="196"/>
    </row>
    <row r="163" spans="1:32" s="11" customFormat="1" ht="115.9" customHeight="1" outlineLevel="1" x14ac:dyDescent="0.2">
      <c r="A163" s="207" t="s">
        <v>1152</v>
      </c>
      <c r="B163" s="206" t="s">
        <v>269</v>
      </c>
      <c r="C163" s="331">
        <f t="shared" si="59"/>
        <v>0</v>
      </c>
      <c r="D163" s="207">
        <f t="shared" si="54"/>
        <v>5055</v>
      </c>
      <c r="E163" s="170">
        <v>0</v>
      </c>
      <c r="F163" s="204">
        <f t="shared" si="60"/>
        <v>5055</v>
      </c>
      <c r="G163" s="204">
        <v>0</v>
      </c>
      <c r="H163" s="171">
        <v>4812</v>
      </c>
      <c r="I163" s="171">
        <v>243</v>
      </c>
      <c r="J163" s="331">
        <v>0</v>
      </c>
      <c r="K163" s="193">
        <v>0</v>
      </c>
      <c r="L163" s="193">
        <v>0</v>
      </c>
      <c r="M163" s="193">
        <v>0</v>
      </c>
      <c r="N163" s="193">
        <v>0</v>
      </c>
      <c r="O163" s="192">
        <v>0</v>
      </c>
      <c r="P163" s="193">
        <f t="shared" si="61"/>
        <v>0</v>
      </c>
      <c r="Q163" s="193">
        <v>0</v>
      </c>
      <c r="R163" s="193">
        <v>0</v>
      </c>
      <c r="S163" s="193">
        <v>0</v>
      </c>
      <c r="T163" s="192">
        <v>0</v>
      </c>
      <c r="U163" s="193">
        <v>0</v>
      </c>
      <c r="V163" s="193">
        <v>0</v>
      </c>
      <c r="W163" s="193">
        <v>0</v>
      </c>
      <c r="X163" s="193">
        <v>0</v>
      </c>
      <c r="Y163" s="192">
        <v>0</v>
      </c>
      <c r="Z163" s="193">
        <v>0</v>
      </c>
      <c r="AA163" s="193">
        <v>0</v>
      </c>
      <c r="AB163" s="193">
        <v>0</v>
      </c>
      <c r="AC163" s="193">
        <v>0</v>
      </c>
      <c r="AD163" s="196"/>
      <c r="AE163" s="196"/>
      <c r="AF163" s="196"/>
    </row>
    <row r="164" spans="1:32" s="11" customFormat="1" ht="99.75" customHeight="1" outlineLevel="1" x14ac:dyDescent="0.2">
      <c r="A164" s="207" t="s">
        <v>1153</v>
      </c>
      <c r="B164" s="206" t="s">
        <v>341</v>
      </c>
      <c r="C164" s="331">
        <f t="shared" si="59"/>
        <v>0</v>
      </c>
      <c r="D164" s="207">
        <f t="shared" ref="D164:D207" si="62">F164+K164+P164+Z164+U164</f>
        <v>897</v>
      </c>
      <c r="E164" s="170">
        <v>0</v>
      </c>
      <c r="F164" s="204">
        <f t="shared" si="60"/>
        <v>897</v>
      </c>
      <c r="G164" s="204">
        <v>0</v>
      </c>
      <c r="H164" s="171">
        <v>854</v>
      </c>
      <c r="I164" s="171">
        <v>43</v>
      </c>
      <c r="J164" s="331">
        <v>0</v>
      </c>
      <c r="K164" s="193">
        <v>0</v>
      </c>
      <c r="L164" s="193">
        <v>0</v>
      </c>
      <c r="M164" s="193">
        <v>0</v>
      </c>
      <c r="N164" s="193">
        <v>0</v>
      </c>
      <c r="O164" s="192">
        <v>0</v>
      </c>
      <c r="P164" s="193">
        <f t="shared" si="61"/>
        <v>0</v>
      </c>
      <c r="Q164" s="193">
        <v>0</v>
      </c>
      <c r="R164" s="193">
        <v>0</v>
      </c>
      <c r="S164" s="193">
        <v>0</v>
      </c>
      <c r="T164" s="192">
        <v>0</v>
      </c>
      <c r="U164" s="193">
        <v>0</v>
      </c>
      <c r="V164" s="193">
        <v>0</v>
      </c>
      <c r="W164" s="193">
        <v>0</v>
      </c>
      <c r="X164" s="193">
        <v>0</v>
      </c>
      <c r="Y164" s="192">
        <v>0</v>
      </c>
      <c r="Z164" s="193">
        <v>0</v>
      </c>
      <c r="AA164" s="193">
        <v>0</v>
      </c>
      <c r="AB164" s="193">
        <v>0</v>
      </c>
      <c r="AC164" s="193">
        <v>0</v>
      </c>
      <c r="AD164" s="196"/>
      <c r="AE164" s="196"/>
      <c r="AF164" s="196"/>
    </row>
    <row r="165" spans="1:32" s="11" customFormat="1" ht="106.9" customHeight="1" outlineLevel="1" x14ac:dyDescent="0.2">
      <c r="A165" s="207" t="s">
        <v>1154</v>
      </c>
      <c r="B165" s="206" t="s">
        <v>270</v>
      </c>
      <c r="C165" s="331">
        <f t="shared" si="59"/>
        <v>0</v>
      </c>
      <c r="D165" s="207">
        <f t="shared" si="62"/>
        <v>551</v>
      </c>
      <c r="E165" s="170">
        <v>0</v>
      </c>
      <c r="F165" s="204">
        <f t="shared" ref="F165:F178" si="63">G165+H165+I165</f>
        <v>551</v>
      </c>
      <c r="G165" s="204">
        <v>0</v>
      </c>
      <c r="H165" s="171">
        <v>525</v>
      </c>
      <c r="I165" s="171">
        <v>26</v>
      </c>
      <c r="J165" s="331">
        <v>0</v>
      </c>
      <c r="K165" s="193">
        <v>0</v>
      </c>
      <c r="L165" s="193">
        <v>0</v>
      </c>
      <c r="M165" s="193">
        <v>0</v>
      </c>
      <c r="N165" s="193">
        <v>0</v>
      </c>
      <c r="O165" s="192">
        <v>0</v>
      </c>
      <c r="P165" s="193">
        <f t="shared" si="61"/>
        <v>0</v>
      </c>
      <c r="Q165" s="193">
        <v>0</v>
      </c>
      <c r="R165" s="193">
        <v>0</v>
      </c>
      <c r="S165" s="193">
        <v>0</v>
      </c>
      <c r="T165" s="192">
        <v>0</v>
      </c>
      <c r="U165" s="193">
        <v>0</v>
      </c>
      <c r="V165" s="193">
        <v>0</v>
      </c>
      <c r="W165" s="193">
        <v>0</v>
      </c>
      <c r="X165" s="193">
        <v>0</v>
      </c>
      <c r="Y165" s="192">
        <v>0</v>
      </c>
      <c r="Z165" s="193">
        <v>0</v>
      </c>
      <c r="AA165" s="193">
        <v>0</v>
      </c>
      <c r="AB165" s="193">
        <v>0</v>
      </c>
      <c r="AC165" s="193">
        <v>0</v>
      </c>
      <c r="AD165" s="196"/>
      <c r="AE165" s="196"/>
      <c r="AF165" s="196"/>
    </row>
    <row r="166" spans="1:32" s="11" customFormat="1" ht="39" customHeight="1" outlineLevel="1" x14ac:dyDescent="0.2">
      <c r="A166" s="207" t="s">
        <v>1155</v>
      </c>
      <c r="B166" s="206" t="s">
        <v>271</v>
      </c>
      <c r="C166" s="331">
        <f>E166+J166+O166+T166+Y166</f>
        <v>0</v>
      </c>
      <c r="D166" s="207">
        <f t="shared" si="62"/>
        <v>221</v>
      </c>
      <c r="E166" s="170">
        <v>0</v>
      </c>
      <c r="F166" s="204">
        <f t="shared" si="63"/>
        <v>221</v>
      </c>
      <c r="G166" s="204">
        <v>0</v>
      </c>
      <c r="H166" s="171">
        <v>210</v>
      </c>
      <c r="I166" s="171">
        <v>11</v>
      </c>
      <c r="J166" s="331">
        <v>0</v>
      </c>
      <c r="K166" s="193">
        <v>0</v>
      </c>
      <c r="L166" s="193">
        <v>0</v>
      </c>
      <c r="M166" s="193">
        <v>0</v>
      </c>
      <c r="N166" s="193">
        <v>0</v>
      </c>
      <c r="O166" s="192">
        <v>0</v>
      </c>
      <c r="P166" s="193">
        <f>S166</f>
        <v>0</v>
      </c>
      <c r="Q166" s="193">
        <v>0</v>
      </c>
      <c r="R166" s="193">
        <v>0</v>
      </c>
      <c r="S166" s="193">
        <v>0</v>
      </c>
      <c r="T166" s="192">
        <v>0</v>
      </c>
      <c r="U166" s="193">
        <v>0</v>
      </c>
      <c r="V166" s="193">
        <v>0</v>
      </c>
      <c r="W166" s="193">
        <v>0</v>
      </c>
      <c r="X166" s="193">
        <v>0</v>
      </c>
      <c r="Y166" s="192">
        <v>0</v>
      </c>
      <c r="Z166" s="193">
        <v>0</v>
      </c>
      <c r="AA166" s="193">
        <v>0</v>
      </c>
      <c r="AB166" s="193">
        <v>0</v>
      </c>
      <c r="AC166" s="193">
        <v>0</v>
      </c>
      <c r="AD166" s="196"/>
      <c r="AE166" s="196"/>
      <c r="AF166" s="196"/>
    </row>
    <row r="167" spans="1:32" s="11" customFormat="1" ht="105" customHeight="1" outlineLevel="1" x14ac:dyDescent="0.2">
      <c r="A167" s="207" t="s">
        <v>1156</v>
      </c>
      <c r="B167" s="206" t="s">
        <v>641</v>
      </c>
      <c r="C167" s="331">
        <f>E167+J167+O167+T167+Y167</f>
        <v>0</v>
      </c>
      <c r="D167" s="207">
        <f t="shared" si="62"/>
        <v>1624</v>
      </c>
      <c r="E167" s="170">
        <v>0</v>
      </c>
      <c r="F167" s="204">
        <f t="shared" si="63"/>
        <v>1624</v>
      </c>
      <c r="G167" s="204">
        <v>0</v>
      </c>
      <c r="H167" s="171">
        <v>1546</v>
      </c>
      <c r="I167" s="171">
        <v>78</v>
      </c>
      <c r="J167" s="331">
        <v>0</v>
      </c>
      <c r="K167" s="193">
        <v>0</v>
      </c>
      <c r="L167" s="193">
        <v>0</v>
      </c>
      <c r="M167" s="193">
        <v>0</v>
      </c>
      <c r="N167" s="193">
        <v>0</v>
      </c>
      <c r="O167" s="192">
        <v>0</v>
      </c>
      <c r="P167" s="193">
        <f>S167</f>
        <v>0</v>
      </c>
      <c r="Q167" s="193">
        <v>0</v>
      </c>
      <c r="R167" s="193">
        <v>0</v>
      </c>
      <c r="S167" s="193">
        <v>0</v>
      </c>
      <c r="T167" s="192">
        <v>0</v>
      </c>
      <c r="U167" s="193">
        <v>0</v>
      </c>
      <c r="V167" s="193">
        <v>0</v>
      </c>
      <c r="W167" s="193">
        <v>0</v>
      </c>
      <c r="X167" s="193">
        <v>0</v>
      </c>
      <c r="Y167" s="192">
        <v>0</v>
      </c>
      <c r="Z167" s="193">
        <v>0</v>
      </c>
      <c r="AA167" s="193">
        <v>0</v>
      </c>
      <c r="AB167" s="193">
        <v>0</v>
      </c>
      <c r="AC167" s="193">
        <v>0</v>
      </c>
      <c r="AD167" s="196"/>
      <c r="AE167" s="196"/>
      <c r="AF167" s="196"/>
    </row>
    <row r="168" spans="1:32" s="11" customFormat="1" ht="57" customHeight="1" outlineLevel="1" x14ac:dyDescent="0.2">
      <c r="A168" s="207" t="s">
        <v>1157</v>
      </c>
      <c r="B168" s="206" t="s">
        <v>642</v>
      </c>
      <c r="C168" s="331">
        <f t="shared" ref="C168:C207" si="64">E168+J168+O168+T168+Y168</f>
        <v>0</v>
      </c>
      <c r="D168" s="207">
        <f t="shared" si="62"/>
        <v>164</v>
      </c>
      <c r="E168" s="170">
        <v>0</v>
      </c>
      <c r="F168" s="204">
        <f t="shared" si="63"/>
        <v>164</v>
      </c>
      <c r="G168" s="204">
        <v>0</v>
      </c>
      <c r="H168" s="171">
        <v>156</v>
      </c>
      <c r="I168" s="171">
        <v>8</v>
      </c>
      <c r="J168" s="331">
        <v>0</v>
      </c>
      <c r="K168" s="193">
        <v>0</v>
      </c>
      <c r="L168" s="193">
        <v>0</v>
      </c>
      <c r="M168" s="193">
        <v>0</v>
      </c>
      <c r="N168" s="193">
        <v>0</v>
      </c>
      <c r="O168" s="192">
        <v>0</v>
      </c>
      <c r="P168" s="193">
        <f t="shared" si="61"/>
        <v>0</v>
      </c>
      <c r="Q168" s="193">
        <v>0</v>
      </c>
      <c r="R168" s="193">
        <v>0</v>
      </c>
      <c r="S168" s="193">
        <v>0</v>
      </c>
      <c r="T168" s="192">
        <v>0</v>
      </c>
      <c r="U168" s="193">
        <v>0</v>
      </c>
      <c r="V168" s="193">
        <v>0</v>
      </c>
      <c r="W168" s="193">
        <v>0</v>
      </c>
      <c r="X168" s="193">
        <v>0</v>
      </c>
      <c r="Y168" s="192">
        <v>0</v>
      </c>
      <c r="Z168" s="193">
        <v>0</v>
      </c>
      <c r="AA168" s="193">
        <v>0</v>
      </c>
      <c r="AB168" s="193">
        <v>0</v>
      </c>
      <c r="AC168" s="193">
        <v>0</v>
      </c>
      <c r="AD168" s="196"/>
      <c r="AE168" s="196"/>
      <c r="AF168" s="196"/>
    </row>
    <row r="169" spans="1:32" s="11" customFormat="1" ht="49.9" customHeight="1" outlineLevel="1" x14ac:dyDescent="0.2">
      <c r="A169" s="207" t="s">
        <v>1158</v>
      </c>
      <c r="B169" s="206" t="s">
        <v>643</v>
      </c>
      <c r="C169" s="331">
        <f t="shared" si="64"/>
        <v>0</v>
      </c>
      <c r="D169" s="207">
        <f t="shared" si="62"/>
        <v>108</v>
      </c>
      <c r="E169" s="170">
        <v>0</v>
      </c>
      <c r="F169" s="204">
        <f t="shared" si="63"/>
        <v>108</v>
      </c>
      <c r="G169" s="204">
        <v>0</v>
      </c>
      <c r="H169" s="171">
        <v>102</v>
      </c>
      <c r="I169" s="171">
        <v>6</v>
      </c>
      <c r="J169" s="331">
        <v>0</v>
      </c>
      <c r="K169" s="193">
        <v>0</v>
      </c>
      <c r="L169" s="193">
        <v>0</v>
      </c>
      <c r="M169" s="193">
        <v>0</v>
      </c>
      <c r="N169" s="193">
        <v>0</v>
      </c>
      <c r="O169" s="192">
        <v>0</v>
      </c>
      <c r="P169" s="193">
        <f t="shared" ref="P169:P177" si="65">S169</f>
        <v>0</v>
      </c>
      <c r="Q169" s="193">
        <v>0</v>
      </c>
      <c r="R169" s="193">
        <v>0</v>
      </c>
      <c r="S169" s="193">
        <v>0</v>
      </c>
      <c r="T169" s="192">
        <v>0</v>
      </c>
      <c r="U169" s="193">
        <v>0</v>
      </c>
      <c r="V169" s="193">
        <v>0</v>
      </c>
      <c r="W169" s="193">
        <v>0</v>
      </c>
      <c r="X169" s="193">
        <v>0</v>
      </c>
      <c r="Y169" s="192">
        <v>0</v>
      </c>
      <c r="Z169" s="193">
        <v>0</v>
      </c>
      <c r="AA169" s="193">
        <v>0</v>
      </c>
      <c r="AB169" s="193">
        <v>0</v>
      </c>
      <c r="AC169" s="193">
        <v>0</v>
      </c>
      <c r="AD169" s="196"/>
      <c r="AE169" s="196"/>
      <c r="AF169" s="196"/>
    </row>
    <row r="170" spans="1:32" s="11" customFormat="1" ht="52.9" customHeight="1" outlineLevel="1" x14ac:dyDescent="0.2">
      <c r="A170" s="207" t="s">
        <v>1159</v>
      </c>
      <c r="B170" s="206" t="s">
        <v>272</v>
      </c>
      <c r="C170" s="331">
        <f t="shared" si="64"/>
        <v>0</v>
      </c>
      <c r="D170" s="207">
        <f t="shared" si="62"/>
        <v>398</v>
      </c>
      <c r="E170" s="170">
        <v>0</v>
      </c>
      <c r="F170" s="204">
        <f t="shared" si="63"/>
        <v>398</v>
      </c>
      <c r="G170" s="204">
        <v>0</v>
      </c>
      <c r="H170" s="171">
        <v>379</v>
      </c>
      <c r="I170" s="171">
        <v>19</v>
      </c>
      <c r="J170" s="331">
        <v>0</v>
      </c>
      <c r="K170" s="193">
        <v>0</v>
      </c>
      <c r="L170" s="193">
        <v>0</v>
      </c>
      <c r="M170" s="193">
        <v>0</v>
      </c>
      <c r="N170" s="193">
        <v>0</v>
      </c>
      <c r="O170" s="192">
        <v>0</v>
      </c>
      <c r="P170" s="193">
        <f t="shared" si="65"/>
        <v>0</v>
      </c>
      <c r="Q170" s="193">
        <v>0</v>
      </c>
      <c r="R170" s="193">
        <v>0</v>
      </c>
      <c r="S170" s="193">
        <v>0</v>
      </c>
      <c r="T170" s="192">
        <v>0</v>
      </c>
      <c r="U170" s="193">
        <v>0</v>
      </c>
      <c r="V170" s="193">
        <v>0</v>
      </c>
      <c r="W170" s="193">
        <v>0</v>
      </c>
      <c r="X170" s="193">
        <v>0</v>
      </c>
      <c r="Y170" s="192">
        <v>0</v>
      </c>
      <c r="Z170" s="193">
        <v>0</v>
      </c>
      <c r="AA170" s="193">
        <v>0</v>
      </c>
      <c r="AB170" s="193">
        <v>0</v>
      </c>
      <c r="AC170" s="193">
        <v>0</v>
      </c>
      <c r="AD170" s="196"/>
      <c r="AE170" s="196"/>
      <c r="AF170" s="196"/>
    </row>
    <row r="171" spans="1:32" s="11" customFormat="1" ht="49.9" customHeight="1" outlineLevel="1" x14ac:dyDescent="0.2">
      <c r="A171" s="207" t="s">
        <v>1160</v>
      </c>
      <c r="B171" s="206" t="s">
        <v>273</v>
      </c>
      <c r="C171" s="331">
        <f t="shared" si="64"/>
        <v>0</v>
      </c>
      <c r="D171" s="207">
        <f t="shared" si="62"/>
        <v>173</v>
      </c>
      <c r="E171" s="170">
        <v>0</v>
      </c>
      <c r="F171" s="204">
        <f t="shared" si="63"/>
        <v>173</v>
      </c>
      <c r="G171" s="204">
        <v>0</v>
      </c>
      <c r="H171" s="171">
        <v>165</v>
      </c>
      <c r="I171" s="171">
        <v>8</v>
      </c>
      <c r="J171" s="331">
        <v>0</v>
      </c>
      <c r="K171" s="193">
        <v>0</v>
      </c>
      <c r="L171" s="193">
        <v>0</v>
      </c>
      <c r="M171" s="193">
        <v>0</v>
      </c>
      <c r="N171" s="193">
        <v>0</v>
      </c>
      <c r="O171" s="192">
        <v>0</v>
      </c>
      <c r="P171" s="193">
        <f t="shared" si="65"/>
        <v>0</v>
      </c>
      <c r="Q171" s="193">
        <v>0</v>
      </c>
      <c r="R171" s="193">
        <v>0</v>
      </c>
      <c r="S171" s="193">
        <v>0</v>
      </c>
      <c r="T171" s="192">
        <v>0</v>
      </c>
      <c r="U171" s="193">
        <v>0</v>
      </c>
      <c r="V171" s="193">
        <v>0</v>
      </c>
      <c r="W171" s="193">
        <v>0</v>
      </c>
      <c r="X171" s="193">
        <v>0</v>
      </c>
      <c r="Y171" s="192">
        <v>0</v>
      </c>
      <c r="Z171" s="193">
        <v>0</v>
      </c>
      <c r="AA171" s="193">
        <v>0</v>
      </c>
      <c r="AB171" s="193">
        <v>0</v>
      </c>
      <c r="AC171" s="193">
        <v>0</v>
      </c>
      <c r="AD171" s="196"/>
      <c r="AE171" s="196"/>
      <c r="AF171" s="196"/>
    </row>
    <row r="172" spans="1:32" s="11" customFormat="1" ht="67.900000000000006" customHeight="1" outlineLevel="1" x14ac:dyDescent="0.2">
      <c r="A172" s="207" t="s">
        <v>1161</v>
      </c>
      <c r="B172" s="206" t="s">
        <v>274</v>
      </c>
      <c r="C172" s="331">
        <f t="shared" si="64"/>
        <v>0</v>
      </c>
      <c r="D172" s="207">
        <f t="shared" si="62"/>
        <v>6317</v>
      </c>
      <c r="E172" s="170">
        <v>0</v>
      </c>
      <c r="F172" s="204">
        <f t="shared" si="63"/>
        <v>6317</v>
      </c>
      <c r="G172" s="204">
        <v>0</v>
      </c>
      <c r="H172" s="171">
        <v>6014</v>
      </c>
      <c r="I172" s="171">
        <v>303</v>
      </c>
      <c r="J172" s="331">
        <v>0</v>
      </c>
      <c r="K172" s="193">
        <v>0</v>
      </c>
      <c r="L172" s="193">
        <v>0</v>
      </c>
      <c r="M172" s="193">
        <v>0</v>
      </c>
      <c r="N172" s="193">
        <v>0</v>
      </c>
      <c r="O172" s="192">
        <v>0</v>
      </c>
      <c r="P172" s="193">
        <f t="shared" si="65"/>
        <v>0</v>
      </c>
      <c r="Q172" s="193">
        <v>0</v>
      </c>
      <c r="R172" s="193">
        <v>0</v>
      </c>
      <c r="S172" s="193">
        <v>0</v>
      </c>
      <c r="T172" s="192">
        <v>0</v>
      </c>
      <c r="U172" s="193">
        <v>0</v>
      </c>
      <c r="V172" s="193">
        <v>0</v>
      </c>
      <c r="W172" s="193">
        <v>0</v>
      </c>
      <c r="X172" s="193">
        <v>0</v>
      </c>
      <c r="Y172" s="192">
        <v>0</v>
      </c>
      <c r="Z172" s="193">
        <v>0</v>
      </c>
      <c r="AA172" s="193">
        <v>0</v>
      </c>
      <c r="AB172" s="193">
        <v>0</v>
      </c>
      <c r="AC172" s="193">
        <v>0</v>
      </c>
      <c r="AD172" s="196"/>
      <c r="AE172" s="196"/>
      <c r="AF172" s="196"/>
    </row>
    <row r="173" spans="1:32" s="11" customFormat="1" ht="132.75" customHeight="1" outlineLevel="1" x14ac:dyDescent="0.2">
      <c r="A173" s="207" t="s">
        <v>1162</v>
      </c>
      <c r="B173" s="206" t="s">
        <v>550</v>
      </c>
      <c r="C173" s="331">
        <f t="shared" si="64"/>
        <v>0</v>
      </c>
      <c r="D173" s="207">
        <f t="shared" si="62"/>
        <v>1105</v>
      </c>
      <c r="E173" s="170">
        <v>0</v>
      </c>
      <c r="F173" s="204">
        <f t="shared" si="63"/>
        <v>330</v>
      </c>
      <c r="G173" s="204">
        <v>0</v>
      </c>
      <c r="H173" s="171">
        <v>0</v>
      </c>
      <c r="I173" s="171">
        <v>330</v>
      </c>
      <c r="J173" s="331">
        <v>0</v>
      </c>
      <c r="K173" s="193">
        <f>L173+M173+N173</f>
        <v>277</v>
      </c>
      <c r="L173" s="193">
        <v>0</v>
      </c>
      <c r="M173" s="193">
        <v>0</v>
      </c>
      <c r="N173" s="193">
        <f>300-23</f>
        <v>277</v>
      </c>
      <c r="O173" s="192">
        <v>0</v>
      </c>
      <c r="P173" s="193">
        <f t="shared" si="65"/>
        <v>100</v>
      </c>
      <c r="Q173" s="193">
        <v>0</v>
      </c>
      <c r="R173" s="193">
        <v>0</v>
      </c>
      <c r="S173" s="193">
        <f>400-200+337-437</f>
        <v>100</v>
      </c>
      <c r="T173" s="192">
        <v>0</v>
      </c>
      <c r="U173" s="193">
        <f>X173+W173+V173</f>
        <v>198</v>
      </c>
      <c r="V173" s="193">
        <v>0</v>
      </c>
      <c r="W173" s="193">
        <v>0</v>
      </c>
      <c r="X173" s="193">
        <v>198</v>
      </c>
      <c r="Y173" s="192">
        <v>0</v>
      </c>
      <c r="Z173" s="193">
        <f>AC173+AB173+AA173</f>
        <v>200</v>
      </c>
      <c r="AA173" s="193">
        <v>0</v>
      </c>
      <c r="AB173" s="193">
        <v>0</v>
      </c>
      <c r="AC173" s="193">
        <f>400-200</f>
        <v>200</v>
      </c>
      <c r="AD173" s="196"/>
      <c r="AE173" s="196"/>
      <c r="AF173" s="196"/>
    </row>
    <row r="174" spans="1:32" s="11" customFormat="1" ht="43.5" customHeight="1" outlineLevel="1" x14ac:dyDescent="0.2">
      <c r="A174" s="207" t="s">
        <v>1163</v>
      </c>
      <c r="B174" s="206" t="s">
        <v>619</v>
      </c>
      <c r="C174" s="331">
        <f t="shared" si="64"/>
        <v>0</v>
      </c>
      <c r="D174" s="207">
        <f t="shared" si="62"/>
        <v>592</v>
      </c>
      <c r="E174" s="170">
        <v>0</v>
      </c>
      <c r="F174" s="204">
        <f t="shared" si="63"/>
        <v>0</v>
      </c>
      <c r="G174" s="204">
        <v>0</v>
      </c>
      <c r="H174" s="171">
        <v>0</v>
      </c>
      <c r="I174" s="171">
        <v>0</v>
      </c>
      <c r="J174" s="331">
        <v>0</v>
      </c>
      <c r="K174" s="193">
        <f>L174+M174+N174</f>
        <v>0</v>
      </c>
      <c r="L174" s="193">
        <v>0</v>
      </c>
      <c r="M174" s="193">
        <v>0</v>
      </c>
      <c r="N174" s="193">
        <v>0</v>
      </c>
      <c r="O174" s="192">
        <v>0</v>
      </c>
      <c r="P174" s="193">
        <f t="shared" si="65"/>
        <v>0</v>
      </c>
      <c r="Q174" s="193">
        <v>0</v>
      </c>
      <c r="R174" s="193">
        <v>0</v>
      </c>
      <c r="S174" s="193">
        <v>0</v>
      </c>
      <c r="T174" s="192">
        <v>0</v>
      </c>
      <c r="U174" s="193">
        <f>X174+W174+V174</f>
        <v>592</v>
      </c>
      <c r="V174" s="193">
        <v>0</v>
      </c>
      <c r="W174" s="193">
        <v>0</v>
      </c>
      <c r="X174" s="193">
        <f>598-6</f>
        <v>592</v>
      </c>
      <c r="Y174" s="192">
        <v>0</v>
      </c>
      <c r="Z174" s="193">
        <f>AA174+AB174+AC174+AD174</f>
        <v>0</v>
      </c>
      <c r="AA174" s="193">
        <v>0</v>
      </c>
      <c r="AB174" s="193">
        <v>0</v>
      </c>
      <c r="AC174" s="193">
        <f>8256-8256</f>
        <v>0</v>
      </c>
      <c r="AD174" s="196"/>
      <c r="AE174" s="196"/>
      <c r="AF174" s="196"/>
    </row>
    <row r="175" spans="1:32" s="11" customFormat="1" ht="79.5" customHeight="1" outlineLevel="1" x14ac:dyDescent="0.2">
      <c r="A175" s="207" t="s">
        <v>1164</v>
      </c>
      <c r="B175" s="206" t="s">
        <v>18</v>
      </c>
      <c r="C175" s="331">
        <f t="shared" si="64"/>
        <v>0</v>
      </c>
      <c r="D175" s="207">
        <f t="shared" si="62"/>
        <v>772</v>
      </c>
      <c r="E175" s="170">
        <v>0</v>
      </c>
      <c r="F175" s="204">
        <f t="shared" si="63"/>
        <v>97</v>
      </c>
      <c r="G175" s="204">
        <v>0</v>
      </c>
      <c r="H175" s="171">
        <v>0</v>
      </c>
      <c r="I175" s="171">
        <v>97</v>
      </c>
      <c r="J175" s="331">
        <v>0</v>
      </c>
      <c r="K175" s="193">
        <f>L175+M175+N175</f>
        <v>174</v>
      </c>
      <c r="L175" s="193">
        <v>0</v>
      </c>
      <c r="M175" s="193">
        <v>0</v>
      </c>
      <c r="N175" s="193">
        <f>143+31</f>
        <v>174</v>
      </c>
      <c r="O175" s="192">
        <v>0</v>
      </c>
      <c r="P175" s="193">
        <f t="shared" si="65"/>
        <v>501</v>
      </c>
      <c r="Q175" s="193">
        <v>0</v>
      </c>
      <c r="R175" s="193">
        <v>0</v>
      </c>
      <c r="S175" s="193">
        <f>119+169-6+219</f>
        <v>501</v>
      </c>
      <c r="T175" s="192">
        <v>0</v>
      </c>
      <c r="U175" s="193">
        <f>V175+W175+X175</f>
        <v>0</v>
      </c>
      <c r="V175" s="193">
        <v>0</v>
      </c>
      <c r="W175" s="193">
        <v>0</v>
      </c>
      <c r="X175" s="193">
        <f>119-119</f>
        <v>0</v>
      </c>
      <c r="Y175" s="192">
        <v>0</v>
      </c>
      <c r="Z175" s="193">
        <v>0</v>
      </c>
      <c r="AA175" s="193">
        <v>0</v>
      </c>
      <c r="AB175" s="193">
        <v>0</v>
      </c>
      <c r="AC175" s="193">
        <v>0</v>
      </c>
      <c r="AD175" s="196"/>
      <c r="AE175" s="196"/>
      <c r="AF175" s="196"/>
    </row>
    <row r="176" spans="1:32" s="11" customFormat="1" ht="114" customHeight="1" outlineLevel="1" x14ac:dyDescent="0.2">
      <c r="A176" s="207" t="s">
        <v>1165</v>
      </c>
      <c r="B176" s="206" t="s">
        <v>326</v>
      </c>
      <c r="C176" s="331">
        <f t="shared" si="64"/>
        <v>0</v>
      </c>
      <c r="D176" s="207">
        <f t="shared" si="62"/>
        <v>30</v>
      </c>
      <c r="E176" s="170">
        <v>0</v>
      </c>
      <c r="F176" s="204">
        <f t="shared" si="63"/>
        <v>30</v>
      </c>
      <c r="G176" s="204">
        <v>0</v>
      </c>
      <c r="H176" s="171">
        <v>0</v>
      </c>
      <c r="I176" s="171">
        <v>30</v>
      </c>
      <c r="J176" s="331">
        <v>0</v>
      </c>
      <c r="K176" s="193">
        <v>0</v>
      </c>
      <c r="L176" s="193">
        <v>0</v>
      </c>
      <c r="M176" s="193">
        <v>0</v>
      </c>
      <c r="N176" s="193">
        <v>0</v>
      </c>
      <c r="O176" s="192">
        <v>0</v>
      </c>
      <c r="P176" s="193">
        <f t="shared" si="65"/>
        <v>0</v>
      </c>
      <c r="Q176" s="193">
        <v>0</v>
      </c>
      <c r="R176" s="193">
        <v>0</v>
      </c>
      <c r="S176" s="193">
        <v>0</v>
      </c>
      <c r="T176" s="192">
        <v>0</v>
      </c>
      <c r="U176" s="193">
        <f t="shared" ref="U176" si="66">V176+W176+X176</f>
        <v>0</v>
      </c>
      <c r="V176" s="193">
        <v>0</v>
      </c>
      <c r="W176" s="193">
        <v>0</v>
      </c>
      <c r="X176" s="193">
        <v>0</v>
      </c>
      <c r="Y176" s="192">
        <v>0</v>
      </c>
      <c r="Z176" s="193">
        <v>0</v>
      </c>
      <c r="AA176" s="193">
        <v>0</v>
      </c>
      <c r="AB176" s="193">
        <v>0</v>
      </c>
      <c r="AC176" s="193">
        <v>0</v>
      </c>
      <c r="AD176" s="196"/>
      <c r="AE176" s="196"/>
      <c r="AF176" s="196"/>
    </row>
    <row r="177" spans="1:32" s="11" customFormat="1" ht="73.5" customHeight="1" outlineLevel="1" x14ac:dyDescent="0.2">
      <c r="A177" s="207" t="s">
        <v>1166</v>
      </c>
      <c r="B177" s="206" t="s">
        <v>19</v>
      </c>
      <c r="C177" s="331">
        <f t="shared" si="64"/>
        <v>0</v>
      </c>
      <c r="D177" s="207">
        <f t="shared" si="62"/>
        <v>1631</v>
      </c>
      <c r="E177" s="170">
        <v>0</v>
      </c>
      <c r="F177" s="204">
        <f t="shared" si="63"/>
        <v>0</v>
      </c>
      <c r="G177" s="204">
        <v>0</v>
      </c>
      <c r="H177" s="171">
        <v>0</v>
      </c>
      <c r="I177" s="171">
        <v>0</v>
      </c>
      <c r="J177" s="331">
        <v>0</v>
      </c>
      <c r="K177" s="193">
        <f t="shared" ref="K177:K207" si="67">L177+M177+N177</f>
        <v>534</v>
      </c>
      <c r="L177" s="193">
        <v>0</v>
      </c>
      <c r="M177" s="193">
        <v>0</v>
      </c>
      <c r="N177" s="193">
        <f>565-31</f>
        <v>534</v>
      </c>
      <c r="O177" s="192">
        <v>0</v>
      </c>
      <c r="P177" s="193">
        <f t="shared" si="65"/>
        <v>97</v>
      </c>
      <c r="Q177" s="193">
        <v>0</v>
      </c>
      <c r="R177" s="193">
        <v>0</v>
      </c>
      <c r="S177" s="193">
        <f>317-101+1-120</f>
        <v>97</v>
      </c>
      <c r="T177" s="192">
        <v>0</v>
      </c>
      <c r="U177" s="193">
        <f>V177+W177+X177</f>
        <v>500</v>
      </c>
      <c r="V177" s="193">
        <v>0</v>
      </c>
      <c r="W177" s="193">
        <v>0</v>
      </c>
      <c r="X177" s="193">
        <v>500</v>
      </c>
      <c r="Y177" s="192">
        <v>0</v>
      </c>
      <c r="Z177" s="193">
        <f>AA177+AB177+AC177</f>
        <v>500</v>
      </c>
      <c r="AA177" s="193">
        <v>0</v>
      </c>
      <c r="AB177" s="193">
        <v>0</v>
      </c>
      <c r="AC177" s="193">
        <v>500</v>
      </c>
      <c r="AD177" s="196"/>
      <c r="AE177" s="196"/>
      <c r="AF177" s="196"/>
    </row>
    <row r="178" spans="1:32" s="11" customFormat="1" ht="61.5" customHeight="1" outlineLevel="1" x14ac:dyDescent="0.2">
      <c r="A178" s="207" t="s">
        <v>1167</v>
      </c>
      <c r="B178" s="206" t="s">
        <v>347</v>
      </c>
      <c r="C178" s="331">
        <f t="shared" si="64"/>
        <v>0</v>
      </c>
      <c r="D178" s="207">
        <f t="shared" si="62"/>
        <v>872</v>
      </c>
      <c r="E178" s="170">
        <v>0</v>
      </c>
      <c r="F178" s="204">
        <f t="shared" si="63"/>
        <v>0</v>
      </c>
      <c r="G178" s="204">
        <v>0</v>
      </c>
      <c r="H178" s="171">
        <v>0</v>
      </c>
      <c r="I178" s="204">
        <v>0</v>
      </c>
      <c r="J178" s="331">
        <v>0</v>
      </c>
      <c r="K178" s="193">
        <f t="shared" si="67"/>
        <v>872</v>
      </c>
      <c r="L178" s="193">
        <v>0</v>
      </c>
      <c r="M178" s="193">
        <v>0</v>
      </c>
      <c r="N178" s="193">
        <v>872</v>
      </c>
      <c r="O178" s="192">
        <v>0</v>
      </c>
      <c r="P178" s="193">
        <f>Q178+R178+S178</f>
        <v>0</v>
      </c>
      <c r="Q178" s="193">
        <v>0</v>
      </c>
      <c r="R178" s="193">
        <v>0</v>
      </c>
      <c r="S178" s="193">
        <v>0</v>
      </c>
      <c r="T178" s="192">
        <v>0</v>
      </c>
      <c r="U178" s="193">
        <f>V178+W178+X178</f>
        <v>0</v>
      </c>
      <c r="V178" s="193">
        <v>0</v>
      </c>
      <c r="W178" s="193">
        <v>0</v>
      </c>
      <c r="X178" s="193">
        <v>0</v>
      </c>
      <c r="Y178" s="192">
        <v>0</v>
      </c>
      <c r="Z178" s="193">
        <f>AA178+AB178+AC178</f>
        <v>0</v>
      </c>
      <c r="AA178" s="193">
        <v>0</v>
      </c>
      <c r="AB178" s="193">
        <v>0</v>
      </c>
      <c r="AC178" s="193">
        <v>0</v>
      </c>
      <c r="AD178" s="196"/>
      <c r="AE178" s="196"/>
      <c r="AF178" s="196"/>
    </row>
    <row r="179" spans="1:32" s="10" customFormat="1" ht="57.75" customHeight="1" outlineLevel="1" x14ac:dyDescent="0.2">
      <c r="A179" s="207" t="s">
        <v>1168</v>
      </c>
      <c r="B179" s="191" t="s">
        <v>507</v>
      </c>
      <c r="C179" s="192">
        <f t="shared" si="64"/>
        <v>0</v>
      </c>
      <c r="D179" s="207">
        <f t="shared" si="62"/>
        <v>3393</v>
      </c>
      <c r="E179" s="170">
        <f t="shared" ref="E179:E182" si="68">G179+L179+Q179+V179+AA179</f>
        <v>0</v>
      </c>
      <c r="F179" s="171">
        <f t="shared" ref="F179:F188" si="69">G179+H179+I179</f>
        <v>0</v>
      </c>
      <c r="G179" s="171">
        <v>0</v>
      </c>
      <c r="H179" s="171">
        <v>0</v>
      </c>
      <c r="I179" s="171">
        <v>0</v>
      </c>
      <c r="J179" s="192">
        <v>0</v>
      </c>
      <c r="K179" s="193">
        <f t="shared" si="67"/>
        <v>0</v>
      </c>
      <c r="L179" s="193">
        <v>0</v>
      </c>
      <c r="M179" s="193">
        <v>0</v>
      </c>
      <c r="N179" s="193">
        <v>0</v>
      </c>
      <c r="O179" s="192">
        <v>0</v>
      </c>
      <c r="P179" s="193">
        <f t="shared" ref="P179:P207" si="70">Q179+R179+S179</f>
        <v>3393</v>
      </c>
      <c r="Q179" s="193">
        <v>0</v>
      </c>
      <c r="R179" s="193">
        <v>0</v>
      </c>
      <c r="S179" s="193">
        <f>3782-37-352</f>
        <v>3393</v>
      </c>
      <c r="T179" s="195">
        <v>0</v>
      </c>
      <c r="U179" s="194">
        <v>0</v>
      </c>
      <c r="V179" s="194">
        <v>0</v>
      </c>
      <c r="W179" s="194">
        <v>0</v>
      </c>
      <c r="X179" s="194">
        <v>0</v>
      </c>
      <c r="Y179" s="192">
        <v>0</v>
      </c>
      <c r="Z179" s="193">
        <f t="shared" ref="Z179:Z206" si="71">AA179+AB179+AC179</f>
        <v>0</v>
      </c>
      <c r="AA179" s="193">
        <v>0</v>
      </c>
      <c r="AB179" s="193">
        <v>0</v>
      </c>
      <c r="AC179" s="193">
        <f>13507-13507</f>
        <v>0</v>
      </c>
      <c r="AD179" s="189"/>
      <c r="AE179" s="189"/>
      <c r="AF179" s="189"/>
    </row>
    <row r="180" spans="1:32" s="10" customFormat="1" ht="71.45" customHeight="1" outlineLevel="1" x14ac:dyDescent="0.2">
      <c r="A180" s="207" t="s">
        <v>1169</v>
      </c>
      <c r="B180" s="191" t="s">
        <v>527</v>
      </c>
      <c r="C180" s="192">
        <f t="shared" si="64"/>
        <v>7.51</v>
      </c>
      <c r="D180" s="207">
        <f t="shared" si="62"/>
        <v>25000</v>
      </c>
      <c r="E180" s="170">
        <f t="shared" si="68"/>
        <v>0</v>
      </c>
      <c r="F180" s="171">
        <f t="shared" si="69"/>
        <v>0</v>
      </c>
      <c r="G180" s="171">
        <v>0</v>
      </c>
      <c r="H180" s="171">
        <v>0</v>
      </c>
      <c r="I180" s="171">
        <v>0</v>
      </c>
      <c r="J180" s="192">
        <v>0</v>
      </c>
      <c r="K180" s="193">
        <f t="shared" si="67"/>
        <v>0</v>
      </c>
      <c r="L180" s="193">
        <v>0</v>
      </c>
      <c r="M180" s="193">
        <v>0</v>
      </c>
      <c r="N180" s="193">
        <v>0</v>
      </c>
      <c r="O180" s="192">
        <v>7.51</v>
      </c>
      <c r="P180" s="193">
        <f t="shared" si="70"/>
        <v>25000</v>
      </c>
      <c r="Q180" s="193">
        <v>0</v>
      </c>
      <c r="R180" s="193">
        <v>0</v>
      </c>
      <c r="S180" s="193">
        <v>25000</v>
      </c>
      <c r="T180" s="195">
        <v>0</v>
      </c>
      <c r="U180" s="194">
        <v>0</v>
      </c>
      <c r="V180" s="194">
        <v>0</v>
      </c>
      <c r="W180" s="194">
        <v>0</v>
      </c>
      <c r="X180" s="194">
        <v>0</v>
      </c>
      <c r="Y180" s="192">
        <v>0</v>
      </c>
      <c r="Z180" s="193">
        <f t="shared" si="71"/>
        <v>0</v>
      </c>
      <c r="AA180" s="193">
        <v>0</v>
      </c>
      <c r="AB180" s="193">
        <v>0</v>
      </c>
      <c r="AC180" s="193">
        <v>0</v>
      </c>
      <c r="AD180" s="189"/>
      <c r="AE180" s="189"/>
      <c r="AF180" s="189"/>
    </row>
    <row r="181" spans="1:32" s="10" customFormat="1" ht="71.45" customHeight="1" outlineLevel="1" x14ac:dyDescent="0.2">
      <c r="A181" s="207" t="s">
        <v>1170</v>
      </c>
      <c r="B181" s="191" t="s">
        <v>528</v>
      </c>
      <c r="C181" s="192">
        <f t="shared" si="64"/>
        <v>94.9</v>
      </c>
      <c r="D181" s="207">
        <f t="shared" si="62"/>
        <v>317153</v>
      </c>
      <c r="E181" s="170">
        <f t="shared" si="68"/>
        <v>0</v>
      </c>
      <c r="F181" s="171">
        <f t="shared" si="69"/>
        <v>0</v>
      </c>
      <c r="G181" s="171">
        <v>0</v>
      </c>
      <c r="H181" s="171">
        <v>0</v>
      </c>
      <c r="I181" s="171">
        <v>0</v>
      </c>
      <c r="J181" s="192">
        <v>0</v>
      </c>
      <c r="K181" s="193">
        <f t="shared" si="67"/>
        <v>0</v>
      </c>
      <c r="L181" s="193">
        <v>0</v>
      </c>
      <c r="M181" s="193">
        <v>0</v>
      </c>
      <c r="N181" s="193">
        <v>0</v>
      </c>
      <c r="O181" s="192">
        <v>94.9</v>
      </c>
      <c r="P181" s="193">
        <f t="shared" si="70"/>
        <v>317153</v>
      </c>
      <c r="Q181" s="193">
        <v>0</v>
      </c>
      <c r="R181" s="193">
        <f>300000-1242</f>
        <v>298758</v>
      </c>
      <c r="S181" s="193">
        <f>18471-76</f>
        <v>18395</v>
      </c>
      <c r="T181" s="195">
        <v>0</v>
      </c>
      <c r="U181" s="194">
        <v>0</v>
      </c>
      <c r="V181" s="194">
        <v>0</v>
      </c>
      <c r="W181" s="194">
        <v>0</v>
      </c>
      <c r="X181" s="194">
        <v>0</v>
      </c>
      <c r="Y181" s="192">
        <v>0</v>
      </c>
      <c r="Z181" s="193">
        <f t="shared" si="71"/>
        <v>0</v>
      </c>
      <c r="AA181" s="193">
        <v>0</v>
      </c>
      <c r="AB181" s="193">
        <v>0</v>
      </c>
      <c r="AC181" s="193">
        <v>0</v>
      </c>
      <c r="AD181" s="213"/>
      <c r="AE181" s="189"/>
      <c r="AF181" s="189"/>
    </row>
    <row r="182" spans="1:32" s="10" customFormat="1" ht="71.45" customHeight="1" outlineLevel="1" x14ac:dyDescent="0.2">
      <c r="A182" s="207" t="s">
        <v>1171</v>
      </c>
      <c r="B182" s="191" t="s">
        <v>529</v>
      </c>
      <c r="C182" s="192">
        <f t="shared" si="64"/>
        <v>10.35</v>
      </c>
      <c r="D182" s="207">
        <f t="shared" si="62"/>
        <v>23602</v>
      </c>
      <c r="E182" s="170">
        <f t="shared" si="68"/>
        <v>0</v>
      </c>
      <c r="F182" s="171">
        <f t="shared" si="69"/>
        <v>0</v>
      </c>
      <c r="G182" s="171">
        <v>0</v>
      </c>
      <c r="H182" s="171">
        <v>0</v>
      </c>
      <c r="I182" s="171">
        <v>0</v>
      </c>
      <c r="J182" s="192">
        <v>0</v>
      </c>
      <c r="K182" s="193">
        <f t="shared" si="67"/>
        <v>0</v>
      </c>
      <c r="L182" s="193">
        <v>0</v>
      </c>
      <c r="M182" s="193">
        <v>0</v>
      </c>
      <c r="N182" s="193">
        <v>0</v>
      </c>
      <c r="O182" s="192">
        <v>10.35</v>
      </c>
      <c r="P182" s="193">
        <f t="shared" si="70"/>
        <v>23602</v>
      </c>
      <c r="Q182" s="193">
        <v>0</v>
      </c>
      <c r="R182" s="193">
        <f>20550+1683</f>
        <v>22233</v>
      </c>
      <c r="S182" s="193">
        <f>1265+104</f>
        <v>1369</v>
      </c>
      <c r="T182" s="195">
        <v>0</v>
      </c>
      <c r="U182" s="194">
        <v>0</v>
      </c>
      <c r="V182" s="194">
        <v>0</v>
      </c>
      <c r="W182" s="194">
        <v>0</v>
      </c>
      <c r="X182" s="194">
        <v>0</v>
      </c>
      <c r="Y182" s="192">
        <v>0</v>
      </c>
      <c r="Z182" s="193">
        <f t="shared" si="71"/>
        <v>0</v>
      </c>
      <c r="AA182" s="193">
        <v>0</v>
      </c>
      <c r="AB182" s="193">
        <v>0</v>
      </c>
      <c r="AC182" s="193">
        <v>0</v>
      </c>
      <c r="AD182" s="189"/>
      <c r="AE182" s="189"/>
      <c r="AF182" s="189"/>
    </row>
    <row r="183" spans="1:32" s="10" customFormat="1" ht="71.45" customHeight="1" outlineLevel="1" x14ac:dyDescent="0.2">
      <c r="A183" s="207" t="s">
        <v>1172</v>
      </c>
      <c r="B183" s="191" t="s">
        <v>530</v>
      </c>
      <c r="C183" s="192">
        <f t="shared" si="64"/>
        <v>0</v>
      </c>
      <c r="D183" s="207">
        <f t="shared" si="62"/>
        <v>8779</v>
      </c>
      <c r="E183" s="170">
        <f>G183+L183+Q183+V183+AA183</f>
        <v>0</v>
      </c>
      <c r="F183" s="171">
        <f t="shared" si="69"/>
        <v>0</v>
      </c>
      <c r="G183" s="171">
        <v>0</v>
      </c>
      <c r="H183" s="171">
        <v>0</v>
      </c>
      <c r="I183" s="171">
        <v>0</v>
      </c>
      <c r="J183" s="192">
        <v>0</v>
      </c>
      <c r="K183" s="193">
        <f t="shared" si="67"/>
        <v>0</v>
      </c>
      <c r="L183" s="193">
        <v>0</v>
      </c>
      <c r="M183" s="193">
        <v>0</v>
      </c>
      <c r="N183" s="193">
        <v>0</v>
      </c>
      <c r="O183" s="192">
        <v>0</v>
      </c>
      <c r="P183" s="193">
        <f t="shared" si="70"/>
        <v>8779</v>
      </c>
      <c r="Q183" s="193">
        <v>0</v>
      </c>
      <c r="R183" s="193">
        <f>13450-5180</f>
        <v>8270</v>
      </c>
      <c r="S183" s="193">
        <f>829-320</f>
        <v>509</v>
      </c>
      <c r="T183" s="195">
        <v>0</v>
      </c>
      <c r="U183" s="194">
        <v>0</v>
      </c>
      <c r="V183" s="194">
        <v>0</v>
      </c>
      <c r="W183" s="194">
        <v>0</v>
      </c>
      <c r="X183" s="194">
        <v>0</v>
      </c>
      <c r="Y183" s="192">
        <v>0</v>
      </c>
      <c r="Z183" s="193">
        <f t="shared" si="71"/>
        <v>0</v>
      </c>
      <c r="AA183" s="193">
        <v>0</v>
      </c>
      <c r="AB183" s="193">
        <v>0</v>
      </c>
      <c r="AC183" s="193">
        <v>0</v>
      </c>
      <c r="AD183" s="189"/>
      <c r="AE183" s="189"/>
      <c r="AF183" s="189"/>
    </row>
    <row r="184" spans="1:32" s="10" customFormat="1" ht="71.45" customHeight="1" outlineLevel="1" x14ac:dyDescent="0.2">
      <c r="A184" s="207" t="s">
        <v>1173</v>
      </c>
      <c r="B184" s="191" t="s">
        <v>1303</v>
      </c>
      <c r="C184" s="192">
        <f t="shared" si="64"/>
        <v>30.23</v>
      </c>
      <c r="D184" s="207">
        <f t="shared" si="62"/>
        <v>118316</v>
      </c>
      <c r="E184" s="170">
        <f t="shared" ref="E184:E187" si="72">G184+L184+Q184+V184+AA184</f>
        <v>0</v>
      </c>
      <c r="F184" s="171">
        <f t="shared" ref="F184:F187" si="73">G184+H184+I184</f>
        <v>0</v>
      </c>
      <c r="G184" s="171">
        <v>0</v>
      </c>
      <c r="H184" s="171">
        <v>0</v>
      </c>
      <c r="I184" s="171">
        <v>0</v>
      </c>
      <c r="J184" s="192">
        <v>0</v>
      </c>
      <c r="K184" s="193">
        <f t="shared" ref="K184:K187" si="74">L184+M184+N184</f>
        <v>0</v>
      </c>
      <c r="L184" s="193">
        <v>0</v>
      </c>
      <c r="M184" s="193">
        <v>0</v>
      </c>
      <c r="N184" s="193">
        <v>0</v>
      </c>
      <c r="O184" s="192">
        <v>0</v>
      </c>
      <c r="P184" s="193">
        <f t="shared" si="70"/>
        <v>0</v>
      </c>
      <c r="Q184" s="193">
        <v>0</v>
      </c>
      <c r="R184" s="193">
        <v>0</v>
      </c>
      <c r="S184" s="193">
        <v>0</v>
      </c>
      <c r="T184" s="195">
        <v>30.23</v>
      </c>
      <c r="U184" s="194">
        <f t="shared" ref="U184:U187" si="75">V184+W184+X184</f>
        <v>118316</v>
      </c>
      <c r="V184" s="194">
        <v>0</v>
      </c>
      <c r="W184" s="194">
        <v>114767</v>
      </c>
      <c r="X184" s="194">
        <v>3549</v>
      </c>
      <c r="Y184" s="192">
        <v>0</v>
      </c>
      <c r="Z184" s="193">
        <v>0</v>
      </c>
      <c r="AA184" s="193">
        <v>0</v>
      </c>
      <c r="AB184" s="193">
        <v>0</v>
      </c>
      <c r="AC184" s="193">
        <v>0</v>
      </c>
      <c r="AD184" s="213">
        <f>U184+U185+U186+U187</f>
        <v>597517</v>
      </c>
      <c r="AE184" s="189"/>
      <c r="AF184" s="189"/>
    </row>
    <row r="185" spans="1:32" s="10" customFormat="1" ht="71.45" customHeight="1" outlineLevel="1" x14ac:dyDescent="0.2">
      <c r="A185" s="207" t="s">
        <v>1174</v>
      </c>
      <c r="B185" s="191" t="s">
        <v>1304</v>
      </c>
      <c r="C185" s="192">
        <f t="shared" si="64"/>
        <v>47.6</v>
      </c>
      <c r="D185" s="207">
        <f t="shared" si="62"/>
        <v>173665</v>
      </c>
      <c r="E185" s="170">
        <f t="shared" si="72"/>
        <v>0</v>
      </c>
      <c r="F185" s="171">
        <f t="shared" si="73"/>
        <v>0</v>
      </c>
      <c r="G185" s="171">
        <v>0</v>
      </c>
      <c r="H185" s="171">
        <v>0</v>
      </c>
      <c r="I185" s="171">
        <v>0</v>
      </c>
      <c r="J185" s="192">
        <v>0</v>
      </c>
      <c r="K185" s="193">
        <f t="shared" si="74"/>
        <v>0</v>
      </c>
      <c r="L185" s="193">
        <v>0</v>
      </c>
      <c r="M185" s="193">
        <v>0</v>
      </c>
      <c r="N185" s="193">
        <v>0</v>
      </c>
      <c r="O185" s="192">
        <v>0</v>
      </c>
      <c r="P185" s="193">
        <f t="shared" si="70"/>
        <v>0</v>
      </c>
      <c r="Q185" s="193">
        <v>0</v>
      </c>
      <c r="R185" s="193">
        <v>0</v>
      </c>
      <c r="S185" s="193">
        <v>0</v>
      </c>
      <c r="T185" s="195">
        <v>47.6</v>
      </c>
      <c r="U185" s="194">
        <f t="shared" si="75"/>
        <v>173665</v>
      </c>
      <c r="V185" s="194">
        <v>0</v>
      </c>
      <c r="W185" s="194">
        <v>168455</v>
      </c>
      <c r="X185" s="194">
        <v>5210</v>
      </c>
      <c r="Y185" s="192">
        <v>0</v>
      </c>
      <c r="Z185" s="193">
        <v>0</v>
      </c>
      <c r="AA185" s="193">
        <v>0</v>
      </c>
      <c r="AB185" s="193">
        <v>0</v>
      </c>
      <c r="AC185" s="193">
        <v>0</v>
      </c>
      <c r="AD185" s="189"/>
      <c r="AE185" s="189"/>
      <c r="AF185" s="189"/>
    </row>
    <row r="186" spans="1:32" s="10" customFormat="1" ht="71.45" customHeight="1" outlineLevel="1" x14ac:dyDescent="0.2">
      <c r="A186" s="207" t="s">
        <v>1175</v>
      </c>
      <c r="B186" s="191" t="s">
        <v>1306</v>
      </c>
      <c r="C186" s="192">
        <f t="shared" si="64"/>
        <v>35.590000000000003</v>
      </c>
      <c r="D186" s="207">
        <f t="shared" si="62"/>
        <v>147512</v>
      </c>
      <c r="E186" s="170">
        <f t="shared" si="72"/>
        <v>0</v>
      </c>
      <c r="F186" s="171">
        <f t="shared" si="73"/>
        <v>0</v>
      </c>
      <c r="G186" s="171">
        <v>0</v>
      </c>
      <c r="H186" s="171">
        <v>0</v>
      </c>
      <c r="I186" s="171">
        <v>0</v>
      </c>
      <c r="J186" s="192">
        <v>0</v>
      </c>
      <c r="K186" s="193">
        <f t="shared" si="74"/>
        <v>0</v>
      </c>
      <c r="L186" s="193">
        <v>0</v>
      </c>
      <c r="M186" s="193">
        <v>0</v>
      </c>
      <c r="N186" s="193">
        <v>0</v>
      </c>
      <c r="O186" s="192">
        <v>0</v>
      </c>
      <c r="P186" s="193">
        <f t="shared" si="70"/>
        <v>0</v>
      </c>
      <c r="Q186" s="193">
        <v>0</v>
      </c>
      <c r="R186" s="193">
        <v>0</v>
      </c>
      <c r="S186" s="193">
        <v>0</v>
      </c>
      <c r="T186" s="195">
        <v>35.590000000000003</v>
      </c>
      <c r="U186" s="194">
        <f t="shared" si="75"/>
        <v>147512</v>
      </c>
      <c r="V186" s="194">
        <v>0</v>
      </c>
      <c r="W186" s="194">
        <v>143087</v>
      </c>
      <c r="X186" s="194">
        <v>4425</v>
      </c>
      <c r="Y186" s="192">
        <v>0</v>
      </c>
      <c r="Z186" s="193">
        <v>0</v>
      </c>
      <c r="AA186" s="193">
        <v>0</v>
      </c>
      <c r="AB186" s="193">
        <v>0</v>
      </c>
      <c r="AC186" s="193">
        <v>0</v>
      </c>
      <c r="AD186" s="189"/>
      <c r="AE186" s="189"/>
      <c r="AF186" s="189"/>
    </row>
    <row r="187" spans="1:32" s="10" customFormat="1" ht="71.45" customHeight="1" outlineLevel="1" x14ac:dyDescent="0.2">
      <c r="A187" s="207" t="s">
        <v>1176</v>
      </c>
      <c r="B187" s="191" t="s">
        <v>1305</v>
      </c>
      <c r="C187" s="192">
        <f t="shared" si="64"/>
        <v>41.85</v>
      </c>
      <c r="D187" s="207">
        <f t="shared" si="62"/>
        <v>158024</v>
      </c>
      <c r="E187" s="170">
        <f t="shared" si="72"/>
        <v>0</v>
      </c>
      <c r="F187" s="171">
        <f t="shared" si="73"/>
        <v>0</v>
      </c>
      <c r="G187" s="171">
        <v>0</v>
      </c>
      <c r="H187" s="171">
        <v>0</v>
      </c>
      <c r="I187" s="171">
        <v>0</v>
      </c>
      <c r="J187" s="192">
        <v>0</v>
      </c>
      <c r="K187" s="193">
        <f t="shared" si="74"/>
        <v>0</v>
      </c>
      <c r="L187" s="193">
        <v>0</v>
      </c>
      <c r="M187" s="193">
        <v>0</v>
      </c>
      <c r="N187" s="193">
        <v>0</v>
      </c>
      <c r="O187" s="192">
        <v>0</v>
      </c>
      <c r="P187" s="193">
        <f t="shared" si="70"/>
        <v>0</v>
      </c>
      <c r="Q187" s="193">
        <v>0</v>
      </c>
      <c r="R187" s="193">
        <v>0</v>
      </c>
      <c r="S187" s="193">
        <v>0</v>
      </c>
      <c r="T187" s="195">
        <v>41.85</v>
      </c>
      <c r="U187" s="194">
        <f t="shared" si="75"/>
        <v>158024</v>
      </c>
      <c r="V187" s="194">
        <v>0</v>
      </c>
      <c r="W187" s="194">
        <v>153283</v>
      </c>
      <c r="X187" s="194">
        <v>4741</v>
      </c>
      <c r="Y187" s="192">
        <v>0</v>
      </c>
      <c r="Z187" s="193">
        <v>0</v>
      </c>
      <c r="AA187" s="193">
        <v>0</v>
      </c>
      <c r="AB187" s="193">
        <v>0</v>
      </c>
      <c r="AC187" s="193">
        <v>0</v>
      </c>
      <c r="AD187" s="189"/>
      <c r="AE187" s="189"/>
      <c r="AF187" s="189"/>
    </row>
    <row r="188" spans="1:32" s="10" customFormat="1" ht="86.25" customHeight="1" outlineLevel="1" x14ac:dyDescent="0.2">
      <c r="A188" s="207" t="s">
        <v>1177</v>
      </c>
      <c r="B188" s="191" t="s">
        <v>531</v>
      </c>
      <c r="C188" s="192">
        <f t="shared" si="64"/>
        <v>45</v>
      </c>
      <c r="D188" s="207">
        <f t="shared" si="62"/>
        <v>300000</v>
      </c>
      <c r="E188" s="170">
        <f>G188+L188+Q188+V188+AA188</f>
        <v>0</v>
      </c>
      <c r="F188" s="171">
        <f t="shared" si="69"/>
        <v>0</v>
      </c>
      <c r="G188" s="171">
        <v>0</v>
      </c>
      <c r="H188" s="171">
        <v>0</v>
      </c>
      <c r="I188" s="171">
        <v>0</v>
      </c>
      <c r="J188" s="192">
        <v>0</v>
      </c>
      <c r="K188" s="193">
        <f t="shared" si="67"/>
        <v>0</v>
      </c>
      <c r="L188" s="193">
        <v>0</v>
      </c>
      <c r="M188" s="193">
        <v>0</v>
      </c>
      <c r="N188" s="193">
        <v>0</v>
      </c>
      <c r="O188" s="192">
        <v>45</v>
      </c>
      <c r="P188" s="193">
        <f t="shared" si="70"/>
        <v>90000</v>
      </c>
      <c r="Q188" s="193">
        <v>0</v>
      </c>
      <c r="R188" s="193">
        <v>0</v>
      </c>
      <c r="S188" s="193">
        <v>90000</v>
      </c>
      <c r="T188" s="195">
        <v>0</v>
      </c>
      <c r="U188" s="194">
        <f>V188+W188+X188</f>
        <v>100000</v>
      </c>
      <c r="V188" s="194">
        <v>0</v>
      </c>
      <c r="W188" s="194">
        <v>0</v>
      </c>
      <c r="X188" s="194">
        <v>100000</v>
      </c>
      <c r="Y188" s="192">
        <v>0</v>
      </c>
      <c r="Z188" s="193">
        <f t="shared" si="71"/>
        <v>110000</v>
      </c>
      <c r="AA188" s="193">
        <v>0</v>
      </c>
      <c r="AB188" s="193">
        <v>0</v>
      </c>
      <c r="AC188" s="193">
        <f>50000+60000</f>
        <v>110000</v>
      </c>
      <c r="AD188" s="189"/>
      <c r="AE188" s="189"/>
      <c r="AF188" s="189"/>
    </row>
    <row r="189" spans="1:32" s="10" customFormat="1" ht="55.5" customHeight="1" outlineLevel="1" x14ac:dyDescent="0.2">
      <c r="A189" s="207" t="s">
        <v>1178</v>
      </c>
      <c r="B189" s="304" t="s">
        <v>1450</v>
      </c>
      <c r="C189" s="192">
        <f t="shared" ref="C189:C206" si="76">E189+J189+O189+T189+Y189</f>
        <v>2.577</v>
      </c>
      <c r="D189" s="207">
        <f t="shared" ref="D189:D206" si="77">F189+K189+P189+Z189+U189</f>
        <v>99622</v>
      </c>
      <c r="E189" s="170">
        <f t="shared" ref="E189:E205" si="78">G189+L189+Q189+V189+AA189</f>
        <v>0</v>
      </c>
      <c r="F189" s="171">
        <f t="shared" ref="F189:F205" si="79">G189+H189+I189</f>
        <v>0</v>
      </c>
      <c r="G189" s="171">
        <v>0</v>
      </c>
      <c r="H189" s="171">
        <v>0</v>
      </c>
      <c r="I189" s="171">
        <v>0</v>
      </c>
      <c r="J189" s="192">
        <v>0</v>
      </c>
      <c r="K189" s="193">
        <f t="shared" ref="K189:K205" si="80">L189+M189+N189</f>
        <v>0</v>
      </c>
      <c r="L189" s="193">
        <v>0</v>
      </c>
      <c r="M189" s="193">
        <v>0</v>
      </c>
      <c r="N189" s="193">
        <v>0</v>
      </c>
      <c r="O189" s="170">
        <v>0</v>
      </c>
      <c r="P189" s="171">
        <f t="shared" si="70"/>
        <v>0</v>
      </c>
      <c r="Q189" s="171">
        <v>0</v>
      </c>
      <c r="R189" s="171">
        <v>0</v>
      </c>
      <c r="S189" s="171">
        <v>0</v>
      </c>
      <c r="T189" s="192">
        <v>0</v>
      </c>
      <c r="U189" s="193">
        <f t="shared" ref="U189:U205" si="81">V189+W189+X189</f>
        <v>0</v>
      </c>
      <c r="V189" s="193">
        <v>0</v>
      </c>
      <c r="W189" s="193">
        <v>0</v>
      </c>
      <c r="X189" s="193">
        <v>0</v>
      </c>
      <c r="Y189" s="192">
        <v>2.577</v>
      </c>
      <c r="Z189" s="193">
        <f t="shared" si="71"/>
        <v>99622</v>
      </c>
      <c r="AA189" s="193">
        <v>0</v>
      </c>
      <c r="AB189" s="193">
        <v>92449</v>
      </c>
      <c r="AC189" s="193">
        <v>7173</v>
      </c>
      <c r="AD189" s="213" t="e">
        <f>Z189+Z190+Z191+Z192+Z193+Z194+#REF!+Z195+Z196+Z197+Z198+Z199+Z200+Z201+Z202+Z203+Z204+Z205</f>
        <v>#REF!</v>
      </c>
      <c r="AE189" s="213" t="e">
        <f>AB189+AB190+AB191+AB192+AB193+AB194+#REF!+AB195+AB196+AB197+AB198+AB199+AB200+AB201+AB202+AB203+AB204+AB205</f>
        <v>#REF!</v>
      </c>
      <c r="AF189" s="213" t="e">
        <f>AC189+AC190+AC191+AC192+AC193+AC194+#REF!+AC195+AC196+AC197+AC198+AC199+AC200+AC201+AC202+AC203+AC204+AC205</f>
        <v>#REF!</v>
      </c>
    </row>
    <row r="190" spans="1:32" s="10" customFormat="1" ht="33" customHeight="1" outlineLevel="1" x14ac:dyDescent="0.2">
      <c r="A190" s="207" t="s">
        <v>1179</v>
      </c>
      <c r="B190" s="304" t="s">
        <v>1451</v>
      </c>
      <c r="C190" s="192">
        <f t="shared" si="76"/>
        <v>0.86</v>
      </c>
      <c r="D190" s="207">
        <f t="shared" si="77"/>
        <v>18047</v>
      </c>
      <c r="E190" s="170">
        <f t="shared" si="78"/>
        <v>0</v>
      </c>
      <c r="F190" s="171">
        <f t="shared" si="79"/>
        <v>0</v>
      </c>
      <c r="G190" s="171">
        <v>0</v>
      </c>
      <c r="H190" s="171">
        <v>0</v>
      </c>
      <c r="I190" s="171">
        <v>0</v>
      </c>
      <c r="J190" s="192">
        <v>0</v>
      </c>
      <c r="K190" s="193">
        <f t="shared" si="80"/>
        <v>0</v>
      </c>
      <c r="L190" s="193">
        <v>0</v>
      </c>
      <c r="M190" s="193">
        <v>0</v>
      </c>
      <c r="N190" s="193">
        <v>0</v>
      </c>
      <c r="O190" s="170">
        <f t="shared" ref="O190:O205" si="82">Q190+V190+AA190+AF190+AK190</f>
        <v>0</v>
      </c>
      <c r="P190" s="171">
        <f t="shared" si="70"/>
        <v>0</v>
      </c>
      <c r="Q190" s="171">
        <v>0</v>
      </c>
      <c r="R190" s="171">
        <v>0</v>
      </c>
      <c r="S190" s="171">
        <v>0</v>
      </c>
      <c r="T190" s="192">
        <v>0</v>
      </c>
      <c r="U190" s="193">
        <f t="shared" si="81"/>
        <v>0</v>
      </c>
      <c r="V190" s="193">
        <v>0</v>
      </c>
      <c r="W190" s="193">
        <v>0</v>
      </c>
      <c r="X190" s="193">
        <v>0</v>
      </c>
      <c r="Y190" s="192">
        <v>0.86</v>
      </c>
      <c r="Z190" s="193">
        <f t="shared" si="71"/>
        <v>18047</v>
      </c>
      <c r="AA190" s="193">
        <v>0</v>
      </c>
      <c r="AB190" s="193">
        <v>16748</v>
      </c>
      <c r="AC190" s="193">
        <v>1299</v>
      </c>
      <c r="AD190" s="189"/>
      <c r="AE190" s="189"/>
      <c r="AF190" s="189"/>
    </row>
    <row r="191" spans="1:32" s="10" customFormat="1" ht="33.75" customHeight="1" outlineLevel="1" x14ac:dyDescent="0.2">
      <c r="A191" s="207" t="s">
        <v>1180</v>
      </c>
      <c r="B191" s="304" t="s">
        <v>1452</v>
      </c>
      <c r="C191" s="192">
        <f t="shared" si="76"/>
        <v>0.93</v>
      </c>
      <c r="D191" s="207">
        <f t="shared" si="77"/>
        <v>23652</v>
      </c>
      <c r="E191" s="170">
        <f t="shared" si="78"/>
        <v>0</v>
      </c>
      <c r="F191" s="171">
        <f t="shared" si="79"/>
        <v>0</v>
      </c>
      <c r="G191" s="171">
        <v>0</v>
      </c>
      <c r="H191" s="171">
        <v>0</v>
      </c>
      <c r="I191" s="171">
        <v>0</v>
      </c>
      <c r="J191" s="192">
        <v>0</v>
      </c>
      <c r="K191" s="193">
        <f t="shared" si="80"/>
        <v>0</v>
      </c>
      <c r="L191" s="193">
        <v>0</v>
      </c>
      <c r="M191" s="193">
        <v>0</v>
      </c>
      <c r="N191" s="193">
        <v>0</v>
      </c>
      <c r="O191" s="170">
        <f t="shared" si="82"/>
        <v>0</v>
      </c>
      <c r="P191" s="171">
        <f t="shared" si="70"/>
        <v>0</v>
      </c>
      <c r="Q191" s="171">
        <v>0</v>
      </c>
      <c r="R191" s="171">
        <v>0</v>
      </c>
      <c r="S191" s="171">
        <v>0</v>
      </c>
      <c r="T191" s="192">
        <v>0</v>
      </c>
      <c r="U191" s="193">
        <f t="shared" si="81"/>
        <v>0</v>
      </c>
      <c r="V191" s="193">
        <v>0</v>
      </c>
      <c r="W191" s="193">
        <v>0</v>
      </c>
      <c r="X191" s="193">
        <v>0</v>
      </c>
      <c r="Y191" s="192">
        <v>0.93</v>
      </c>
      <c r="Z191" s="193">
        <f t="shared" si="71"/>
        <v>23652</v>
      </c>
      <c r="AA191" s="193">
        <v>0</v>
      </c>
      <c r="AB191" s="193">
        <v>21949</v>
      </c>
      <c r="AC191" s="193">
        <v>1703</v>
      </c>
      <c r="AD191" s="189"/>
      <c r="AE191" s="189"/>
      <c r="AF191" s="189"/>
    </row>
    <row r="192" spans="1:32" s="10" customFormat="1" ht="69.75" customHeight="1" outlineLevel="1" x14ac:dyDescent="0.2">
      <c r="A192" s="207" t="s">
        <v>1181</v>
      </c>
      <c r="B192" s="304" t="s">
        <v>1453</v>
      </c>
      <c r="C192" s="192">
        <f t="shared" si="76"/>
        <v>0.55000000000000004</v>
      </c>
      <c r="D192" s="207">
        <f t="shared" si="77"/>
        <v>21899</v>
      </c>
      <c r="E192" s="170">
        <f t="shared" si="78"/>
        <v>0</v>
      </c>
      <c r="F192" s="171">
        <f t="shared" si="79"/>
        <v>0</v>
      </c>
      <c r="G192" s="171">
        <v>0</v>
      </c>
      <c r="H192" s="171">
        <v>0</v>
      </c>
      <c r="I192" s="171">
        <v>0</v>
      </c>
      <c r="J192" s="192">
        <v>0</v>
      </c>
      <c r="K192" s="193">
        <f t="shared" si="80"/>
        <v>0</v>
      </c>
      <c r="L192" s="193">
        <v>0</v>
      </c>
      <c r="M192" s="193">
        <v>0</v>
      </c>
      <c r="N192" s="193">
        <v>0</v>
      </c>
      <c r="O192" s="170">
        <f t="shared" si="82"/>
        <v>0</v>
      </c>
      <c r="P192" s="171">
        <f t="shared" si="70"/>
        <v>0</v>
      </c>
      <c r="Q192" s="171">
        <v>0</v>
      </c>
      <c r="R192" s="171">
        <v>0</v>
      </c>
      <c r="S192" s="171">
        <v>0</v>
      </c>
      <c r="T192" s="192">
        <v>0</v>
      </c>
      <c r="U192" s="193">
        <f t="shared" si="81"/>
        <v>0</v>
      </c>
      <c r="V192" s="193">
        <v>0</v>
      </c>
      <c r="W192" s="193">
        <v>0</v>
      </c>
      <c r="X192" s="193">
        <v>0</v>
      </c>
      <c r="Y192" s="192">
        <v>0.55000000000000004</v>
      </c>
      <c r="Z192" s="193">
        <f t="shared" si="71"/>
        <v>21899</v>
      </c>
      <c r="AA192" s="193">
        <v>0</v>
      </c>
      <c r="AB192" s="193">
        <v>20322</v>
      </c>
      <c r="AC192" s="193">
        <v>1577</v>
      </c>
      <c r="AD192" s="189"/>
      <c r="AE192" s="189"/>
      <c r="AF192" s="189"/>
    </row>
    <row r="193" spans="1:32" s="10" customFormat="1" ht="67.5" customHeight="1" outlineLevel="1" x14ac:dyDescent="0.2">
      <c r="A193" s="207" t="s">
        <v>1182</v>
      </c>
      <c r="B193" s="305" t="s">
        <v>1454</v>
      </c>
      <c r="C193" s="192">
        <f t="shared" si="76"/>
        <v>1.89</v>
      </c>
      <c r="D193" s="207">
        <f t="shared" si="77"/>
        <v>138605</v>
      </c>
      <c r="E193" s="170">
        <f t="shared" si="78"/>
        <v>0</v>
      </c>
      <c r="F193" s="171">
        <f t="shared" si="79"/>
        <v>0</v>
      </c>
      <c r="G193" s="171">
        <v>0</v>
      </c>
      <c r="H193" s="171">
        <v>0</v>
      </c>
      <c r="I193" s="171">
        <v>0</v>
      </c>
      <c r="J193" s="192">
        <v>0</v>
      </c>
      <c r="K193" s="193">
        <f t="shared" si="80"/>
        <v>0</v>
      </c>
      <c r="L193" s="193">
        <v>0</v>
      </c>
      <c r="M193" s="193">
        <v>0</v>
      </c>
      <c r="N193" s="193">
        <v>0</v>
      </c>
      <c r="O193" s="170">
        <f t="shared" si="82"/>
        <v>0</v>
      </c>
      <c r="P193" s="171">
        <f t="shared" si="70"/>
        <v>0</v>
      </c>
      <c r="Q193" s="171">
        <v>0</v>
      </c>
      <c r="R193" s="171">
        <v>0</v>
      </c>
      <c r="S193" s="171">
        <v>0</v>
      </c>
      <c r="T193" s="192">
        <v>0</v>
      </c>
      <c r="U193" s="193">
        <f t="shared" si="81"/>
        <v>0</v>
      </c>
      <c r="V193" s="193">
        <v>0</v>
      </c>
      <c r="W193" s="193">
        <v>0</v>
      </c>
      <c r="X193" s="193">
        <v>0</v>
      </c>
      <c r="Y193" s="192">
        <v>1.89</v>
      </c>
      <c r="Z193" s="193">
        <f t="shared" si="71"/>
        <v>138605</v>
      </c>
      <c r="AA193" s="193">
        <v>0</v>
      </c>
      <c r="AB193" s="193">
        <v>128625</v>
      </c>
      <c r="AC193" s="193">
        <v>9980</v>
      </c>
      <c r="AD193" s="189"/>
      <c r="AE193" s="189"/>
      <c r="AF193" s="189"/>
    </row>
    <row r="194" spans="1:32" s="10" customFormat="1" ht="62.25" customHeight="1" outlineLevel="1" x14ac:dyDescent="0.2">
      <c r="A194" s="207" t="s">
        <v>1183</v>
      </c>
      <c r="B194" s="305" t="s">
        <v>1455</v>
      </c>
      <c r="C194" s="192">
        <f t="shared" si="76"/>
        <v>1.46</v>
      </c>
      <c r="D194" s="207">
        <f t="shared" si="77"/>
        <v>124265</v>
      </c>
      <c r="E194" s="170">
        <f t="shared" si="78"/>
        <v>0</v>
      </c>
      <c r="F194" s="171">
        <f t="shared" si="79"/>
        <v>0</v>
      </c>
      <c r="G194" s="171">
        <v>0</v>
      </c>
      <c r="H194" s="171">
        <v>0</v>
      </c>
      <c r="I194" s="171">
        <v>0</v>
      </c>
      <c r="J194" s="192">
        <v>0</v>
      </c>
      <c r="K194" s="193">
        <f t="shared" si="80"/>
        <v>0</v>
      </c>
      <c r="L194" s="193">
        <v>0</v>
      </c>
      <c r="M194" s="193">
        <v>0</v>
      </c>
      <c r="N194" s="193">
        <v>0</v>
      </c>
      <c r="O194" s="170">
        <f t="shared" si="82"/>
        <v>0</v>
      </c>
      <c r="P194" s="171">
        <f t="shared" si="70"/>
        <v>0</v>
      </c>
      <c r="Q194" s="171">
        <v>0</v>
      </c>
      <c r="R194" s="171">
        <v>0</v>
      </c>
      <c r="S194" s="171">
        <v>0</v>
      </c>
      <c r="T194" s="192">
        <v>0</v>
      </c>
      <c r="U194" s="193">
        <f t="shared" si="81"/>
        <v>0</v>
      </c>
      <c r="V194" s="193">
        <v>0</v>
      </c>
      <c r="W194" s="193">
        <v>0</v>
      </c>
      <c r="X194" s="193">
        <v>0</v>
      </c>
      <c r="Y194" s="192">
        <v>1.46</v>
      </c>
      <c r="Z194" s="193">
        <f t="shared" si="71"/>
        <v>124265</v>
      </c>
      <c r="AA194" s="193">
        <v>0</v>
      </c>
      <c r="AB194" s="193">
        <v>115318</v>
      </c>
      <c r="AC194" s="193">
        <v>8947</v>
      </c>
      <c r="AD194" s="189"/>
      <c r="AE194" s="189"/>
      <c r="AF194" s="189"/>
    </row>
    <row r="195" spans="1:32" s="10" customFormat="1" ht="86.25" customHeight="1" outlineLevel="1" x14ac:dyDescent="0.2">
      <c r="A195" s="207" t="s">
        <v>1184</v>
      </c>
      <c r="B195" s="304" t="s">
        <v>1456</v>
      </c>
      <c r="C195" s="192">
        <f t="shared" si="76"/>
        <v>0</v>
      </c>
      <c r="D195" s="207">
        <f t="shared" si="77"/>
        <v>157737</v>
      </c>
      <c r="E195" s="170">
        <f t="shared" si="78"/>
        <v>0</v>
      </c>
      <c r="F195" s="171">
        <f t="shared" si="79"/>
        <v>0</v>
      </c>
      <c r="G195" s="171">
        <v>0</v>
      </c>
      <c r="H195" s="171">
        <v>0</v>
      </c>
      <c r="I195" s="171">
        <v>0</v>
      </c>
      <c r="J195" s="192">
        <v>0</v>
      </c>
      <c r="K195" s="193">
        <f t="shared" si="80"/>
        <v>0</v>
      </c>
      <c r="L195" s="193">
        <v>0</v>
      </c>
      <c r="M195" s="193">
        <v>0</v>
      </c>
      <c r="N195" s="193">
        <v>0</v>
      </c>
      <c r="O195" s="170">
        <f t="shared" si="82"/>
        <v>0</v>
      </c>
      <c r="P195" s="171">
        <f t="shared" si="70"/>
        <v>0</v>
      </c>
      <c r="Q195" s="171">
        <v>0</v>
      </c>
      <c r="R195" s="171">
        <v>0</v>
      </c>
      <c r="S195" s="171">
        <v>0</v>
      </c>
      <c r="T195" s="192">
        <v>0</v>
      </c>
      <c r="U195" s="193">
        <f t="shared" si="81"/>
        <v>0</v>
      </c>
      <c r="V195" s="193">
        <v>0</v>
      </c>
      <c r="W195" s="193">
        <v>0</v>
      </c>
      <c r="X195" s="193">
        <v>0</v>
      </c>
      <c r="Y195" s="192">
        <v>0</v>
      </c>
      <c r="Z195" s="193">
        <f t="shared" si="71"/>
        <v>157737</v>
      </c>
      <c r="AA195" s="193">
        <v>0</v>
      </c>
      <c r="AB195" s="193">
        <v>146380</v>
      </c>
      <c r="AC195" s="193">
        <v>11357</v>
      </c>
      <c r="AD195" s="189"/>
      <c r="AE195" s="189"/>
      <c r="AF195" s="189"/>
    </row>
    <row r="196" spans="1:32" s="10" customFormat="1" ht="44.25" customHeight="1" outlineLevel="1" x14ac:dyDescent="0.2">
      <c r="A196" s="207" t="s">
        <v>1185</v>
      </c>
      <c r="B196" s="304" t="s">
        <v>1457</v>
      </c>
      <c r="C196" s="192">
        <f t="shared" si="76"/>
        <v>0</v>
      </c>
      <c r="D196" s="207">
        <f t="shared" si="77"/>
        <v>14347</v>
      </c>
      <c r="E196" s="170">
        <f t="shared" si="78"/>
        <v>0</v>
      </c>
      <c r="F196" s="171">
        <f t="shared" si="79"/>
        <v>0</v>
      </c>
      <c r="G196" s="171">
        <v>0</v>
      </c>
      <c r="H196" s="171">
        <v>0</v>
      </c>
      <c r="I196" s="171">
        <v>0</v>
      </c>
      <c r="J196" s="192">
        <v>0</v>
      </c>
      <c r="K196" s="193">
        <f t="shared" si="80"/>
        <v>0</v>
      </c>
      <c r="L196" s="193">
        <v>0</v>
      </c>
      <c r="M196" s="193">
        <v>0</v>
      </c>
      <c r="N196" s="193">
        <v>0</v>
      </c>
      <c r="O196" s="170">
        <f t="shared" si="82"/>
        <v>0</v>
      </c>
      <c r="P196" s="171">
        <f t="shared" si="70"/>
        <v>0</v>
      </c>
      <c r="Q196" s="171">
        <v>0</v>
      </c>
      <c r="R196" s="171">
        <v>0</v>
      </c>
      <c r="S196" s="171">
        <v>0</v>
      </c>
      <c r="T196" s="192">
        <v>0</v>
      </c>
      <c r="U196" s="193">
        <f t="shared" si="81"/>
        <v>0</v>
      </c>
      <c r="V196" s="193">
        <v>0</v>
      </c>
      <c r="W196" s="193">
        <v>0</v>
      </c>
      <c r="X196" s="193">
        <v>0</v>
      </c>
      <c r="Y196" s="192">
        <v>0</v>
      </c>
      <c r="Z196" s="193">
        <f t="shared" si="71"/>
        <v>14347</v>
      </c>
      <c r="AA196" s="193">
        <v>0</v>
      </c>
      <c r="AB196" s="193">
        <v>13314</v>
      </c>
      <c r="AC196" s="193">
        <v>1033</v>
      </c>
      <c r="AD196" s="189"/>
      <c r="AE196" s="189"/>
      <c r="AF196" s="189"/>
    </row>
    <row r="197" spans="1:32" s="10" customFormat="1" ht="49.5" customHeight="1" outlineLevel="1" x14ac:dyDescent="0.2">
      <c r="A197" s="207" t="s">
        <v>1186</v>
      </c>
      <c r="B197" s="304" t="s">
        <v>1458</v>
      </c>
      <c r="C197" s="192">
        <f t="shared" si="76"/>
        <v>0</v>
      </c>
      <c r="D197" s="207">
        <f t="shared" si="77"/>
        <v>43832</v>
      </c>
      <c r="E197" s="170">
        <f t="shared" si="78"/>
        <v>0</v>
      </c>
      <c r="F197" s="171">
        <f t="shared" si="79"/>
        <v>0</v>
      </c>
      <c r="G197" s="171">
        <v>0</v>
      </c>
      <c r="H197" s="171">
        <v>0</v>
      </c>
      <c r="I197" s="171">
        <v>0</v>
      </c>
      <c r="J197" s="192">
        <v>0</v>
      </c>
      <c r="K197" s="193">
        <f t="shared" si="80"/>
        <v>0</v>
      </c>
      <c r="L197" s="193">
        <v>0</v>
      </c>
      <c r="M197" s="193">
        <v>0</v>
      </c>
      <c r="N197" s="193">
        <v>0</v>
      </c>
      <c r="O197" s="170">
        <f t="shared" si="82"/>
        <v>0</v>
      </c>
      <c r="P197" s="171">
        <f t="shared" si="70"/>
        <v>0</v>
      </c>
      <c r="Q197" s="171">
        <v>0</v>
      </c>
      <c r="R197" s="171">
        <v>0</v>
      </c>
      <c r="S197" s="171">
        <v>0</v>
      </c>
      <c r="T197" s="192">
        <v>0</v>
      </c>
      <c r="U197" s="193">
        <f t="shared" si="81"/>
        <v>0</v>
      </c>
      <c r="V197" s="193">
        <v>0</v>
      </c>
      <c r="W197" s="193">
        <v>0</v>
      </c>
      <c r="X197" s="193">
        <v>0</v>
      </c>
      <c r="Y197" s="192">
        <v>0</v>
      </c>
      <c r="Z197" s="193">
        <f t="shared" si="71"/>
        <v>43832</v>
      </c>
      <c r="AA197" s="193">
        <v>0</v>
      </c>
      <c r="AB197" s="193">
        <v>40676</v>
      </c>
      <c r="AC197" s="193">
        <v>3156</v>
      </c>
      <c r="AD197" s="189"/>
      <c r="AE197" s="189"/>
      <c r="AF197" s="189"/>
    </row>
    <row r="198" spans="1:32" s="10" customFormat="1" ht="116.25" customHeight="1" outlineLevel="1" x14ac:dyDescent="0.2">
      <c r="A198" s="207" t="s">
        <v>1187</v>
      </c>
      <c r="B198" s="304" t="s">
        <v>1459</v>
      </c>
      <c r="C198" s="192">
        <f t="shared" si="76"/>
        <v>0</v>
      </c>
      <c r="D198" s="207">
        <f t="shared" si="77"/>
        <v>8731</v>
      </c>
      <c r="E198" s="170">
        <f t="shared" si="78"/>
        <v>0</v>
      </c>
      <c r="F198" s="171">
        <f t="shared" si="79"/>
        <v>0</v>
      </c>
      <c r="G198" s="171">
        <v>0</v>
      </c>
      <c r="H198" s="171">
        <v>0</v>
      </c>
      <c r="I198" s="171">
        <v>0</v>
      </c>
      <c r="J198" s="192">
        <v>0</v>
      </c>
      <c r="K198" s="193">
        <f t="shared" si="80"/>
        <v>0</v>
      </c>
      <c r="L198" s="193">
        <v>0</v>
      </c>
      <c r="M198" s="193">
        <v>0</v>
      </c>
      <c r="N198" s="193">
        <v>0</v>
      </c>
      <c r="O198" s="170">
        <f t="shared" si="82"/>
        <v>0</v>
      </c>
      <c r="P198" s="171">
        <f t="shared" si="70"/>
        <v>0</v>
      </c>
      <c r="Q198" s="171">
        <v>0</v>
      </c>
      <c r="R198" s="171">
        <v>0</v>
      </c>
      <c r="S198" s="171">
        <v>0</v>
      </c>
      <c r="T198" s="192">
        <v>0</v>
      </c>
      <c r="U198" s="193">
        <f t="shared" si="81"/>
        <v>0</v>
      </c>
      <c r="V198" s="193">
        <v>0</v>
      </c>
      <c r="W198" s="193">
        <v>0</v>
      </c>
      <c r="X198" s="193">
        <v>0</v>
      </c>
      <c r="Y198" s="192">
        <v>0</v>
      </c>
      <c r="Z198" s="193">
        <f t="shared" si="71"/>
        <v>8731</v>
      </c>
      <c r="AA198" s="193">
        <v>0</v>
      </c>
      <c r="AB198" s="193">
        <v>8102</v>
      </c>
      <c r="AC198" s="193">
        <v>629</v>
      </c>
      <c r="AD198" s="189"/>
      <c r="AE198" s="189"/>
      <c r="AF198" s="189"/>
    </row>
    <row r="199" spans="1:32" s="10" customFormat="1" ht="114" customHeight="1" outlineLevel="1" x14ac:dyDescent="0.2">
      <c r="A199" s="207" t="s">
        <v>1188</v>
      </c>
      <c r="B199" s="304" t="s">
        <v>1460</v>
      </c>
      <c r="C199" s="192">
        <f t="shared" si="76"/>
        <v>0</v>
      </c>
      <c r="D199" s="207">
        <f t="shared" si="77"/>
        <v>1791</v>
      </c>
      <c r="E199" s="170">
        <f t="shared" si="78"/>
        <v>0</v>
      </c>
      <c r="F199" s="171">
        <f t="shared" si="79"/>
        <v>0</v>
      </c>
      <c r="G199" s="171">
        <v>0</v>
      </c>
      <c r="H199" s="171">
        <v>0</v>
      </c>
      <c r="I199" s="171">
        <v>0</v>
      </c>
      <c r="J199" s="192">
        <v>0</v>
      </c>
      <c r="K199" s="193">
        <f t="shared" si="80"/>
        <v>0</v>
      </c>
      <c r="L199" s="193">
        <v>0</v>
      </c>
      <c r="M199" s="193">
        <v>0</v>
      </c>
      <c r="N199" s="193">
        <v>0</v>
      </c>
      <c r="O199" s="170">
        <f t="shared" si="82"/>
        <v>0</v>
      </c>
      <c r="P199" s="171">
        <f t="shared" si="70"/>
        <v>0</v>
      </c>
      <c r="Q199" s="171">
        <v>0</v>
      </c>
      <c r="R199" s="171">
        <v>0</v>
      </c>
      <c r="S199" s="171">
        <v>0</v>
      </c>
      <c r="T199" s="192">
        <v>0</v>
      </c>
      <c r="U199" s="193">
        <f t="shared" si="81"/>
        <v>0</v>
      </c>
      <c r="V199" s="193">
        <v>0</v>
      </c>
      <c r="W199" s="193">
        <v>0</v>
      </c>
      <c r="X199" s="193">
        <v>0</v>
      </c>
      <c r="Y199" s="192">
        <v>0</v>
      </c>
      <c r="Z199" s="193">
        <f t="shared" si="71"/>
        <v>1791</v>
      </c>
      <c r="AA199" s="193">
        <v>0</v>
      </c>
      <c r="AB199" s="193">
        <v>1662</v>
      </c>
      <c r="AC199" s="193">
        <v>129</v>
      </c>
      <c r="AD199" s="189"/>
      <c r="AE199" s="189"/>
      <c r="AF199" s="189"/>
    </row>
    <row r="200" spans="1:32" s="10" customFormat="1" ht="121.5" customHeight="1" outlineLevel="1" x14ac:dyDescent="0.2">
      <c r="A200" s="207" t="s">
        <v>1189</v>
      </c>
      <c r="B200" s="304" t="s">
        <v>1461</v>
      </c>
      <c r="C200" s="192">
        <f t="shared" si="76"/>
        <v>0</v>
      </c>
      <c r="D200" s="207">
        <f t="shared" si="77"/>
        <v>1789</v>
      </c>
      <c r="E200" s="170">
        <f t="shared" si="78"/>
        <v>0</v>
      </c>
      <c r="F200" s="171">
        <f t="shared" si="79"/>
        <v>0</v>
      </c>
      <c r="G200" s="171">
        <v>0</v>
      </c>
      <c r="H200" s="171">
        <v>0</v>
      </c>
      <c r="I200" s="171">
        <v>0</v>
      </c>
      <c r="J200" s="192">
        <v>0</v>
      </c>
      <c r="K200" s="193">
        <f t="shared" si="80"/>
        <v>0</v>
      </c>
      <c r="L200" s="193">
        <v>0</v>
      </c>
      <c r="M200" s="193">
        <v>0</v>
      </c>
      <c r="N200" s="193">
        <v>0</v>
      </c>
      <c r="O200" s="170">
        <f t="shared" si="82"/>
        <v>0</v>
      </c>
      <c r="P200" s="171">
        <f t="shared" si="70"/>
        <v>0</v>
      </c>
      <c r="Q200" s="171">
        <v>0</v>
      </c>
      <c r="R200" s="171">
        <v>0</v>
      </c>
      <c r="S200" s="171">
        <v>0</v>
      </c>
      <c r="T200" s="192">
        <v>0</v>
      </c>
      <c r="U200" s="193">
        <f t="shared" si="81"/>
        <v>0</v>
      </c>
      <c r="V200" s="193">
        <v>0</v>
      </c>
      <c r="W200" s="193">
        <v>0</v>
      </c>
      <c r="X200" s="193">
        <v>0</v>
      </c>
      <c r="Y200" s="192">
        <v>0</v>
      </c>
      <c r="Z200" s="193">
        <f t="shared" si="71"/>
        <v>1789</v>
      </c>
      <c r="AA200" s="193">
        <v>0</v>
      </c>
      <c r="AB200" s="193">
        <v>1660</v>
      </c>
      <c r="AC200" s="193">
        <v>129</v>
      </c>
      <c r="AD200" s="189"/>
      <c r="AE200" s="189"/>
      <c r="AF200" s="189"/>
    </row>
    <row r="201" spans="1:32" s="10" customFormat="1" ht="71.25" customHeight="1" outlineLevel="1" x14ac:dyDescent="0.2">
      <c r="A201" s="207" t="s">
        <v>1190</v>
      </c>
      <c r="B201" s="304" t="s">
        <v>1462</v>
      </c>
      <c r="C201" s="192">
        <f t="shared" si="76"/>
        <v>0</v>
      </c>
      <c r="D201" s="207">
        <f t="shared" si="77"/>
        <v>30039</v>
      </c>
      <c r="E201" s="170">
        <f t="shared" si="78"/>
        <v>0</v>
      </c>
      <c r="F201" s="171">
        <f t="shared" si="79"/>
        <v>0</v>
      </c>
      <c r="G201" s="171">
        <v>0</v>
      </c>
      <c r="H201" s="171">
        <v>0</v>
      </c>
      <c r="I201" s="171">
        <v>0</v>
      </c>
      <c r="J201" s="192">
        <v>0</v>
      </c>
      <c r="K201" s="193">
        <f t="shared" si="80"/>
        <v>0</v>
      </c>
      <c r="L201" s="193">
        <v>0</v>
      </c>
      <c r="M201" s="193">
        <v>0</v>
      </c>
      <c r="N201" s="193">
        <v>0</v>
      </c>
      <c r="O201" s="170">
        <f t="shared" si="82"/>
        <v>0</v>
      </c>
      <c r="P201" s="171">
        <f t="shared" si="70"/>
        <v>0</v>
      </c>
      <c r="Q201" s="171">
        <v>0</v>
      </c>
      <c r="R201" s="171">
        <v>0</v>
      </c>
      <c r="S201" s="171">
        <v>0</v>
      </c>
      <c r="T201" s="192">
        <v>0</v>
      </c>
      <c r="U201" s="193">
        <f t="shared" si="81"/>
        <v>0</v>
      </c>
      <c r="V201" s="193">
        <v>0</v>
      </c>
      <c r="W201" s="193">
        <v>0</v>
      </c>
      <c r="X201" s="193">
        <v>0</v>
      </c>
      <c r="Y201" s="192">
        <v>0</v>
      </c>
      <c r="Z201" s="193">
        <f t="shared" si="71"/>
        <v>30039</v>
      </c>
      <c r="AA201" s="193">
        <v>0</v>
      </c>
      <c r="AB201" s="193">
        <v>27876</v>
      </c>
      <c r="AC201" s="193">
        <v>2163</v>
      </c>
      <c r="AD201" s="189"/>
      <c r="AE201" s="189"/>
      <c r="AF201" s="189"/>
    </row>
    <row r="202" spans="1:32" s="10" customFormat="1" ht="68.25" customHeight="1" outlineLevel="1" x14ac:dyDescent="0.2">
      <c r="A202" s="207" t="s">
        <v>486</v>
      </c>
      <c r="B202" s="304" t="s">
        <v>1463</v>
      </c>
      <c r="C202" s="192">
        <f t="shared" si="76"/>
        <v>1.04</v>
      </c>
      <c r="D202" s="207">
        <f t="shared" si="77"/>
        <v>12543</v>
      </c>
      <c r="E202" s="170">
        <f t="shared" si="78"/>
        <v>0</v>
      </c>
      <c r="F202" s="171">
        <f t="shared" si="79"/>
        <v>0</v>
      </c>
      <c r="G202" s="171">
        <v>0</v>
      </c>
      <c r="H202" s="171">
        <v>0</v>
      </c>
      <c r="I202" s="171">
        <v>0</v>
      </c>
      <c r="J202" s="192">
        <v>0</v>
      </c>
      <c r="K202" s="193">
        <f t="shared" si="80"/>
        <v>0</v>
      </c>
      <c r="L202" s="193">
        <v>0</v>
      </c>
      <c r="M202" s="193">
        <v>0</v>
      </c>
      <c r="N202" s="193">
        <v>0</v>
      </c>
      <c r="O202" s="170">
        <f t="shared" si="82"/>
        <v>0</v>
      </c>
      <c r="P202" s="171">
        <f t="shared" si="70"/>
        <v>0</v>
      </c>
      <c r="Q202" s="171">
        <v>0</v>
      </c>
      <c r="R202" s="171">
        <v>0</v>
      </c>
      <c r="S202" s="171">
        <v>0</v>
      </c>
      <c r="T202" s="192">
        <v>0</v>
      </c>
      <c r="U202" s="193">
        <f t="shared" si="81"/>
        <v>0</v>
      </c>
      <c r="V202" s="193">
        <v>0</v>
      </c>
      <c r="W202" s="193">
        <v>0</v>
      </c>
      <c r="X202" s="193">
        <v>0</v>
      </c>
      <c r="Y202" s="192">
        <v>1.04</v>
      </c>
      <c r="Z202" s="193">
        <f t="shared" si="71"/>
        <v>12543</v>
      </c>
      <c r="AA202" s="193">
        <v>0</v>
      </c>
      <c r="AB202" s="193">
        <v>11640</v>
      </c>
      <c r="AC202" s="193">
        <v>903</v>
      </c>
      <c r="AD202" s="189"/>
      <c r="AE202" s="189"/>
      <c r="AF202" s="189"/>
    </row>
    <row r="203" spans="1:32" s="10" customFormat="1" ht="63.75" customHeight="1" outlineLevel="1" x14ac:dyDescent="0.2">
      <c r="A203" s="207" t="s">
        <v>1191</v>
      </c>
      <c r="B203" s="304" t="s">
        <v>1464</v>
      </c>
      <c r="C203" s="192">
        <f t="shared" si="76"/>
        <v>0.82</v>
      </c>
      <c r="D203" s="207">
        <f t="shared" si="77"/>
        <v>37365</v>
      </c>
      <c r="E203" s="170">
        <f t="shared" si="78"/>
        <v>0</v>
      </c>
      <c r="F203" s="171">
        <f t="shared" si="79"/>
        <v>0</v>
      </c>
      <c r="G203" s="171">
        <v>0</v>
      </c>
      <c r="H203" s="171">
        <v>0</v>
      </c>
      <c r="I203" s="171">
        <v>0</v>
      </c>
      <c r="J203" s="192">
        <v>0</v>
      </c>
      <c r="K203" s="193">
        <f t="shared" si="80"/>
        <v>0</v>
      </c>
      <c r="L203" s="193">
        <v>0</v>
      </c>
      <c r="M203" s="193">
        <v>0</v>
      </c>
      <c r="N203" s="193">
        <v>0</v>
      </c>
      <c r="O203" s="170">
        <f t="shared" si="82"/>
        <v>0</v>
      </c>
      <c r="P203" s="171">
        <f t="shared" si="70"/>
        <v>0</v>
      </c>
      <c r="Q203" s="171">
        <v>0</v>
      </c>
      <c r="R203" s="171">
        <v>0</v>
      </c>
      <c r="S203" s="171">
        <v>0</v>
      </c>
      <c r="T203" s="192">
        <v>0</v>
      </c>
      <c r="U203" s="193">
        <f t="shared" si="81"/>
        <v>0</v>
      </c>
      <c r="V203" s="193">
        <v>0</v>
      </c>
      <c r="W203" s="193">
        <v>0</v>
      </c>
      <c r="X203" s="193">
        <v>0</v>
      </c>
      <c r="Y203" s="192">
        <v>0.82</v>
      </c>
      <c r="Z203" s="193">
        <f t="shared" si="71"/>
        <v>37365</v>
      </c>
      <c r="AA203" s="193">
        <v>0</v>
      </c>
      <c r="AB203" s="193">
        <v>34675</v>
      </c>
      <c r="AC203" s="193">
        <v>2690</v>
      </c>
      <c r="AD203" s="189"/>
      <c r="AE203" s="189"/>
      <c r="AF203" s="189"/>
    </row>
    <row r="204" spans="1:32" s="10" customFormat="1" ht="63" customHeight="1" outlineLevel="1" x14ac:dyDescent="0.2">
      <c r="A204" s="207" t="s">
        <v>1192</v>
      </c>
      <c r="B204" s="305" t="s">
        <v>1465</v>
      </c>
      <c r="C204" s="192">
        <f t="shared" si="76"/>
        <v>0.51800000000000002</v>
      </c>
      <c r="D204" s="207">
        <f t="shared" si="77"/>
        <v>16494</v>
      </c>
      <c r="E204" s="170">
        <f t="shared" si="78"/>
        <v>0</v>
      </c>
      <c r="F204" s="171">
        <f t="shared" si="79"/>
        <v>0</v>
      </c>
      <c r="G204" s="171">
        <v>0</v>
      </c>
      <c r="H204" s="171">
        <v>0</v>
      </c>
      <c r="I204" s="171">
        <v>0</v>
      </c>
      <c r="J204" s="192">
        <v>0</v>
      </c>
      <c r="K204" s="193">
        <f t="shared" si="80"/>
        <v>0</v>
      </c>
      <c r="L204" s="193">
        <v>0</v>
      </c>
      <c r="M204" s="193">
        <v>0</v>
      </c>
      <c r="N204" s="193">
        <v>0</v>
      </c>
      <c r="O204" s="170">
        <f t="shared" si="82"/>
        <v>0</v>
      </c>
      <c r="P204" s="171">
        <f t="shared" si="70"/>
        <v>0</v>
      </c>
      <c r="Q204" s="171">
        <v>0</v>
      </c>
      <c r="R204" s="171">
        <v>0</v>
      </c>
      <c r="S204" s="171">
        <v>0</v>
      </c>
      <c r="T204" s="192">
        <v>0</v>
      </c>
      <c r="U204" s="193">
        <f t="shared" si="81"/>
        <v>0</v>
      </c>
      <c r="V204" s="193">
        <v>0</v>
      </c>
      <c r="W204" s="193">
        <v>0</v>
      </c>
      <c r="X204" s="193">
        <v>0</v>
      </c>
      <c r="Y204" s="192">
        <v>0.51800000000000002</v>
      </c>
      <c r="Z204" s="193">
        <f t="shared" si="71"/>
        <v>16494</v>
      </c>
      <c r="AA204" s="193">
        <v>0</v>
      </c>
      <c r="AB204" s="193">
        <v>15307</v>
      </c>
      <c r="AC204" s="193">
        <v>1187</v>
      </c>
      <c r="AD204" s="189"/>
      <c r="AE204" s="189"/>
      <c r="AF204" s="189"/>
    </row>
    <row r="205" spans="1:32" s="10" customFormat="1" ht="46.5" customHeight="1" outlineLevel="1" x14ac:dyDescent="0.2">
      <c r="A205" s="207" t="s">
        <v>1193</v>
      </c>
      <c r="B205" s="305" t="s">
        <v>1466</v>
      </c>
      <c r="C205" s="192">
        <f t="shared" si="76"/>
        <v>0.42499999999999999</v>
      </c>
      <c r="D205" s="207">
        <f t="shared" si="77"/>
        <v>8001</v>
      </c>
      <c r="E205" s="170">
        <f t="shared" si="78"/>
        <v>0</v>
      </c>
      <c r="F205" s="171">
        <f t="shared" si="79"/>
        <v>0</v>
      </c>
      <c r="G205" s="171">
        <v>0</v>
      </c>
      <c r="H205" s="171">
        <v>0</v>
      </c>
      <c r="I205" s="171">
        <v>0</v>
      </c>
      <c r="J205" s="192">
        <v>0</v>
      </c>
      <c r="K205" s="193">
        <f t="shared" si="80"/>
        <v>0</v>
      </c>
      <c r="L205" s="193">
        <v>0</v>
      </c>
      <c r="M205" s="193">
        <v>0</v>
      </c>
      <c r="N205" s="193">
        <v>0</v>
      </c>
      <c r="O205" s="170">
        <f t="shared" si="82"/>
        <v>0</v>
      </c>
      <c r="P205" s="171">
        <f t="shared" si="70"/>
        <v>0</v>
      </c>
      <c r="Q205" s="171">
        <v>0</v>
      </c>
      <c r="R205" s="171">
        <v>0</v>
      </c>
      <c r="S205" s="171">
        <v>0</v>
      </c>
      <c r="T205" s="192">
        <v>0</v>
      </c>
      <c r="U205" s="193">
        <f t="shared" si="81"/>
        <v>0</v>
      </c>
      <c r="V205" s="193">
        <v>0</v>
      </c>
      <c r="W205" s="193">
        <v>0</v>
      </c>
      <c r="X205" s="193">
        <v>0</v>
      </c>
      <c r="Y205" s="192">
        <v>0.42499999999999999</v>
      </c>
      <c r="Z205" s="193">
        <f t="shared" si="71"/>
        <v>8001</v>
      </c>
      <c r="AA205" s="193">
        <v>0</v>
      </c>
      <c r="AB205" s="193">
        <v>7425</v>
      </c>
      <c r="AC205" s="193">
        <v>576</v>
      </c>
      <c r="AD205" s="189"/>
      <c r="AE205" s="189"/>
      <c r="AF205" s="189"/>
    </row>
    <row r="206" spans="1:32" s="10" customFormat="1" ht="84" customHeight="1" outlineLevel="1" x14ac:dyDescent="0.2">
      <c r="A206" s="207" t="s">
        <v>1194</v>
      </c>
      <c r="B206" s="304" t="s">
        <v>1495</v>
      </c>
      <c r="C206" s="192">
        <f t="shared" si="76"/>
        <v>0</v>
      </c>
      <c r="D206" s="207">
        <f t="shared" si="77"/>
        <v>3376</v>
      </c>
      <c r="E206" s="170">
        <f t="shared" ref="E206" si="83">G206+L206+Q206+V206+AA206</f>
        <v>0</v>
      </c>
      <c r="F206" s="171">
        <f t="shared" ref="F206" si="84">G206+H206+I206</f>
        <v>0</v>
      </c>
      <c r="G206" s="171">
        <v>0</v>
      </c>
      <c r="H206" s="171">
        <v>0</v>
      </c>
      <c r="I206" s="171">
        <v>0</v>
      </c>
      <c r="J206" s="192">
        <v>0</v>
      </c>
      <c r="K206" s="193">
        <f t="shared" ref="K206" si="85">L206+M206+N206</f>
        <v>0</v>
      </c>
      <c r="L206" s="193">
        <v>0</v>
      </c>
      <c r="M206" s="193">
        <v>0</v>
      </c>
      <c r="N206" s="193">
        <v>0</v>
      </c>
      <c r="O206" s="170">
        <f t="shared" ref="O206" si="86">Q206+V206+AA206+AF206+AK206</f>
        <v>0</v>
      </c>
      <c r="P206" s="171">
        <f t="shared" ref="P206" si="87">Q206+R206+S206</f>
        <v>0</v>
      </c>
      <c r="Q206" s="171">
        <v>0</v>
      </c>
      <c r="R206" s="171">
        <v>0</v>
      </c>
      <c r="S206" s="171">
        <v>0</v>
      </c>
      <c r="T206" s="192">
        <v>0</v>
      </c>
      <c r="U206" s="193">
        <f t="shared" ref="U206" si="88">V206+W206+X206</f>
        <v>0</v>
      </c>
      <c r="V206" s="193">
        <v>0</v>
      </c>
      <c r="W206" s="193">
        <v>0</v>
      </c>
      <c r="X206" s="193">
        <v>0</v>
      </c>
      <c r="Y206" s="192">
        <v>0</v>
      </c>
      <c r="Z206" s="193">
        <f t="shared" si="71"/>
        <v>3376</v>
      </c>
      <c r="AA206" s="193">
        <v>0</v>
      </c>
      <c r="AB206" s="193">
        <v>0</v>
      </c>
      <c r="AC206" s="193">
        <v>3376</v>
      </c>
      <c r="AD206" s="189"/>
      <c r="AE206" s="189"/>
      <c r="AF206" s="189"/>
    </row>
    <row r="207" spans="1:32" s="11" customFormat="1" ht="18.75" customHeight="1" outlineLevel="1" x14ac:dyDescent="0.2">
      <c r="A207" s="190"/>
      <c r="B207" s="206" t="s">
        <v>207</v>
      </c>
      <c r="C207" s="331">
        <f t="shared" si="64"/>
        <v>0</v>
      </c>
      <c r="D207" s="207">
        <f t="shared" si="62"/>
        <v>15320.5</v>
      </c>
      <c r="E207" s="170">
        <v>0</v>
      </c>
      <c r="F207" s="204">
        <f>G207+H207+I207</f>
        <v>12277</v>
      </c>
      <c r="G207" s="204">
        <v>0</v>
      </c>
      <c r="H207" s="171">
        <f>11554+132+2+1</f>
        <v>11689</v>
      </c>
      <c r="I207" s="171">
        <f>583+7-3+1</f>
        <v>588</v>
      </c>
      <c r="J207" s="331">
        <v>0</v>
      </c>
      <c r="K207" s="193">
        <f t="shared" si="67"/>
        <v>0</v>
      </c>
      <c r="L207" s="193">
        <v>0</v>
      </c>
      <c r="M207" s="193">
        <v>0</v>
      </c>
      <c r="N207" s="193">
        <v>0</v>
      </c>
      <c r="O207" s="192">
        <v>0</v>
      </c>
      <c r="P207" s="193">
        <f t="shared" si="70"/>
        <v>3035</v>
      </c>
      <c r="Q207" s="193">
        <v>0</v>
      </c>
      <c r="R207" s="193">
        <v>2860</v>
      </c>
      <c r="S207" s="193">
        <v>175</v>
      </c>
      <c r="T207" s="192">
        <v>0</v>
      </c>
      <c r="U207" s="194">
        <f>V207+W207+X207</f>
        <v>8.5</v>
      </c>
      <c r="V207" s="193">
        <v>0</v>
      </c>
      <c r="W207" s="193">
        <v>8</v>
      </c>
      <c r="X207" s="193">
        <v>0.5</v>
      </c>
      <c r="Y207" s="192">
        <v>0</v>
      </c>
      <c r="Z207" s="193">
        <v>0</v>
      </c>
      <c r="AA207" s="193">
        <v>0</v>
      </c>
      <c r="AB207" s="193">
        <v>0</v>
      </c>
      <c r="AC207" s="193">
        <v>0</v>
      </c>
      <c r="AD207" s="196"/>
      <c r="AE207" s="196"/>
      <c r="AF207" s="196"/>
    </row>
    <row r="208" spans="1:32" s="11" customFormat="1" ht="36.75" customHeight="1" outlineLevel="1" x14ac:dyDescent="0.2">
      <c r="A208" s="428" t="s">
        <v>1437</v>
      </c>
      <c r="B208" s="428"/>
      <c r="C208" s="428"/>
      <c r="D208" s="428"/>
      <c r="E208" s="428"/>
      <c r="F208" s="428"/>
      <c r="G208" s="428"/>
      <c r="H208" s="428"/>
      <c r="I208" s="428"/>
      <c r="J208" s="428"/>
      <c r="K208" s="428"/>
      <c r="L208" s="428"/>
      <c r="M208" s="428"/>
      <c r="N208" s="428"/>
      <c r="O208" s="428"/>
      <c r="P208" s="428"/>
      <c r="Q208" s="428"/>
      <c r="R208" s="428"/>
      <c r="S208" s="428"/>
      <c r="T208" s="428"/>
      <c r="U208" s="428"/>
      <c r="V208" s="428"/>
      <c r="W208" s="428"/>
      <c r="X208" s="428"/>
      <c r="Y208" s="428"/>
      <c r="Z208" s="428"/>
      <c r="AA208" s="428"/>
      <c r="AB208" s="428"/>
      <c r="AC208" s="428"/>
      <c r="AD208" s="196"/>
      <c r="AE208" s="196"/>
      <c r="AF208" s="196"/>
    </row>
    <row r="209" spans="1:32" s="10" customFormat="1" ht="39" customHeight="1" outlineLevel="1" x14ac:dyDescent="0.2">
      <c r="A209" s="190" t="s">
        <v>1195</v>
      </c>
      <c r="B209" s="211" t="s">
        <v>220</v>
      </c>
      <c r="C209" s="331">
        <f t="shared" ref="C209:C219" si="89">E209+J209+O209+T209+Y209</f>
        <v>33.700000000000003</v>
      </c>
      <c r="D209" s="207">
        <f t="shared" ref="D209:D219" si="90">F209+K209+P209+U209+Z209</f>
        <v>80424</v>
      </c>
      <c r="E209" s="331">
        <v>33.700000000000003</v>
      </c>
      <c r="F209" s="204">
        <f t="shared" ref="F209:F220" si="91">G209+H209+I209</f>
        <v>80424</v>
      </c>
      <c r="G209" s="204">
        <v>0</v>
      </c>
      <c r="H209" s="171">
        <v>76564</v>
      </c>
      <c r="I209" s="171">
        <v>3860</v>
      </c>
      <c r="J209" s="331">
        <v>0</v>
      </c>
      <c r="K209" s="193">
        <f>L209+M209+N209</f>
        <v>0</v>
      </c>
      <c r="L209" s="193">
        <v>0</v>
      </c>
      <c r="M209" s="193">
        <v>0</v>
      </c>
      <c r="N209" s="193">
        <v>0</v>
      </c>
      <c r="O209" s="192">
        <v>0</v>
      </c>
      <c r="P209" s="193">
        <f t="shared" ref="P209:P223" si="92">Q209+R209+S209</f>
        <v>0</v>
      </c>
      <c r="Q209" s="193">
        <v>0</v>
      </c>
      <c r="R209" s="193">
        <v>0</v>
      </c>
      <c r="S209" s="193">
        <v>0</v>
      </c>
      <c r="T209" s="192">
        <v>0</v>
      </c>
      <c r="U209" s="193">
        <f t="shared" ref="U209:U220" si="93">V209+W209+X209</f>
        <v>0</v>
      </c>
      <c r="V209" s="193">
        <v>0</v>
      </c>
      <c r="W209" s="193">
        <v>0</v>
      </c>
      <c r="X209" s="193">
        <v>0</v>
      </c>
      <c r="Y209" s="192">
        <v>0</v>
      </c>
      <c r="Z209" s="193">
        <f t="shared" ref="Z209:Z220" si="94">AA209+AB209+AC209</f>
        <v>0</v>
      </c>
      <c r="AA209" s="193">
        <v>0</v>
      </c>
      <c r="AB209" s="193">
        <v>0</v>
      </c>
      <c r="AC209" s="193">
        <v>0</v>
      </c>
      <c r="AD209" s="189"/>
      <c r="AE209" s="189"/>
      <c r="AF209" s="189"/>
    </row>
    <row r="210" spans="1:32" s="11" customFormat="1" ht="51" customHeight="1" outlineLevel="1" x14ac:dyDescent="0.2">
      <c r="A210" s="190" t="s">
        <v>1196</v>
      </c>
      <c r="B210" s="206" t="s">
        <v>192</v>
      </c>
      <c r="C210" s="331">
        <f t="shared" si="89"/>
        <v>14.33</v>
      </c>
      <c r="D210" s="207">
        <f t="shared" si="90"/>
        <v>31759</v>
      </c>
      <c r="E210" s="170">
        <v>14.33</v>
      </c>
      <c r="F210" s="204">
        <f t="shared" si="91"/>
        <v>31759</v>
      </c>
      <c r="G210" s="204">
        <v>0</v>
      </c>
      <c r="H210" s="171">
        <v>30235</v>
      </c>
      <c r="I210" s="204">
        <v>1524</v>
      </c>
      <c r="J210" s="331">
        <v>0</v>
      </c>
      <c r="K210" s="193">
        <f t="shared" ref="K210:K261" si="95">L210+M210+N210</f>
        <v>0</v>
      </c>
      <c r="L210" s="193">
        <v>0</v>
      </c>
      <c r="M210" s="193">
        <v>0</v>
      </c>
      <c r="N210" s="193">
        <v>0</v>
      </c>
      <c r="O210" s="192">
        <v>0</v>
      </c>
      <c r="P210" s="193">
        <f t="shared" si="92"/>
        <v>0</v>
      </c>
      <c r="Q210" s="193">
        <v>0</v>
      </c>
      <c r="R210" s="193">
        <v>0</v>
      </c>
      <c r="S210" s="193">
        <v>0</v>
      </c>
      <c r="T210" s="192">
        <v>0</v>
      </c>
      <c r="U210" s="193">
        <f t="shared" si="93"/>
        <v>0</v>
      </c>
      <c r="V210" s="193">
        <v>0</v>
      </c>
      <c r="W210" s="193">
        <v>0</v>
      </c>
      <c r="X210" s="193">
        <v>0</v>
      </c>
      <c r="Y210" s="192">
        <v>0</v>
      </c>
      <c r="Z210" s="193">
        <f t="shared" si="94"/>
        <v>0</v>
      </c>
      <c r="AA210" s="193">
        <v>0</v>
      </c>
      <c r="AB210" s="193">
        <v>0</v>
      </c>
      <c r="AC210" s="193">
        <v>0</v>
      </c>
      <c r="AD210" s="196"/>
      <c r="AE210" s="196"/>
      <c r="AF210" s="196"/>
    </row>
    <row r="211" spans="1:32" s="10" customFormat="1" ht="63.6" customHeight="1" outlineLevel="1" x14ac:dyDescent="0.2">
      <c r="A211" s="190" t="s">
        <v>1197</v>
      </c>
      <c r="B211" s="211" t="s">
        <v>221</v>
      </c>
      <c r="C211" s="331">
        <f t="shared" si="89"/>
        <v>12.3</v>
      </c>
      <c r="D211" s="207">
        <f t="shared" si="90"/>
        <v>24595</v>
      </c>
      <c r="E211" s="212">
        <v>12.3</v>
      </c>
      <c r="F211" s="204">
        <f t="shared" si="91"/>
        <v>24595</v>
      </c>
      <c r="G211" s="204">
        <v>0</v>
      </c>
      <c r="H211" s="171">
        <v>23414</v>
      </c>
      <c r="I211" s="171">
        <v>1181</v>
      </c>
      <c r="J211" s="331">
        <v>0</v>
      </c>
      <c r="K211" s="193">
        <f t="shared" si="95"/>
        <v>0</v>
      </c>
      <c r="L211" s="193">
        <v>0</v>
      </c>
      <c r="M211" s="193">
        <v>0</v>
      </c>
      <c r="N211" s="193">
        <v>0</v>
      </c>
      <c r="O211" s="192">
        <v>0</v>
      </c>
      <c r="P211" s="193">
        <f t="shared" si="92"/>
        <v>0</v>
      </c>
      <c r="Q211" s="193">
        <v>0</v>
      </c>
      <c r="R211" s="193">
        <v>0</v>
      </c>
      <c r="S211" s="193">
        <v>0</v>
      </c>
      <c r="T211" s="192">
        <v>0</v>
      </c>
      <c r="U211" s="193">
        <f t="shared" si="93"/>
        <v>0</v>
      </c>
      <c r="V211" s="193">
        <v>0</v>
      </c>
      <c r="W211" s="193">
        <v>0</v>
      </c>
      <c r="X211" s="193">
        <v>0</v>
      </c>
      <c r="Y211" s="192">
        <v>0</v>
      </c>
      <c r="Z211" s="193">
        <f t="shared" si="94"/>
        <v>0</v>
      </c>
      <c r="AA211" s="193">
        <v>0</v>
      </c>
      <c r="AB211" s="193">
        <v>0</v>
      </c>
      <c r="AC211" s="193">
        <v>0</v>
      </c>
      <c r="AD211" s="189"/>
      <c r="AE211" s="189"/>
      <c r="AF211" s="189"/>
    </row>
    <row r="212" spans="1:32" s="10" customFormat="1" ht="84" customHeight="1" outlineLevel="1" x14ac:dyDescent="0.2">
      <c r="A212" s="190" t="s">
        <v>1198</v>
      </c>
      <c r="B212" s="211" t="s">
        <v>222</v>
      </c>
      <c r="C212" s="331">
        <f t="shared" si="89"/>
        <v>39.11</v>
      </c>
      <c r="D212" s="207">
        <f t="shared" si="90"/>
        <v>90005</v>
      </c>
      <c r="E212" s="212">
        <v>39.11</v>
      </c>
      <c r="F212" s="204">
        <f t="shared" si="91"/>
        <v>90005</v>
      </c>
      <c r="G212" s="204">
        <v>0</v>
      </c>
      <c r="H212" s="171">
        <v>85685</v>
      </c>
      <c r="I212" s="171">
        <v>4320</v>
      </c>
      <c r="J212" s="331">
        <v>0</v>
      </c>
      <c r="K212" s="193">
        <f t="shared" si="95"/>
        <v>0</v>
      </c>
      <c r="L212" s="193">
        <v>0</v>
      </c>
      <c r="M212" s="193">
        <v>0</v>
      </c>
      <c r="N212" s="193">
        <v>0</v>
      </c>
      <c r="O212" s="192">
        <v>0</v>
      </c>
      <c r="P212" s="193">
        <f t="shared" si="92"/>
        <v>0</v>
      </c>
      <c r="Q212" s="193">
        <v>0</v>
      </c>
      <c r="R212" s="193">
        <v>0</v>
      </c>
      <c r="S212" s="193">
        <v>0</v>
      </c>
      <c r="T212" s="192">
        <v>0</v>
      </c>
      <c r="U212" s="193">
        <f t="shared" si="93"/>
        <v>0</v>
      </c>
      <c r="V212" s="193">
        <v>0</v>
      </c>
      <c r="W212" s="193">
        <v>0</v>
      </c>
      <c r="X212" s="193">
        <v>0</v>
      </c>
      <c r="Y212" s="192">
        <v>0</v>
      </c>
      <c r="Z212" s="193">
        <f t="shared" si="94"/>
        <v>0</v>
      </c>
      <c r="AA212" s="193">
        <v>0</v>
      </c>
      <c r="AB212" s="193">
        <v>0</v>
      </c>
      <c r="AC212" s="193">
        <v>0</v>
      </c>
      <c r="AD212" s="189"/>
      <c r="AE212" s="189"/>
      <c r="AF212" s="189"/>
    </row>
    <row r="213" spans="1:32" s="11" customFormat="1" ht="36" customHeight="1" outlineLevel="1" x14ac:dyDescent="0.2">
      <c r="A213" s="190" t="s">
        <v>1199</v>
      </c>
      <c r="B213" s="206" t="s">
        <v>195</v>
      </c>
      <c r="C213" s="331">
        <f t="shared" si="89"/>
        <v>6.66</v>
      </c>
      <c r="D213" s="207">
        <f t="shared" si="90"/>
        <v>14226</v>
      </c>
      <c r="E213" s="170">
        <v>6.66</v>
      </c>
      <c r="F213" s="204">
        <f t="shared" si="91"/>
        <v>14226</v>
      </c>
      <c r="G213" s="204">
        <v>0</v>
      </c>
      <c r="H213" s="171">
        <v>13543</v>
      </c>
      <c r="I213" s="204">
        <v>683</v>
      </c>
      <c r="J213" s="331">
        <v>0</v>
      </c>
      <c r="K213" s="193">
        <f t="shared" si="95"/>
        <v>0</v>
      </c>
      <c r="L213" s="193">
        <v>0</v>
      </c>
      <c r="M213" s="193">
        <v>0</v>
      </c>
      <c r="N213" s="193">
        <v>0</v>
      </c>
      <c r="O213" s="192">
        <v>0</v>
      </c>
      <c r="P213" s="193">
        <f t="shared" si="92"/>
        <v>0</v>
      </c>
      <c r="Q213" s="193">
        <v>0</v>
      </c>
      <c r="R213" s="193">
        <v>0</v>
      </c>
      <c r="S213" s="193">
        <v>0</v>
      </c>
      <c r="T213" s="192">
        <v>0</v>
      </c>
      <c r="U213" s="193">
        <f t="shared" si="93"/>
        <v>0</v>
      </c>
      <c r="V213" s="193">
        <v>0</v>
      </c>
      <c r="W213" s="193">
        <v>0</v>
      </c>
      <c r="X213" s="193">
        <v>0</v>
      </c>
      <c r="Y213" s="192">
        <v>0</v>
      </c>
      <c r="Z213" s="193">
        <f t="shared" si="94"/>
        <v>0</v>
      </c>
      <c r="AA213" s="193">
        <v>0</v>
      </c>
      <c r="AB213" s="193">
        <v>0</v>
      </c>
      <c r="AC213" s="193">
        <v>0</v>
      </c>
      <c r="AD213" s="196"/>
      <c r="AE213" s="196"/>
      <c r="AF213" s="196"/>
    </row>
    <row r="214" spans="1:32" s="10" customFormat="1" ht="49.15" customHeight="1" outlineLevel="1" x14ac:dyDescent="0.2">
      <c r="A214" s="190" t="s">
        <v>1200</v>
      </c>
      <c r="B214" s="211" t="s">
        <v>223</v>
      </c>
      <c r="C214" s="331">
        <f t="shared" si="89"/>
        <v>26.66</v>
      </c>
      <c r="D214" s="207">
        <f t="shared" si="90"/>
        <v>67036</v>
      </c>
      <c r="E214" s="212">
        <v>26.66</v>
      </c>
      <c r="F214" s="204">
        <f t="shared" si="91"/>
        <v>67036</v>
      </c>
      <c r="G214" s="204">
        <v>0</v>
      </c>
      <c r="H214" s="171">
        <v>63818</v>
      </c>
      <c r="I214" s="171">
        <v>3218</v>
      </c>
      <c r="J214" s="331">
        <v>0</v>
      </c>
      <c r="K214" s="193">
        <f t="shared" si="95"/>
        <v>0</v>
      </c>
      <c r="L214" s="193">
        <v>0</v>
      </c>
      <c r="M214" s="193">
        <v>0</v>
      </c>
      <c r="N214" s="193">
        <v>0</v>
      </c>
      <c r="O214" s="192">
        <v>0</v>
      </c>
      <c r="P214" s="193">
        <f t="shared" si="92"/>
        <v>0</v>
      </c>
      <c r="Q214" s="193">
        <v>0</v>
      </c>
      <c r="R214" s="193">
        <v>0</v>
      </c>
      <c r="S214" s="193">
        <v>0</v>
      </c>
      <c r="T214" s="192">
        <v>0</v>
      </c>
      <c r="U214" s="193">
        <f t="shared" si="93"/>
        <v>0</v>
      </c>
      <c r="V214" s="193">
        <v>0</v>
      </c>
      <c r="W214" s="193">
        <v>0</v>
      </c>
      <c r="X214" s="193">
        <v>0</v>
      </c>
      <c r="Y214" s="192">
        <v>0</v>
      </c>
      <c r="Z214" s="193">
        <f t="shared" si="94"/>
        <v>0</v>
      </c>
      <c r="AA214" s="193">
        <v>0</v>
      </c>
      <c r="AB214" s="193">
        <v>0</v>
      </c>
      <c r="AC214" s="193">
        <v>0</v>
      </c>
      <c r="AD214" s="189"/>
      <c r="AE214" s="189"/>
      <c r="AF214" s="189"/>
    </row>
    <row r="215" spans="1:32" s="10" customFormat="1" ht="53.45" customHeight="1" outlineLevel="1" x14ac:dyDescent="0.2">
      <c r="A215" s="190" t="s">
        <v>1201</v>
      </c>
      <c r="B215" s="211" t="s">
        <v>194</v>
      </c>
      <c r="C215" s="331">
        <f t="shared" si="89"/>
        <v>51.6</v>
      </c>
      <c r="D215" s="207">
        <f t="shared" si="90"/>
        <v>106911</v>
      </c>
      <c r="E215" s="212">
        <v>51.6</v>
      </c>
      <c r="F215" s="204">
        <f t="shared" si="91"/>
        <v>106911</v>
      </c>
      <c r="G215" s="204">
        <v>0</v>
      </c>
      <c r="H215" s="171">
        <v>101779</v>
      </c>
      <c r="I215" s="171">
        <v>5132</v>
      </c>
      <c r="J215" s="331">
        <v>0</v>
      </c>
      <c r="K215" s="193">
        <f t="shared" si="95"/>
        <v>0</v>
      </c>
      <c r="L215" s="193">
        <v>0</v>
      </c>
      <c r="M215" s="193">
        <v>0</v>
      </c>
      <c r="N215" s="193">
        <v>0</v>
      </c>
      <c r="O215" s="192">
        <v>0</v>
      </c>
      <c r="P215" s="193">
        <f t="shared" si="92"/>
        <v>0</v>
      </c>
      <c r="Q215" s="193">
        <v>0</v>
      </c>
      <c r="R215" s="193">
        <v>0</v>
      </c>
      <c r="S215" s="193">
        <v>0</v>
      </c>
      <c r="T215" s="192">
        <v>0</v>
      </c>
      <c r="U215" s="193">
        <f t="shared" si="93"/>
        <v>0</v>
      </c>
      <c r="V215" s="193">
        <v>0</v>
      </c>
      <c r="W215" s="193">
        <v>0</v>
      </c>
      <c r="X215" s="193">
        <v>0</v>
      </c>
      <c r="Y215" s="192">
        <v>0</v>
      </c>
      <c r="Z215" s="193">
        <f t="shared" si="94"/>
        <v>0</v>
      </c>
      <c r="AA215" s="193">
        <v>0</v>
      </c>
      <c r="AB215" s="193">
        <v>0</v>
      </c>
      <c r="AC215" s="193">
        <v>0</v>
      </c>
      <c r="AD215" s="189"/>
      <c r="AE215" s="189"/>
      <c r="AF215" s="189"/>
    </row>
    <row r="216" spans="1:32" s="10" customFormat="1" ht="47.45" customHeight="1" outlineLevel="1" x14ac:dyDescent="0.2">
      <c r="A216" s="190" t="s">
        <v>1202</v>
      </c>
      <c r="B216" s="211" t="s">
        <v>644</v>
      </c>
      <c r="C216" s="331">
        <f t="shared" si="89"/>
        <v>29.7</v>
      </c>
      <c r="D216" s="207">
        <f t="shared" si="90"/>
        <v>76629</v>
      </c>
      <c r="E216" s="331">
        <v>29.7</v>
      </c>
      <c r="F216" s="204">
        <f t="shared" si="91"/>
        <v>76629</v>
      </c>
      <c r="G216" s="204">
        <v>0</v>
      </c>
      <c r="H216" s="171">
        <v>72951</v>
      </c>
      <c r="I216" s="171">
        <v>3678</v>
      </c>
      <c r="J216" s="331">
        <v>0</v>
      </c>
      <c r="K216" s="193">
        <f t="shared" si="95"/>
        <v>0</v>
      </c>
      <c r="L216" s="193">
        <v>0</v>
      </c>
      <c r="M216" s="193">
        <v>0</v>
      </c>
      <c r="N216" s="193">
        <v>0</v>
      </c>
      <c r="O216" s="192">
        <v>0</v>
      </c>
      <c r="P216" s="193">
        <f t="shared" si="92"/>
        <v>0</v>
      </c>
      <c r="Q216" s="193">
        <v>0</v>
      </c>
      <c r="R216" s="193">
        <v>0</v>
      </c>
      <c r="S216" s="193">
        <v>0</v>
      </c>
      <c r="T216" s="192">
        <v>0</v>
      </c>
      <c r="U216" s="193">
        <f t="shared" si="93"/>
        <v>0</v>
      </c>
      <c r="V216" s="193">
        <v>0</v>
      </c>
      <c r="W216" s="193">
        <v>0</v>
      </c>
      <c r="X216" s="193">
        <v>0</v>
      </c>
      <c r="Y216" s="192">
        <v>0</v>
      </c>
      <c r="Z216" s="193">
        <f t="shared" si="94"/>
        <v>0</v>
      </c>
      <c r="AA216" s="193">
        <v>0</v>
      </c>
      <c r="AB216" s="193">
        <v>0</v>
      </c>
      <c r="AC216" s="193">
        <v>0</v>
      </c>
      <c r="AD216" s="189"/>
      <c r="AE216" s="189"/>
      <c r="AF216" s="189"/>
    </row>
    <row r="217" spans="1:32" s="10" customFormat="1" ht="28.5" customHeight="1" outlineLevel="1" x14ac:dyDescent="0.2">
      <c r="A217" s="190" t="s">
        <v>1203</v>
      </c>
      <c r="B217" s="211" t="s">
        <v>224</v>
      </c>
      <c r="C217" s="331">
        <f t="shared" si="89"/>
        <v>32.51</v>
      </c>
      <c r="D217" s="207">
        <f t="shared" si="90"/>
        <v>109670</v>
      </c>
      <c r="E217" s="212">
        <v>32.51</v>
      </c>
      <c r="F217" s="204">
        <f t="shared" si="91"/>
        <v>109670</v>
      </c>
      <c r="G217" s="204">
        <v>0</v>
      </c>
      <c r="H217" s="171">
        <v>104406</v>
      </c>
      <c r="I217" s="171">
        <v>5264</v>
      </c>
      <c r="J217" s="331">
        <v>0</v>
      </c>
      <c r="K217" s="193">
        <f t="shared" si="95"/>
        <v>0</v>
      </c>
      <c r="L217" s="193">
        <v>0</v>
      </c>
      <c r="M217" s="193">
        <v>0</v>
      </c>
      <c r="N217" s="193">
        <v>0</v>
      </c>
      <c r="O217" s="192">
        <v>0</v>
      </c>
      <c r="P217" s="193">
        <f t="shared" si="92"/>
        <v>0</v>
      </c>
      <c r="Q217" s="193">
        <v>0</v>
      </c>
      <c r="R217" s="193">
        <v>0</v>
      </c>
      <c r="S217" s="193">
        <v>0</v>
      </c>
      <c r="T217" s="192">
        <v>0</v>
      </c>
      <c r="U217" s="193">
        <f t="shared" si="93"/>
        <v>0</v>
      </c>
      <c r="V217" s="193">
        <v>0</v>
      </c>
      <c r="W217" s="193">
        <v>0</v>
      </c>
      <c r="X217" s="193">
        <v>0</v>
      </c>
      <c r="Y217" s="192">
        <v>0</v>
      </c>
      <c r="Z217" s="193">
        <f t="shared" si="94"/>
        <v>0</v>
      </c>
      <c r="AA217" s="193">
        <v>0</v>
      </c>
      <c r="AB217" s="193">
        <v>0</v>
      </c>
      <c r="AC217" s="193">
        <v>0</v>
      </c>
      <c r="AD217" s="189"/>
      <c r="AE217" s="189"/>
      <c r="AF217" s="189"/>
    </row>
    <row r="218" spans="1:32" s="11" customFormat="1" ht="30" customHeight="1" outlineLevel="1" x14ac:dyDescent="0.2">
      <c r="A218" s="190" t="s">
        <v>1204</v>
      </c>
      <c r="B218" s="206" t="s">
        <v>225</v>
      </c>
      <c r="C218" s="331">
        <f t="shared" si="89"/>
        <v>2.0699999999999998</v>
      </c>
      <c r="D218" s="207">
        <f t="shared" si="90"/>
        <v>3457</v>
      </c>
      <c r="E218" s="170">
        <v>2.0699999999999998</v>
      </c>
      <c r="F218" s="204">
        <f t="shared" si="91"/>
        <v>3457</v>
      </c>
      <c r="G218" s="204">
        <v>0</v>
      </c>
      <c r="H218" s="171">
        <v>3291</v>
      </c>
      <c r="I218" s="204">
        <v>166</v>
      </c>
      <c r="J218" s="331">
        <v>0</v>
      </c>
      <c r="K218" s="193">
        <f t="shared" si="95"/>
        <v>0</v>
      </c>
      <c r="L218" s="193">
        <v>0</v>
      </c>
      <c r="M218" s="193">
        <v>0</v>
      </c>
      <c r="N218" s="193">
        <v>0</v>
      </c>
      <c r="O218" s="192">
        <v>0</v>
      </c>
      <c r="P218" s="193">
        <f t="shared" si="92"/>
        <v>0</v>
      </c>
      <c r="Q218" s="193">
        <v>0</v>
      </c>
      <c r="R218" s="193">
        <v>0</v>
      </c>
      <c r="S218" s="193">
        <v>0</v>
      </c>
      <c r="T218" s="192">
        <v>0</v>
      </c>
      <c r="U218" s="193">
        <f t="shared" si="93"/>
        <v>0</v>
      </c>
      <c r="V218" s="193">
        <v>0</v>
      </c>
      <c r="W218" s="193">
        <v>0</v>
      </c>
      <c r="X218" s="193">
        <v>0</v>
      </c>
      <c r="Y218" s="192">
        <v>0</v>
      </c>
      <c r="Z218" s="193">
        <f t="shared" si="94"/>
        <v>0</v>
      </c>
      <c r="AA218" s="193">
        <v>0</v>
      </c>
      <c r="AB218" s="193">
        <v>0</v>
      </c>
      <c r="AC218" s="193">
        <v>0</v>
      </c>
      <c r="AD218" s="196"/>
      <c r="AE218" s="196"/>
      <c r="AF218" s="196"/>
    </row>
    <row r="219" spans="1:32" s="11" customFormat="1" ht="61.5" customHeight="1" outlineLevel="1" x14ac:dyDescent="0.2">
      <c r="A219" s="190" t="s">
        <v>1205</v>
      </c>
      <c r="B219" s="206" t="s">
        <v>347</v>
      </c>
      <c r="C219" s="331">
        <f t="shared" si="89"/>
        <v>95.759999999999991</v>
      </c>
      <c r="D219" s="207">
        <f t="shared" si="90"/>
        <v>153358</v>
      </c>
      <c r="E219" s="170">
        <v>45.6</v>
      </c>
      <c r="F219" s="204">
        <f t="shared" si="91"/>
        <v>74058</v>
      </c>
      <c r="G219" s="204">
        <v>0</v>
      </c>
      <c r="H219" s="171">
        <v>70503</v>
      </c>
      <c r="I219" s="204">
        <v>3555</v>
      </c>
      <c r="J219" s="331">
        <v>50.16</v>
      </c>
      <c r="K219" s="193">
        <f t="shared" si="95"/>
        <v>79300</v>
      </c>
      <c r="L219" s="193">
        <v>0</v>
      </c>
      <c r="M219" s="193">
        <v>74701</v>
      </c>
      <c r="N219" s="193">
        <v>4599</v>
      </c>
      <c r="O219" s="192">
        <v>0</v>
      </c>
      <c r="P219" s="193">
        <f t="shared" si="92"/>
        <v>0</v>
      </c>
      <c r="Q219" s="193">
        <v>0</v>
      </c>
      <c r="R219" s="193">
        <v>0</v>
      </c>
      <c r="S219" s="193">
        <v>0</v>
      </c>
      <c r="T219" s="192">
        <v>0</v>
      </c>
      <c r="U219" s="193">
        <f t="shared" si="93"/>
        <v>0</v>
      </c>
      <c r="V219" s="193">
        <v>0</v>
      </c>
      <c r="W219" s="193">
        <v>0</v>
      </c>
      <c r="X219" s="193">
        <v>0</v>
      </c>
      <c r="Y219" s="192">
        <v>0</v>
      </c>
      <c r="Z219" s="193">
        <f t="shared" si="94"/>
        <v>0</v>
      </c>
      <c r="AA219" s="193">
        <v>0</v>
      </c>
      <c r="AB219" s="193">
        <v>0</v>
      </c>
      <c r="AC219" s="193">
        <v>0</v>
      </c>
      <c r="AD219" s="196"/>
      <c r="AE219" s="196"/>
      <c r="AF219" s="196"/>
    </row>
    <row r="220" spans="1:32" s="11" customFormat="1" ht="36.75" customHeight="1" outlineLevel="1" x14ac:dyDescent="0.2">
      <c r="A220" s="190" t="s">
        <v>1206</v>
      </c>
      <c r="B220" s="206" t="s">
        <v>193</v>
      </c>
      <c r="C220" s="331">
        <f t="shared" ref="C220:D222" si="96">E220+J220+O220+T220+Y220</f>
        <v>1.59</v>
      </c>
      <c r="D220" s="207">
        <f t="shared" si="96"/>
        <v>3910</v>
      </c>
      <c r="E220" s="170">
        <v>1.59</v>
      </c>
      <c r="F220" s="204">
        <f t="shared" si="91"/>
        <v>3910</v>
      </c>
      <c r="G220" s="204">
        <v>0</v>
      </c>
      <c r="H220" s="171">
        <v>3722</v>
      </c>
      <c r="I220" s="204">
        <v>188</v>
      </c>
      <c r="J220" s="331">
        <v>0</v>
      </c>
      <c r="K220" s="193">
        <f t="shared" si="95"/>
        <v>0</v>
      </c>
      <c r="L220" s="193">
        <v>0</v>
      </c>
      <c r="M220" s="193">
        <v>0</v>
      </c>
      <c r="N220" s="193">
        <v>0</v>
      </c>
      <c r="O220" s="192">
        <v>0</v>
      </c>
      <c r="P220" s="193">
        <f t="shared" si="92"/>
        <v>0</v>
      </c>
      <c r="Q220" s="193">
        <v>0</v>
      </c>
      <c r="R220" s="193">
        <v>0</v>
      </c>
      <c r="S220" s="193">
        <v>0</v>
      </c>
      <c r="T220" s="192">
        <v>0</v>
      </c>
      <c r="U220" s="193">
        <f t="shared" si="93"/>
        <v>0</v>
      </c>
      <c r="V220" s="193">
        <v>0</v>
      </c>
      <c r="W220" s="193">
        <v>0</v>
      </c>
      <c r="X220" s="193">
        <v>0</v>
      </c>
      <c r="Y220" s="192">
        <v>0</v>
      </c>
      <c r="Z220" s="193">
        <f t="shared" si="94"/>
        <v>0</v>
      </c>
      <c r="AA220" s="193">
        <v>0</v>
      </c>
      <c r="AB220" s="193">
        <v>0</v>
      </c>
      <c r="AC220" s="193">
        <v>0</v>
      </c>
      <c r="AD220" s="196"/>
      <c r="AE220" s="196"/>
      <c r="AF220" s="196"/>
    </row>
    <row r="221" spans="1:32" s="11" customFormat="1" ht="27.75" customHeight="1" outlineLevel="1" x14ac:dyDescent="0.2">
      <c r="A221" s="190" t="s">
        <v>1207</v>
      </c>
      <c r="B221" s="206" t="s">
        <v>375</v>
      </c>
      <c r="C221" s="331">
        <f t="shared" si="96"/>
        <v>34.46</v>
      </c>
      <c r="D221" s="207">
        <f t="shared" si="96"/>
        <v>104044</v>
      </c>
      <c r="E221" s="170">
        <v>0</v>
      </c>
      <c r="F221" s="204">
        <f>G221+H221+I221</f>
        <v>0</v>
      </c>
      <c r="G221" s="204">
        <v>0</v>
      </c>
      <c r="H221" s="171">
        <v>0</v>
      </c>
      <c r="I221" s="171">
        <v>0</v>
      </c>
      <c r="J221" s="331">
        <v>0</v>
      </c>
      <c r="K221" s="193">
        <f>L221+M221+N221</f>
        <v>0</v>
      </c>
      <c r="L221" s="193">
        <v>0</v>
      </c>
      <c r="M221" s="193">
        <v>0</v>
      </c>
      <c r="N221" s="193">
        <v>0</v>
      </c>
      <c r="O221" s="192">
        <v>34.46</v>
      </c>
      <c r="P221" s="193">
        <f t="shared" si="92"/>
        <v>104044</v>
      </c>
      <c r="Q221" s="193">
        <v>0</v>
      </c>
      <c r="R221" s="193">
        <f>55264+42745</f>
        <v>98009</v>
      </c>
      <c r="S221" s="193">
        <f>3403+2632</f>
        <v>6035</v>
      </c>
      <c r="T221" s="331">
        <v>0</v>
      </c>
      <c r="U221" s="193">
        <f>V221+W221+X221</f>
        <v>0</v>
      </c>
      <c r="V221" s="193">
        <v>0</v>
      </c>
      <c r="W221" s="193">
        <v>0</v>
      </c>
      <c r="X221" s="193">
        <v>0</v>
      </c>
      <c r="Y221" s="192">
        <v>0</v>
      </c>
      <c r="Z221" s="193">
        <v>0</v>
      </c>
      <c r="AA221" s="193">
        <v>0</v>
      </c>
      <c r="AB221" s="193">
        <v>0</v>
      </c>
      <c r="AC221" s="193">
        <v>0</v>
      </c>
      <c r="AD221" s="196"/>
      <c r="AE221" s="196"/>
      <c r="AF221" s="196"/>
    </row>
    <row r="222" spans="1:32" s="11" customFormat="1" ht="27.75" customHeight="1" outlineLevel="1" x14ac:dyDescent="0.2">
      <c r="A222" s="190" t="s">
        <v>1208</v>
      </c>
      <c r="B222" s="206" t="s">
        <v>374</v>
      </c>
      <c r="C222" s="331">
        <f>E222+J222+O222+T222+Y222</f>
        <v>16.23</v>
      </c>
      <c r="D222" s="207">
        <f t="shared" si="96"/>
        <v>55332</v>
      </c>
      <c r="E222" s="170">
        <v>0</v>
      </c>
      <c r="F222" s="204">
        <f>G222+H222+I222</f>
        <v>0</v>
      </c>
      <c r="G222" s="204">
        <v>0</v>
      </c>
      <c r="H222" s="171">
        <v>0</v>
      </c>
      <c r="I222" s="171">
        <v>0</v>
      </c>
      <c r="J222" s="331">
        <v>0</v>
      </c>
      <c r="K222" s="193">
        <f>L222+M222+N222</f>
        <v>0</v>
      </c>
      <c r="L222" s="193">
        <v>0</v>
      </c>
      <c r="M222" s="193">
        <v>0</v>
      </c>
      <c r="N222" s="193">
        <v>0</v>
      </c>
      <c r="O222" s="192">
        <v>16.23</v>
      </c>
      <c r="P222" s="193">
        <f t="shared" si="92"/>
        <v>55332</v>
      </c>
      <c r="Q222" s="193">
        <v>0</v>
      </c>
      <c r="R222" s="193">
        <f>108637-56514</f>
        <v>52123</v>
      </c>
      <c r="S222" s="193">
        <f>6689-3480</f>
        <v>3209</v>
      </c>
      <c r="T222" s="331">
        <v>0</v>
      </c>
      <c r="U222" s="193">
        <f>V222+W222+X222</f>
        <v>0</v>
      </c>
      <c r="V222" s="193">
        <v>0</v>
      </c>
      <c r="W222" s="193">
        <v>0</v>
      </c>
      <c r="X222" s="193">
        <v>0</v>
      </c>
      <c r="Y222" s="192">
        <v>0</v>
      </c>
      <c r="Z222" s="193">
        <v>0</v>
      </c>
      <c r="AA222" s="193">
        <v>0</v>
      </c>
      <c r="AB222" s="193">
        <v>0</v>
      </c>
      <c r="AC222" s="193">
        <v>0</v>
      </c>
      <c r="AD222" s="196"/>
      <c r="AE222" s="196"/>
      <c r="AF222" s="196"/>
    </row>
    <row r="223" spans="1:32" s="11" customFormat="1" ht="27.75" customHeight="1" outlineLevel="1" x14ac:dyDescent="0.2">
      <c r="A223" s="190" t="s">
        <v>1209</v>
      </c>
      <c r="B223" s="206" t="s">
        <v>291</v>
      </c>
      <c r="C223" s="331">
        <f t="shared" ref="C223:C228" si="97">E223+J223+O223+T223+Y223</f>
        <v>26.05</v>
      </c>
      <c r="D223" s="207">
        <f t="shared" ref="D223:D228" si="98">F223+K223+P223+U223+Z223</f>
        <v>70285</v>
      </c>
      <c r="E223" s="170">
        <v>0</v>
      </c>
      <c r="F223" s="204">
        <f t="shared" ref="F223:F228" si="99">G223+H223+I223</f>
        <v>0</v>
      </c>
      <c r="G223" s="204">
        <v>0</v>
      </c>
      <c r="H223" s="171">
        <v>0</v>
      </c>
      <c r="I223" s="171">
        <v>0</v>
      </c>
      <c r="J223" s="331">
        <v>26.05</v>
      </c>
      <c r="K223" s="193">
        <f t="shared" si="95"/>
        <v>70285</v>
      </c>
      <c r="L223" s="193">
        <v>0</v>
      </c>
      <c r="M223" s="193">
        <v>66208</v>
      </c>
      <c r="N223" s="193">
        <v>4077</v>
      </c>
      <c r="O223" s="192">
        <v>0</v>
      </c>
      <c r="P223" s="193">
        <f t="shared" si="92"/>
        <v>0</v>
      </c>
      <c r="Q223" s="193">
        <v>0</v>
      </c>
      <c r="R223" s="193">
        <v>0</v>
      </c>
      <c r="S223" s="193">
        <v>0</v>
      </c>
      <c r="T223" s="192">
        <v>0</v>
      </c>
      <c r="U223" s="193">
        <f t="shared" ref="U223:U228" si="100">V223+W223+X223</f>
        <v>0</v>
      </c>
      <c r="V223" s="193">
        <v>0</v>
      </c>
      <c r="W223" s="193">
        <v>0</v>
      </c>
      <c r="X223" s="193">
        <v>0</v>
      </c>
      <c r="Y223" s="192">
        <v>0</v>
      </c>
      <c r="Z223" s="193">
        <f t="shared" ref="Z223:Z228" si="101">AA223+AB223+AC223</f>
        <v>0</v>
      </c>
      <c r="AA223" s="193">
        <v>0</v>
      </c>
      <c r="AB223" s="193">
        <v>0</v>
      </c>
      <c r="AC223" s="193">
        <v>0</v>
      </c>
      <c r="AD223" s="196"/>
      <c r="AE223" s="196"/>
      <c r="AF223" s="196"/>
    </row>
    <row r="224" spans="1:32" s="11" customFormat="1" ht="33" customHeight="1" outlineLevel="1" x14ac:dyDescent="0.2">
      <c r="A224" s="190" t="s">
        <v>1210</v>
      </c>
      <c r="B224" s="206" t="s">
        <v>292</v>
      </c>
      <c r="C224" s="331">
        <f t="shared" si="97"/>
        <v>62.48</v>
      </c>
      <c r="D224" s="207">
        <f t="shared" si="98"/>
        <v>179685</v>
      </c>
      <c r="E224" s="170">
        <v>0</v>
      </c>
      <c r="F224" s="204">
        <f t="shared" si="99"/>
        <v>0</v>
      </c>
      <c r="G224" s="204">
        <v>0</v>
      </c>
      <c r="H224" s="171">
        <v>0</v>
      </c>
      <c r="I224" s="171">
        <v>0</v>
      </c>
      <c r="J224" s="331">
        <v>62.48</v>
      </c>
      <c r="K224" s="193">
        <f t="shared" si="95"/>
        <v>179685</v>
      </c>
      <c r="L224" s="193">
        <v>0</v>
      </c>
      <c r="M224" s="193">
        <v>169263</v>
      </c>
      <c r="N224" s="193">
        <v>10422</v>
      </c>
      <c r="O224" s="192">
        <v>0</v>
      </c>
      <c r="P224" s="193">
        <v>0</v>
      </c>
      <c r="Q224" s="193">
        <v>0</v>
      </c>
      <c r="R224" s="193">
        <v>0</v>
      </c>
      <c r="S224" s="193">
        <v>0</v>
      </c>
      <c r="T224" s="192">
        <v>0</v>
      </c>
      <c r="U224" s="193">
        <f t="shared" si="100"/>
        <v>0</v>
      </c>
      <c r="V224" s="193">
        <v>0</v>
      </c>
      <c r="W224" s="193">
        <v>0</v>
      </c>
      <c r="X224" s="193">
        <v>0</v>
      </c>
      <c r="Y224" s="192">
        <v>0</v>
      </c>
      <c r="Z224" s="193">
        <f t="shared" si="101"/>
        <v>0</v>
      </c>
      <c r="AA224" s="193">
        <v>0</v>
      </c>
      <c r="AB224" s="193">
        <v>0</v>
      </c>
      <c r="AC224" s="193">
        <v>0</v>
      </c>
      <c r="AD224" s="196"/>
      <c r="AE224" s="196"/>
      <c r="AF224" s="196"/>
    </row>
    <row r="225" spans="1:32" s="11" customFormat="1" ht="41.25" customHeight="1" outlineLevel="1" x14ac:dyDescent="0.2">
      <c r="A225" s="190" t="s">
        <v>1211</v>
      </c>
      <c r="B225" s="206" t="s">
        <v>293</v>
      </c>
      <c r="C225" s="331">
        <f t="shared" si="97"/>
        <v>10.210000000000001</v>
      </c>
      <c r="D225" s="207">
        <f t="shared" si="98"/>
        <v>27965</v>
      </c>
      <c r="E225" s="170">
        <v>0</v>
      </c>
      <c r="F225" s="204">
        <f t="shared" si="99"/>
        <v>0</v>
      </c>
      <c r="G225" s="204">
        <v>0</v>
      </c>
      <c r="H225" s="171">
        <v>0</v>
      </c>
      <c r="I225" s="171">
        <v>0</v>
      </c>
      <c r="J225" s="331">
        <v>10.210000000000001</v>
      </c>
      <c r="K225" s="193">
        <f t="shared" si="95"/>
        <v>27965</v>
      </c>
      <c r="L225" s="193">
        <v>0</v>
      </c>
      <c r="M225" s="193">
        <v>26343</v>
      </c>
      <c r="N225" s="193">
        <v>1622</v>
      </c>
      <c r="O225" s="192">
        <v>0</v>
      </c>
      <c r="P225" s="193">
        <f>Q225+R225+S225</f>
        <v>0</v>
      </c>
      <c r="Q225" s="193">
        <v>0</v>
      </c>
      <c r="R225" s="193">
        <v>0</v>
      </c>
      <c r="S225" s="193">
        <v>0</v>
      </c>
      <c r="T225" s="192">
        <v>0</v>
      </c>
      <c r="U225" s="193">
        <f t="shared" si="100"/>
        <v>0</v>
      </c>
      <c r="V225" s="193">
        <v>0</v>
      </c>
      <c r="W225" s="193">
        <v>0</v>
      </c>
      <c r="X225" s="193">
        <v>0</v>
      </c>
      <c r="Y225" s="192">
        <v>0</v>
      </c>
      <c r="Z225" s="193">
        <f t="shared" si="101"/>
        <v>0</v>
      </c>
      <c r="AA225" s="193">
        <v>0</v>
      </c>
      <c r="AB225" s="193">
        <v>0</v>
      </c>
      <c r="AC225" s="193">
        <v>0</v>
      </c>
      <c r="AD225" s="196"/>
      <c r="AE225" s="196"/>
      <c r="AF225" s="196"/>
    </row>
    <row r="226" spans="1:32" s="11" customFormat="1" ht="25.5" customHeight="1" outlineLevel="1" x14ac:dyDescent="0.2">
      <c r="A226" s="190" t="s">
        <v>1212</v>
      </c>
      <c r="B226" s="206" t="s">
        <v>645</v>
      </c>
      <c r="C226" s="331">
        <f t="shared" si="97"/>
        <v>41.93</v>
      </c>
      <c r="D226" s="207">
        <f t="shared" si="98"/>
        <v>105508</v>
      </c>
      <c r="E226" s="170">
        <v>0</v>
      </c>
      <c r="F226" s="204">
        <f t="shared" si="99"/>
        <v>0</v>
      </c>
      <c r="G226" s="204">
        <v>0</v>
      </c>
      <c r="H226" s="171">
        <v>0</v>
      </c>
      <c r="I226" s="171">
        <v>0</v>
      </c>
      <c r="J226" s="331">
        <v>41.93</v>
      </c>
      <c r="K226" s="193">
        <f t="shared" si="95"/>
        <v>105508</v>
      </c>
      <c r="L226" s="193">
        <v>0</v>
      </c>
      <c r="M226" s="193">
        <v>99388</v>
      </c>
      <c r="N226" s="193">
        <v>6120</v>
      </c>
      <c r="O226" s="192">
        <v>0</v>
      </c>
      <c r="P226" s="193">
        <f>Q226+R226+S226</f>
        <v>0</v>
      </c>
      <c r="Q226" s="193">
        <v>0</v>
      </c>
      <c r="R226" s="193">
        <v>0</v>
      </c>
      <c r="S226" s="193">
        <v>0</v>
      </c>
      <c r="T226" s="192">
        <v>0</v>
      </c>
      <c r="U226" s="193">
        <f t="shared" si="100"/>
        <v>0</v>
      </c>
      <c r="V226" s="193">
        <v>0</v>
      </c>
      <c r="W226" s="193">
        <v>0</v>
      </c>
      <c r="X226" s="193">
        <v>0</v>
      </c>
      <c r="Y226" s="192">
        <v>0</v>
      </c>
      <c r="Z226" s="193">
        <f t="shared" si="101"/>
        <v>0</v>
      </c>
      <c r="AA226" s="193">
        <v>0</v>
      </c>
      <c r="AB226" s="193">
        <v>0</v>
      </c>
      <c r="AC226" s="193">
        <v>0</v>
      </c>
      <c r="AD226" s="196"/>
      <c r="AE226" s="196"/>
      <c r="AF226" s="196"/>
    </row>
    <row r="227" spans="1:32" s="11" customFormat="1" ht="28.5" customHeight="1" outlineLevel="1" x14ac:dyDescent="0.2">
      <c r="A227" s="190" t="s">
        <v>1213</v>
      </c>
      <c r="B227" s="206" t="s">
        <v>294</v>
      </c>
      <c r="C227" s="331">
        <f t="shared" si="97"/>
        <v>10.67</v>
      </c>
      <c r="D227" s="207">
        <f t="shared" si="98"/>
        <v>24936</v>
      </c>
      <c r="E227" s="170">
        <v>0</v>
      </c>
      <c r="F227" s="204">
        <f t="shared" si="99"/>
        <v>0</v>
      </c>
      <c r="G227" s="204">
        <v>0</v>
      </c>
      <c r="H227" s="171">
        <v>0</v>
      </c>
      <c r="I227" s="171">
        <v>0</v>
      </c>
      <c r="J227" s="331">
        <v>10.67</v>
      </c>
      <c r="K227" s="193">
        <f t="shared" si="95"/>
        <v>24936</v>
      </c>
      <c r="L227" s="193">
        <v>0</v>
      </c>
      <c r="M227" s="193">
        <v>23490</v>
      </c>
      <c r="N227" s="193">
        <v>1446</v>
      </c>
      <c r="O227" s="192">
        <v>0</v>
      </c>
      <c r="P227" s="193">
        <f>Q227+R227+S227</f>
        <v>0</v>
      </c>
      <c r="Q227" s="193">
        <v>0</v>
      </c>
      <c r="R227" s="193">
        <v>0</v>
      </c>
      <c r="S227" s="193">
        <v>0</v>
      </c>
      <c r="T227" s="192">
        <v>0</v>
      </c>
      <c r="U227" s="193">
        <f t="shared" si="100"/>
        <v>0</v>
      </c>
      <c r="V227" s="193">
        <v>0</v>
      </c>
      <c r="W227" s="193">
        <v>0</v>
      </c>
      <c r="X227" s="193">
        <v>0</v>
      </c>
      <c r="Y227" s="192">
        <v>0</v>
      </c>
      <c r="Z227" s="193">
        <f t="shared" si="101"/>
        <v>0</v>
      </c>
      <c r="AA227" s="193">
        <v>0</v>
      </c>
      <c r="AB227" s="193">
        <v>0</v>
      </c>
      <c r="AC227" s="193">
        <v>0</v>
      </c>
      <c r="AD227" s="196"/>
      <c r="AE227" s="196"/>
      <c r="AF227" s="196"/>
    </row>
    <row r="228" spans="1:32" s="11" customFormat="1" ht="31.5" customHeight="1" outlineLevel="1" x14ac:dyDescent="0.2">
      <c r="A228" s="190" t="s">
        <v>1214</v>
      </c>
      <c r="B228" s="206" t="s">
        <v>295</v>
      </c>
      <c r="C228" s="331">
        <f t="shared" si="97"/>
        <v>7.85</v>
      </c>
      <c r="D228" s="207">
        <f t="shared" si="98"/>
        <v>22609</v>
      </c>
      <c r="E228" s="170">
        <v>0</v>
      </c>
      <c r="F228" s="204">
        <f t="shared" si="99"/>
        <v>0</v>
      </c>
      <c r="G228" s="204">
        <v>0</v>
      </c>
      <c r="H228" s="171">
        <v>0</v>
      </c>
      <c r="I228" s="171">
        <v>0</v>
      </c>
      <c r="J228" s="331">
        <v>7.85</v>
      </c>
      <c r="K228" s="193">
        <f t="shared" si="95"/>
        <v>22609</v>
      </c>
      <c r="L228" s="193">
        <v>0</v>
      </c>
      <c r="M228" s="193">
        <v>21298</v>
      </c>
      <c r="N228" s="193">
        <v>1311</v>
      </c>
      <c r="O228" s="192">
        <v>0</v>
      </c>
      <c r="P228" s="193">
        <f>Q228+R228+S228</f>
        <v>0</v>
      </c>
      <c r="Q228" s="193">
        <v>0</v>
      </c>
      <c r="R228" s="193">
        <v>0</v>
      </c>
      <c r="S228" s="193">
        <v>0</v>
      </c>
      <c r="T228" s="192">
        <v>0</v>
      </c>
      <c r="U228" s="193">
        <f t="shared" si="100"/>
        <v>0</v>
      </c>
      <c r="V228" s="193">
        <v>0</v>
      </c>
      <c r="W228" s="193">
        <v>0</v>
      </c>
      <c r="X228" s="193">
        <v>0</v>
      </c>
      <c r="Y228" s="192">
        <v>0</v>
      </c>
      <c r="Z228" s="193">
        <f t="shared" si="101"/>
        <v>0</v>
      </c>
      <c r="AA228" s="193">
        <v>0</v>
      </c>
      <c r="AB228" s="193">
        <v>0</v>
      </c>
      <c r="AC228" s="193">
        <v>0</v>
      </c>
      <c r="AD228" s="196"/>
      <c r="AE228" s="196"/>
      <c r="AF228" s="196"/>
    </row>
    <row r="229" spans="1:32" s="11" customFormat="1" ht="46.9" customHeight="1" outlineLevel="1" x14ac:dyDescent="0.2">
      <c r="A229" s="190" t="s">
        <v>1215</v>
      </c>
      <c r="B229" s="206" t="s">
        <v>296</v>
      </c>
      <c r="C229" s="331">
        <f t="shared" ref="C229:C236" si="102">E229+J229+O229+T229+Y229</f>
        <v>5.65</v>
      </c>
      <c r="D229" s="207">
        <f t="shared" ref="D229:D236" si="103">F229+K229+P229+U229+Z229</f>
        <v>15130</v>
      </c>
      <c r="E229" s="170">
        <v>0</v>
      </c>
      <c r="F229" s="204">
        <f t="shared" ref="F229:F236" si="104">G229+H229+I229</f>
        <v>0</v>
      </c>
      <c r="G229" s="204">
        <v>0</v>
      </c>
      <c r="H229" s="171">
        <v>0</v>
      </c>
      <c r="I229" s="171">
        <v>0</v>
      </c>
      <c r="J229" s="331">
        <v>5.65</v>
      </c>
      <c r="K229" s="193">
        <f t="shared" si="95"/>
        <v>15130</v>
      </c>
      <c r="L229" s="193">
        <v>0</v>
      </c>
      <c r="M229" s="193">
        <v>14253</v>
      </c>
      <c r="N229" s="193">
        <v>877</v>
      </c>
      <c r="O229" s="192">
        <v>0</v>
      </c>
      <c r="P229" s="193">
        <f t="shared" ref="P229:P236" si="105">Q229+R229+S229</f>
        <v>0</v>
      </c>
      <c r="Q229" s="193">
        <v>0</v>
      </c>
      <c r="R229" s="193">
        <v>0</v>
      </c>
      <c r="S229" s="193">
        <v>0</v>
      </c>
      <c r="T229" s="192">
        <v>0</v>
      </c>
      <c r="U229" s="193">
        <f t="shared" ref="U229:U236" si="106">V229+W229+X229</f>
        <v>0</v>
      </c>
      <c r="V229" s="193">
        <v>0</v>
      </c>
      <c r="W229" s="193">
        <v>0</v>
      </c>
      <c r="X229" s="193">
        <v>0</v>
      </c>
      <c r="Y229" s="192">
        <v>0</v>
      </c>
      <c r="Z229" s="193">
        <f t="shared" ref="Z229:Z236" si="107">AA229+AB229+AC229</f>
        <v>0</v>
      </c>
      <c r="AA229" s="193">
        <v>0</v>
      </c>
      <c r="AB229" s="193">
        <v>0</v>
      </c>
      <c r="AC229" s="193">
        <v>0</v>
      </c>
      <c r="AD229" s="196"/>
      <c r="AE229" s="196"/>
      <c r="AF229" s="196"/>
    </row>
    <row r="230" spans="1:32" s="11" customFormat="1" ht="40.5" customHeight="1" outlineLevel="1" x14ac:dyDescent="0.2">
      <c r="A230" s="190" t="s">
        <v>1216</v>
      </c>
      <c r="B230" s="206" t="s">
        <v>346</v>
      </c>
      <c r="C230" s="331">
        <f>E230+J230+O230+T230+Y230</f>
        <v>4.07</v>
      </c>
      <c r="D230" s="207">
        <f>F230+K230+P230+U230+Z230</f>
        <v>7603</v>
      </c>
      <c r="E230" s="170">
        <v>0</v>
      </c>
      <c r="F230" s="204">
        <f>G230+H230+I230</f>
        <v>0</v>
      </c>
      <c r="G230" s="204">
        <v>0</v>
      </c>
      <c r="H230" s="171">
        <v>0</v>
      </c>
      <c r="I230" s="171">
        <v>0</v>
      </c>
      <c r="J230" s="331">
        <v>4.07</v>
      </c>
      <c r="K230" s="193">
        <f t="shared" si="95"/>
        <v>7603</v>
      </c>
      <c r="L230" s="193">
        <v>0</v>
      </c>
      <c r="M230" s="193">
        <v>7162</v>
      </c>
      <c r="N230" s="193">
        <v>441</v>
      </c>
      <c r="O230" s="192">
        <v>0</v>
      </c>
      <c r="P230" s="193">
        <f>Q230+R230+S230</f>
        <v>0</v>
      </c>
      <c r="Q230" s="193">
        <v>0</v>
      </c>
      <c r="R230" s="193">
        <v>0</v>
      </c>
      <c r="S230" s="193">
        <v>0</v>
      </c>
      <c r="T230" s="192">
        <v>0</v>
      </c>
      <c r="U230" s="193">
        <f>V230+W230+X230</f>
        <v>0</v>
      </c>
      <c r="V230" s="193">
        <v>0</v>
      </c>
      <c r="W230" s="193">
        <v>0</v>
      </c>
      <c r="X230" s="193">
        <v>0</v>
      </c>
      <c r="Y230" s="192">
        <v>0</v>
      </c>
      <c r="Z230" s="193">
        <f>AA230+AB230+AC230</f>
        <v>0</v>
      </c>
      <c r="AA230" s="193">
        <v>0</v>
      </c>
      <c r="AB230" s="193">
        <v>0</v>
      </c>
      <c r="AC230" s="193">
        <v>0</v>
      </c>
      <c r="AD230" s="196"/>
      <c r="AE230" s="196"/>
      <c r="AF230" s="196"/>
    </row>
    <row r="231" spans="1:32" s="11" customFormat="1" ht="33" customHeight="1" outlineLevel="1" x14ac:dyDescent="0.2">
      <c r="A231" s="190" t="s">
        <v>1217</v>
      </c>
      <c r="B231" s="206" t="s">
        <v>297</v>
      </c>
      <c r="C231" s="331">
        <f t="shared" si="102"/>
        <v>0</v>
      </c>
      <c r="D231" s="207">
        <f t="shared" si="103"/>
        <v>0</v>
      </c>
      <c r="E231" s="170">
        <v>0</v>
      </c>
      <c r="F231" s="204">
        <f t="shared" si="104"/>
        <v>0</v>
      </c>
      <c r="G231" s="204">
        <v>0</v>
      </c>
      <c r="H231" s="171">
        <v>0</v>
      </c>
      <c r="I231" s="171">
        <v>0</v>
      </c>
      <c r="J231" s="331">
        <v>0</v>
      </c>
      <c r="K231" s="193">
        <f t="shared" si="95"/>
        <v>0</v>
      </c>
      <c r="L231" s="193">
        <v>0</v>
      </c>
      <c r="M231" s="193">
        <v>0</v>
      </c>
      <c r="N231" s="193">
        <v>0</v>
      </c>
      <c r="O231" s="192">
        <v>0</v>
      </c>
      <c r="P231" s="193">
        <f t="shared" si="105"/>
        <v>0</v>
      </c>
      <c r="Q231" s="193">
        <v>0</v>
      </c>
      <c r="R231" s="193">
        <v>0</v>
      </c>
      <c r="S231" s="193">
        <v>0</v>
      </c>
      <c r="T231" s="192">
        <v>0</v>
      </c>
      <c r="U231" s="193">
        <f t="shared" si="106"/>
        <v>0</v>
      </c>
      <c r="V231" s="193">
        <v>0</v>
      </c>
      <c r="W231" s="193">
        <v>0</v>
      </c>
      <c r="X231" s="193">
        <v>0</v>
      </c>
      <c r="Y231" s="192">
        <v>0</v>
      </c>
      <c r="Z231" s="193">
        <f t="shared" si="107"/>
        <v>0</v>
      </c>
      <c r="AA231" s="193">
        <v>0</v>
      </c>
      <c r="AB231" s="193">
        <v>0</v>
      </c>
      <c r="AC231" s="193">
        <v>0</v>
      </c>
      <c r="AD231" s="196"/>
      <c r="AE231" s="196"/>
      <c r="AF231" s="196"/>
    </row>
    <row r="232" spans="1:32" s="11" customFormat="1" ht="31.9" customHeight="1" outlineLevel="1" x14ac:dyDescent="0.2">
      <c r="A232" s="190" t="s">
        <v>1218</v>
      </c>
      <c r="B232" s="206" t="s">
        <v>519</v>
      </c>
      <c r="C232" s="331">
        <f t="shared" si="102"/>
        <v>39.380000000000003</v>
      </c>
      <c r="D232" s="207">
        <f t="shared" si="103"/>
        <v>156042</v>
      </c>
      <c r="E232" s="170">
        <v>0</v>
      </c>
      <c r="F232" s="204">
        <f t="shared" si="104"/>
        <v>0</v>
      </c>
      <c r="G232" s="204">
        <v>0</v>
      </c>
      <c r="H232" s="171">
        <v>0</v>
      </c>
      <c r="I232" s="171">
        <v>0</v>
      </c>
      <c r="J232" s="331">
        <v>0</v>
      </c>
      <c r="K232" s="193">
        <f t="shared" si="95"/>
        <v>0</v>
      </c>
      <c r="L232" s="193">
        <v>0</v>
      </c>
      <c r="M232" s="193">
        <v>0</v>
      </c>
      <c r="N232" s="193">
        <v>0</v>
      </c>
      <c r="O232" s="192">
        <v>39.380000000000003</v>
      </c>
      <c r="P232" s="193">
        <f>Q232+R232+S232</f>
        <v>156042</v>
      </c>
      <c r="Q232" s="193">
        <v>0</v>
      </c>
      <c r="R232" s="193">
        <f>143483+3508</f>
        <v>146991</v>
      </c>
      <c r="S232" s="193">
        <f>8835+216</f>
        <v>9051</v>
      </c>
      <c r="T232" s="192">
        <v>0</v>
      </c>
      <c r="U232" s="193">
        <f t="shared" si="106"/>
        <v>0</v>
      </c>
      <c r="V232" s="193">
        <v>0</v>
      </c>
      <c r="W232" s="193">
        <v>0</v>
      </c>
      <c r="X232" s="193">
        <v>0</v>
      </c>
      <c r="Y232" s="192">
        <v>0</v>
      </c>
      <c r="Z232" s="193">
        <f t="shared" si="107"/>
        <v>0</v>
      </c>
      <c r="AA232" s="193">
        <v>0</v>
      </c>
      <c r="AB232" s="193">
        <v>0</v>
      </c>
      <c r="AC232" s="193">
        <v>0</v>
      </c>
      <c r="AD232" s="196"/>
      <c r="AE232" s="196"/>
      <c r="AF232" s="196"/>
    </row>
    <row r="233" spans="1:32" s="11" customFormat="1" ht="39.75" customHeight="1" outlineLevel="1" x14ac:dyDescent="0.2">
      <c r="A233" s="190" t="s">
        <v>1219</v>
      </c>
      <c r="B233" s="206" t="s">
        <v>385</v>
      </c>
      <c r="C233" s="331">
        <f t="shared" si="102"/>
        <v>26</v>
      </c>
      <c r="D233" s="207">
        <f>F233+K233+P233+U233+Z233</f>
        <v>92646</v>
      </c>
      <c r="E233" s="170">
        <v>0</v>
      </c>
      <c r="F233" s="204">
        <f t="shared" si="104"/>
        <v>0</v>
      </c>
      <c r="G233" s="204">
        <v>0</v>
      </c>
      <c r="H233" s="171">
        <v>0</v>
      </c>
      <c r="I233" s="171">
        <v>0</v>
      </c>
      <c r="J233" s="331">
        <v>0</v>
      </c>
      <c r="K233" s="193">
        <f t="shared" si="95"/>
        <v>0</v>
      </c>
      <c r="L233" s="193">
        <v>0</v>
      </c>
      <c r="M233" s="193">
        <v>0</v>
      </c>
      <c r="N233" s="193">
        <v>0</v>
      </c>
      <c r="O233" s="192">
        <v>26</v>
      </c>
      <c r="P233" s="193">
        <f t="shared" si="105"/>
        <v>92646</v>
      </c>
      <c r="Q233" s="193">
        <v>0</v>
      </c>
      <c r="R233" s="193">
        <f>88295-1022</f>
        <v>87273</v>
      </c>
      <c r="S233" s="193">
        <f>5436-63</f>
        <v>5373</v>
      </c>
      <c r="T233" s="192">
        <v>0</v>
      </c>
      <c r="U233" s="193">
        <f t="shared" si="106"/>
        <v>0</v>
      </c>
      <c r="V233" s="193">
        <v>0</v>
      </c>
      <c r="W233" s="193">
        <v>0</v>
      </c>
      <c r="X233" s="193">
        <v>0</v>
      </c>
      <c r="Y233" s="192">
        <v>0</v>
      </c>
      <c r="Z233" s="193">
        <f t="shared" si="107"/>
        <v>0</v>
      </c>
      <c r="AA233" s="193">
        <v>0</v>
      </c>
      <c r="AB233" s="193">
        <v>0</v>
      </c>
      <c r="AC233" s="193">
        <v>0</v>
      </c>
      <c r="AD233" s="196"/>
      <c r="AE233" s="196"/>
      <c r="AF233" s="196"/>
    </row>
    <row r="234" spans="1:32" s="11" customFormat="1" ht="37.9" customHeight="1" outlineLevel="1" x14ac:dyDescent="0.2">
      <c r="A234" s="190" t="s">
        <v>1393</v>
      </c>
      <c r="B234" s="206" t="s">
        <v>298</v>
      </c>
      <c r="C234" s="331">
        <f t="shared" si="102"/>
        <v>4.7</v>
      </c>
      <c r="D234" s="207">
        <f t="shared" si="103"/>
        <v>19178</v>
      </c>
      <c r="E234" s="170">
        <v>0</v>
      </c>
      <c r="F234" s="204">
        <f t="shared" si="104"/>
        <v>0</v>
      </c>
      <c r="G234" s="204">
        <v>0</v>
      </c>
      <c r="H234" s="171">
        <v>0</v>
      </c>
      <c r="I234" s="171">
        <v>0</v>
      </c>
      <c r="J234" s="331">
        <v>0</v>
      </c>
      <c r="K234" s="193">
        <f t="shared" si="95"/>
        <v>0</v>
      </c>
      <c r="L234" s="193">
        <v>0</v>
      </c>
      <c r="M234" s="193">
        <v>0</v>
      </c>
      <c r="N234" s="193">
        <v>0</v>
      </c>
      <c r="O234" s="192">
        <v>4.7</v>
      </c>
      <c r="P234" s="193">
        <f t="shared" si="105"/>
        <v>19178</v>
      </c>
      <c r="Q234" s="193">
        <v>0</v>
      </c>
      <c r="R234" s="193">
        <f>17556+510</f>
        <v>18066</v>
      </c>
      <c r="S234" s="193">
        <f>1081+31</f>
        <v>1112</v>
      </c>
      <c r="T234" s="192">
        <v>0</v>
      </c>
      <c r="U234" s="193">
        <f t="shared" si="106"/>
        <v>0</v>
      </c>
      <c r="V234" s="193">
        <v>0</v>
      </c>
      <c r="W234" s="193">
        <v>0</v>
      </c>
      <c r="X234" s="193">
        <v>0</v>
      </c>
      <c r="Y234" s="192">
        <v>0</v>
      </c>
      <c r="Z234" s="193">
        <f t="shared" si="107"/>
        <v>0</v>
      </c>
      <c r="AA234" s="193">
        <v>0</v>
      </c>
      <c r="AB234" s="193">
        <v>0</v>
      </c>
      <c r="AC234" s="193">
        <v>0</v>
      </c>
      <c r="AD234" s="196"/>
      <c r="AE234" s="196"/>
      <c r="AF234" s="196"/>
    </row>
    <row r="235" spans="1:32" s="11" customFormat="1" ht="33" customHeight="1" outlineLevel="1" x14ac:dyDescent="0.2">
      <c r="A235" s="190" t="s">
        <v>1394</v>
      </c>
      <c r="B235" s="206" t="s">
        <v>299</v>
      </c>
      <c r="C235" s="331">
        <f t="shared" si="102"/>
        <v>0</v>
      </c>
      <c r="D235" s="207">
        <f t="shared" si="103"/>
        <v>0</v>
      </c>
      <c r="E235" s="170">
        <v>0</v>
      </c>
      <c r="F235" s="204">
        <f t="shared" si="104"/>
        <v>0</v>
      </c>
      <c r="G235" s="204">
        <v>0</v>
      </c>
      <c r="H235" s="171">
        <v>0</v>
      </c>
      <c r="I235" s="171">
        <v>0</v>
      </c>
      <c r="J235" s="331">
        <v>0</v>
      </c>
      <c r="K235" s="193">
        <f t="shared" si="95"/>
        <v>0</v>
      </c>
      <c r="L235" s="193">
        <v>0</v>
      </c>
      <c r="M235" s="193">
        <v>0</v>
      </c>
      <c r="N235" s="193">
        <v>0</v>
      </c>
      <c r="O235" s="192">
        <v>0</v>
      </c>
      <c r="P235" s="193">
        <f t="shared" si="105"/>
        <v>0</v>
      </c>
      <c r="Q235" s="193">
        <v>0</v>
      </c>
      <c r="R235" s="193">
        <v>0</v>
      </c>
      <c r="S235" s="193">
        <v>0</v>
      </c>
      <c r="T235" s="192">
        <v>0</v>
      </c>
      <c r="U235" s="193">
        <f t="shared" si="106"/>
        <v>0</v>
      </c>
      <c r="V235" s="193">
        <v>0</v>
      </c>
      <c r="W235" s="193">
        <v>0</v>
      </c>
      <c r="X235" s="193">
        <v>0</v>
      </c>
      <c r="Y235" s="192">
        <v>0</v>
      </c>
      <c r="Z235" s="193">
        <f t="shared" si="107"/>
        <v>0</v>
      </c>
      <c r="AA235" s="193">
        <v>0</v>
      </c>
      <c r="AB235" s="193">
        <v>0</v>
      </c>
      <c r="AC235" s="193">
        <v>0</v>
      </c>
      <c r="AD235" s="196"/>
      <c r="AE235" s="196"/>
      <c r="AF235" s="196"/>
    </row>
    <row r="236" spans="1:32" s="11" customFormat="1" ht="36" customHeight="1" outlineLevel="1" x14ac:dyDescent="0.2">
      <c r="A236" s="190" t="s">
        <v>1395</v>
      </c>
      <c r="B236" s="206" t="s">
        <v>300</v>
      </c>
      <c r="C236" s="331">
        <f t="shared" si="102"/>
        <v>10.91</v>
      </c>
      <c r="D236" s="207">
        <f t="shared" si="103"/>
        <v>39339</v>
      </c>
      <c r="E236" s="170">
        <v>0</v>
      </c>
      <c r="F236" s="204">
        <f t="shared" si="104"/>
        <v>0</v>
      </c>
      <c r="G236" s="204">
        <v>0</v>
      </c>
      <c r="H236" s="171">
        <v>0</v>
      </c>
      <c r="I236" s="171">
        <v>0</v>
      </c>
      <c r="J236" s="331">
        <v>0</v>
      </c>
      <c r="K236" s="193">
        <f t="shared" si="95"/>
        <v>0</v>
      </c>
      <c r="L236" s="193">
        <v>0</v>
      </c>
      <c r="M236" s="193">
        <v>0</v>
      </c>
      <c r="N236" s="193">
        <v>0</v>
      </c>
      <c r="O236" s="192">
        <v>10.91</v>
      </c>
      <c r="P236" s="193">
        <f t="shared" si="105"/>
        <v>39339</v>
      </c>
      <c r="Q236" s="193">
        <v>0</v>
      </c>
      <c r="R236" s="193">
        <f>38996-1939</f>
        <v>37057</v>
      </c>
      <c r="S236" s="193">
        <f>2401-119</f>
        <v>2282</v>
      </c>
      <c r="T236" s="192">
        <v>0</v>
      </c>
      <c r="U236" s="193">
        <f t="shared" si="106"/>
        <v>0</v>
      </c>
      <c r="V236" s="193">
        <v>0</v>
      </c>
      <c r="W236" s="193">
        <v>0</v>
      </c>
      <c r="X236" s="193">
        <v>0</v>
      </c>
      <c r="Y236" s="192">
        <v>0</v>
      </c>
      <c r="Z236" s="193">
        <f t="shared" si="107"/>
        <v>0</v>
      </c>
      <c r="AA236" s="193">
        <v>0</v>
      </c>
      <c r="AB236" s="193">
        <v>0</v>
      </c>
      <c r="AC236" s="193">
        <v>0</v>
      </c>
      <c r="AD236" s="196">
        <f>W237+W238+W239+W240+W253+W254+W261</f>
        <v>700000</v>
      </c>
      <c r="AE236" s="196"/>
      <c r="AF236" s="196"/>
    </row>
    <row r="237" spans="1:32" s="11" customFormat="1" ht="36" customHeight="1" outlineLevel="1" x14ac:dyDescent="0.2">
      <c r="A237" s="190" t="s">
        <v>1438</v>
      </c>
      <c r="B237" s="206" t="s">
        <v>578</v>
      </c>
      <c r="C237" s="331">
        <f t="shared" ref="C237:C261" si="108">E237+J237+O237+T237+Y237</f>
        <v>1.38</v>
      </c>
      <c r="D237" s="207">
        <f t="shared" ref="D237:D260" si="109">F237+K237+P237+U237+Z237</f>
        <v>33737</v>
      </c>
      <c r="E237" s="170">
        <v>0</v>
      </c>
      <c r="F237" s="204">
        <f t="shared" ref="F237:F252" si="110">G237+H237+I237</f>
        <v>0</v>
      </c>
      <c r="G237" s="204">
        <v>0</v>
      </c>
      <c r="H237" s="171">
        <v>0</v>
      </c>
      <c r="I237" s="171">
        <v>0</v>
      </c>
      <c r="J237" s="331">
        <v>0</v>
      </c>
      <c r="K237" s="193">
        <f t="shared" ref="K237:K254" si="111">L237+M237+N237</f>
        <v>0</v>
      </c>
      <c r="L237" s="193">
        <v>0</v>
      </c>
      <c r="M237" s="193">
        <v>0</v>
      </c>
      <c r="N237" s="193">
        <v>0</v>
      </c>
      <c r="O237" s="192">
        <v>0</v>
      </c>
      <c r="P237" s="193">
        <f t="shared" ref="P237:P261" si="112">Q237+R237+S237</f>
        <v>0</v>
      </c>
      <c r="Q237" s="193">
        <v>0</v>
      </c>
      <c r="R237" s="193">
        <v>0</v>
      </c>
      <c r="S237" s="193">
        <v>0</v>
      </c>
      <c r="T237" s="192">
        <v>1.38</v>
      </c>
      <c r="U237" s="193">
        <f t="shared" ref="U237:U261" si="113">V237+W237+X237</f>
        <v>33737</v>
      </c>
      <c r="V237" s="193">
        <v>0</v>
      </c>
      <c r="W237" s="193">
        <v>32725</v>
      </c>
      <c r="X237" s="193">
        <v>1012</v>
      </c>
      <c r="Y237" s="192">
        <v>0</v>
      </c>
      <c r="Z237" s="193">
        <f t="shared" ref="Z237:Z261" si="114">AA237+AB237+AC237</f>
        <v>0</v>
      </c>
      <c r="AA237" s="193">
        <v>0</v>
      </c>
      <c r="AB237" s="193">
        <v>0</v>
      </c>
      <c r="AC237" s="193">
        <v>0</v>
      </c>
      <c r="AD237" s="196">
        <f>U237+U238+U239+U240+U253+U254+U261</f>
        <v>721650</v>
      </c>
      <c r="AE237" s="196"/>
      <c r="AF237" s="196"/>
    </row>
    <row r="238" spans="1:32" s="11" customFormat="1" ht="36" customHeight="1" outlineLevel="1" x14ac:dyDescent="0.2">
      <c r="A238" s="190" t="s">
        <v>1439</v>
      </c>
      <c r="B238" s="206" t="s">
        <v>579</v>
      </c>
      <c r="C238" s="331">
        <f t="shared" si="108"/>
        <v>2.0299999999999998</v>
      </c>
      <c r="D238" s="207">
        <f t="shared" si="109"/>
        <v>108761</v>
      </c>
      <c r="E238" s="170">
        <v>0</v>
      </c>
      <c r="F238" s="204">
        <f t="shared" si="110"/>
        <v>0</v>
      </c>
      <c r="G238" s="204">
        <v>0</v>
      </c>
      <c r="H238" s="171">
        <v>0</v>
      </c>
      <c r="I238" s="171">
        <v>0</v>
      </c>
      <c r="J238" s="331">
        <v>0</v>
      </c>
      <c r="K238" s="193">
        <f t="shared" si="111"/>
        <v>0</v>
      </c>
      <c r="L238" s="193">
        <v>0</v>
      </c>
      <c r="M238" s="193">
        <v>0</v>
      </c>
      <c r="N238" s="193">
        <v>0</v>
      </c>
      <c r="O238" s="192">
        <v>0</v>
      </c>
      <c r="P238" s="193">
        <f t="shared" si="112"/>
        <v>0</v>
      </c>
      <c r="Q238" s="193">
        <v>0</v>
      </c>
      <c r="R238" s="193">
        <v>0</v>
      </c>
      <c r="S238" s="193">
        <v>0</v>
      </c>
      <c r="T238" s="192">
        <v>2.0299999999999998</v>
      </c>
      <c r="U238" s="193">
        <f t="shared" si="113"/>
        <v>108761</v>
      </c>
      <c r="V238" s="193">
        <v>0</v>
      </c>
      <c r="W238" s="193">
        <v>105498</v>
      </c>
      <c r="X238" s="193">
        <v>3263</v>
      </c>
      <c r="Y238" s="192">
        <v>0</v>
      </c>
      <c r="Z238" s="193">
        <f t="shared" si="114"/>
        <v>0</v>
      </c>
      <c r="AA238" s="193">
        <v>0</v>
      </c>
      <c r="AB238" s="193">
        <v>0</v>
      </c>
      <c r="AC238" s="193">
        <v>0</v>
      </c>
      <c r="AD238" s="196"/>
      <c r="AE238" s="196"/>
      <c r="AF238" s="196"/>
    </row>
    <row r="239" spans="1:32" s="11" customFormat="1" ht="36" customHeight="1" outlineLevel="1" x14ac:dyDescent="0.2">
      <c r="A239" s="190" t="s">
        <v>1440</v>
      </c>
      <c r="B239" s="206" t="s">
        <v>580</v>
      </c>
      <c r="C239" s="331">
        <f t="shared" si="108"/>
        <v>2.5</v>
      </c>
      <c r="D239" s="207">
        <f t="shared" si="109"/>
        <v>218742</v>
      </c>
      <c r="E239" s="170">
        <v>0</v>
      </c>
      <c r="F239" s="204">
        <f t="shared" si="110"/>
        <v>0</v>
      </c>
      <c r="G239" s="204">
        <v>0</v>
      </c>
      <c r="H239" s="171">
        <v>0</v>
      </c>
      <c r="I239" s="171">
        <v>0</v>
      </c>
      <c r="J239" s="331">
        <v>0</v>
      </c>
      <c r="K239" s="193">
        <f t="shared" si="111"/>
        <v>0</v>
      </c>
      <c r="L239" s="193">
        <v>0</v>
      </c>
      <c r="M239" s="193">
        <v>0</v>
      </c>
      <c r="N239" s="193">
        <v>0</v>
      </c>
      <c r="O239" s="192">
        <v>0</v>
      </c>
      <c r="P239" s="193">
        <f t="shared" si="112"/>
        <v>0</v>
      </c>
      <c r="Q239" s="193">
        <v>0</v>
      </c>
      <c r="R239" s="193">
        <v>0</v>
      </c>
      <c r="S239" s="193">
        <v>0</v>
      </c>
      <c r="T239" s="192">
        <v>2.5</v>
      </c>
      <c r="U239" s="193">
        <f t="shared" si="113"/>
        <v>218742</v>
      </c>
      <c r="V239" s="193">
        <v>0</v>
      </c>
      <c r="W239" s="193">
        <v>212180</v>
      </c>
      <c r="X239" s="193">
        <v>6562</v>
      </c>
      <c r="Y239" s="192">
        <v>0</v>
      </c>
      <c r="Z239" s="193">
        <f t="shared" si="114"/>
        <v>0</v>
      </c>
      <c r="AA239" s="193">
        <v>0</v>
      </c>
      <c r="AB239" s="193">
        <v>0</v>
      </c>
      <c r="AC239" s="193">
        <v>0</v>
      </c>
      <c r="AD239" s="196"/>
      <c r="AE239" s="196"/>
      <c r="AF239" s="196"/>
    </row>
    <row r="240" spans="1:32" s="11" customFormat="1" ht="52.5" customHeight="1" outlineLevel="1" x14ac:dyDescent="0.2">
      <c r="A240" s="190" t="s">
        <v>1441</v>
      </c>
      <c r="B240" s="206" t="s">
        <v>577</v>
      </c>
      <c r="C240" s="331">
        <f t="shared" si="108"/>
        <v>5.56</v>
      </c>
      <c r="D240" s="207">
        <f t="shared" si="109"/>
        <v>194910</v>
      </c>
      <c r="E240" s="170">
        <v>0</v>
      </c>
      <c r="F240" s="204">
        <f t="shared" si="110"/>
        <v>0</v>
      </c>
      <c r="G240" s="204">
        <v>0</v>
      </c>
      <c r="H240" s="171">
        <v>0</v>
      </c>
      <c r="I240" s="171">
        <v>0</v>
      </c>
      <c r="J240" s="331">
        <v>0</v>
      </c>
      <c r="K240" s="193">
        <f t="shared" si="111"/>
        <v>0</v>
      </c>
      <c r="L240" s="193">
        <v>0</v>
      </c>
      <c r="M240" s="193">
        <v>0</v>
      </c>
      <c r="N240" s="193">
        <v>0</v>
      </c>
      <c r="O240" s="192">
        <v>0</v>
      </c>
      <c r="P240" s="193">
        <f t="shared" si="112"/>
        <v>0</v>
      </c>
      <c r="Q240" s="193">
        <v>0</v>
      </c>
      <c r="R240" s="193">
        <v>0</v>
      </c>
      <c r="S240" s="193">
        <v>0</v>
      </c>
      <c r="T240" s="192">
        <v>5.56</v>
      </c>
      <c r="U240" s="193">
        <f t="shared" si="113"/>
        <v>194910</v>
      </c>
      <c r="V240" s="193">
        <v>0</v>
      </c>
      <c r="W240" s="193">
        <v>189063</v>
      </c>
      <c r="X240" s="214">
        <v>5847</v>
      </c>
      <c r="Y240" s="192">
        <v>0</v>
      </c>
      <c r="Z240" s="193">
        <f t="shared" si="114"/>
        <v>0</v>
      </c>
      <c r="AA240" s="193">
        <v>0</v>
      </c>
      <c r="AB240" s="193">
        <v>0</v>
      </c>
      <c r="AC240" s="193">
        <v>0</v>
      </c>
      <c r="AD240" s="196"/>
      <c r="AE240" s="196"/>
      <c r="AF240" s="196"/>
    </row>
    <row r="241" spans="1:32" s="11" customFormat="1" ht="96" customHeight="1" outlineLevel="1" x14ac:dyDescent="0.2">
      <c r="A241" s="190" t="s">
        <v>1442</v>
      </c>
      <c r="B241" s="215" t="s">
        <v>364</v>
      </c>
      <c r="C241" s="331">
        <f t="shared" si="108"/>
        <v>0</v>
      </c>
      <c r="D241" s="207">
        <f t="shared" si="109"/>
        <v>0</v>
      </c>
      <c r="E241" s="170">
        <v>0</v>
      </c>
      <c r="F241" s="204">
        <f t="shared" si="110"/>
        <v>0</v>
      </c>
      <c r="G241" s="204">
        <v>0</v>
      </c>
      <c r="H241" s="171">
        <v>0</v>
      </c>
      <c r="I241" s="171">
        <v>0</v>
      </c>
      <c r="J241" s="331">
        <v>0</v>
      </c>
      <c r="K241" s="193">
        <f t="shared" si="111"/>
        <v>0</v>
      </c>
      <c r="L241" s="193">
        <v>0</v>
      </c>
      <c r="M241" s="193">
        <v>0</v>
      </c>
      <c r="N241" s="193">
        <v>0</v>
      </c>
      <c r="O241" s="192">
        <v>0</v>
      </c>
      <c r="P241" s="193">
        <f t="shared" si="112"/>
        <v>0</v>
      </c>
      <c r="Q241" s="193">
        <v>0</v>
      </c>
      <c r="R241" s="193">
        <v>0</v>
      </c>
      <c r="S241" s="193">
        <v>0</v>
      </c>
      <c r="T241" s="192">
        <v>0</v>
      </c>
      <c r="U241" s="193">
        <f t="shared" si="113"/>
        <v>0</v>
      </c>
      <c r="V241" s="193">
        <v>0</v>
      </c>
      <c r="W241" s="193">
        <v>0</v>
      </c>
      <c r="X241" s="193">
        <v>0</v>
      </c>
      <c r="Y241" s="192">
        <v>0</v>
      </c>
      <c r="Z241" s="193">
        <f t="shared" si="114"/>
        <v>0</v>
      </c>
      <c r="AA241" s="193">
        <v>0</v>
      </c>
      <c r="AB241" s="193">
        <v>0</v>
      </c>
      <c r="AC241" s="193">
        <v>0</v>
      </c>
      <c r="AD241" s="196"/>
      <c r="AE241" s="196"/>
      <c r="AF241" s="196"/>
    </row>
    <row r="242" spans="1:32" s="11" customFormat="1" ht="36" customHeight="1" outlineLevel="1" x14ac:dyDescent="0.2">
      <c r="A242" s="190" t="s">
        <v>1443</v>
      </c>
      <c r="B242" s="206" t="s">
        <v>520</v>
      </c>
      <c r="C242" s="331">
        <f t="shared" si="108"/>
        <v>72.13</v>
      </c>
      <c r="D242" s="207">
        <f t="shared" si="109"/>
        <v>273574</v>
      </c>
      <c r="E242" s="170">
        <v>0</v>
      </c>
      <c r="F242" s="204">
        <f t="shared" si="110"/>
        <v>0</v>
      </c>
      <c r="G242" s="204">
        <v>0</v>
      </c>
      <c r="H242" s="171">
        <v>0</v>
      </c>
      <c r="I242" s="171">
        <v>0</v>
      </c>
      <c r="J242" s="331">
        <v>0</v>
      </c>
      <c r="K242" s="193">
        <f t="shared" si="111"/>
        <v>0</v>
      </c>
      <c r="L242" s="193">
        <v>0</v>
      </c>
      <c r="M242" s="193">
        <v>0</v>
      </c>
      <c r="N242" s="193">
        <v>0</v>
      </c>
      <c r="O242" s="192">
        <f>71.96+0.17</f>
        <v>72.13</v>
      </c>
      <c r="P242" s="193">
        <f t="shared" si="112"/>
        <v>273574</v>
      </c>
      <c r="Q242" s="193">
        <v>0</v>
      </c>
      <c r="R242" s="193">
        <f>247769+9938</f>
        <v>257707</v>
      </c>
      <c r="S242" s="193">
        <f>15255+612</f>
        <v>15867</v>
      </c>
      <c r="T242" s="192">
        <v>0</v>
      </c>
      <c r="U242" s="193">
        <f t="shared" si="113"/>
        <v>0</v>
      </c>
      <c r="V242" s="193">
        <v>0</v>
      </c>
      <c r="W242" s="193">
        <v>0</v>
      </c>
      <c r="X242" s="193">
        <v>0</v>
      </c>
      <c r="Y242" s="192">
        <v>0</v>
      </c>
      <c r="Z242" s="193">
        <f t="shared" si="114"/>
        <v>0</v>
      </c>
      <c r="AA242" s="193">
        <v>0</v>
      </c>
      <c r="AB242" s="193">
        <v>0</v>
      </c>
      <c r="AC242" s="193">
        <v>0</v>
      </c>
      <c r="AD242" s="196"/>
      <c r="AE242" s="196"/>
      <c r="AF242" s="196"/>
    </row>
    <row r="243" spans="1:32" s="11" customFormat="1" ht="36" outlineLevel="1" x14ac:dyDescent="0.2">
      <c r="A243" s="190" t="s">
        <v>1467</v>
      </c>
      <c r="B243" s="206" t="s">
        <v>390</v>
      </c>
      <c r="C243" s="331">
        <f t="shared" si="108"/>
        <v>21.39</v>
      </c>
      <c r="D243" s="207">
        <f t="shared" si="109"/>
        <v>48832</v>
      </c>
      <c r="E243" s="170">
        <v>0</v>
      </c>
      <c r="F243" s="204">
        <f t="shared" si="110"/>
        <v>0</v>
      </c>
      <c r="G243" s="204">
        <v>0</v>
      </c>
      <c r="H243" s="171">
        <v>0</v>
      </c>
      <c r="I243" s="204">
        <v>0</v>
      </c>
      <c r="J243" s="331">
        <v>21.39</v>
      </c>
      <c r="K243" s="193">
        <f t="shared" si="111"/>
        <v>48832</v>
      </c>
      <c r="L243" s="193">
        <v>0</v>
      </c>
      <c r="M243" s="193">
        <v>46000</v>
      </c>
      <c r="N243" s="193">
        <v>2832</v>
      </c>
      <c r="O243" s="192">
        <v>0</v>
      </c>
      <c r="P243" s="193">
        <f t="shared" si="112"/>
        <v>0</v>
      </c>
      <c r="Q243" s="193">
        <v>0</v>
      </c>
      <c r="R243" s="193">
        <v>0</v>
      </c>
      <c r="S243" s="193">
        <v>0</v>
      </c>
      <c r="T243" s="192">
        <v>0</v>
      </c>
      <c r="U243" s="193">
        <f t="shared" si="113"/>
        <v>0</v>
      </c>
      <c r="V243" s="193">
        <v>0</v>
      </c>
      <c r="W243" s="193">
        <v>0</v>
      </c>
      <c r="X243" s="193">
        <v>0</v>
      </c>
      <c r="Y243" s="192">
        <v>0</v>
      </c>
      <c r="Z243" s="193">
        <f t="shared" si="114"/>
        <v>0</v>
      </c>
      <c r="AA243" s="193">
        <v>0</v>
      </c>
      <c r="AB243" s="193">
        <v>0</v>
      </c>
      <c r="AC243" s="193">
        <v>0</v>
      </c>
      <c r="AD243" s="196"/>
      <c r="AE243" s="196"/>
      <c r="AF243" s="196"/>
    </row>
    <row r="244" spans="1:32" s="11" customFormat="1" ht="38.25" customHeight="1" outlineLevel="1" x14ac:dyDescent="0.2">
      <c r="A244" s="190" t="s">
        <v>1468</v>
      </c>
      <c r="B244" s="206" t="s">
        <v>405</v>
      </c>
      <c r="C244" s="331">
        <f t="shared" si="108"/>
        <v>7.04</v>
      </c>
      <c r="D244" s="207">
        <f t="shared" si="109"/>
        <v>29826</v>
      </c>
      <c r="E244" s="170">
        <v>0</v>
      </c>
      <c r="F244" s="204">
        <f t="shared" si="110"/>
        <v>0</v>
      </c>
      <c r="G244" s="204">
        <v>0</v>
      </c>
      <c r="H244" s="171">
        <v>0</v>
      </c>
      <c r="I244" s="204">
        <v>0</v>
      </c>
      <c r="J244" s="106">
        <v>7.04</v>
      </c>
      <c r="K244" s="214">
        <f t="shared" si="111"/>
        <v>29826</v>
      </c>
      <c r="L244" s="214">
        <v>0</v>
      </c>
      <c r="M244" s="214">
        <v>28096</v>
      </c>
      <c r="N244" s="214">
        <v>1730</v>
      </c>
      <c r="O244" s="216">
        <v>0</v>
      </c>
      <c r="P244" s="193">
        <f t="shared" si="112"/>
        <v>0</v>
      </c>
      <c r="Q244" s="193">
        <v>0</v>
      </c>
      <c r="R244" s="193">
        <v>0</v>
      </c>
      <c r="S244" s="193">
        <v>0</v>
      </c>
      <c r="T244" s="192">
        <v>0</v>
      </c>
      <c r="U244" s="193">
        <f t="shared" si="113"/>
        <v>0</v>
      </c>
      <c r="V244" s="193">
        <v>0</v>
      </c>
      <c r="W244" s="193">
        <v>0</v>
      </c>
      <c r="X244" s="193">
        <v>0</v>
      </c>
      <c r="Y244" s="192">
        <v>0</v>
      </c>
      <c r="Z244" s="193">
        <f t="shared" si="114"/>
        <v>0</v>
      </c>
      <c r="AA244" s="193">
        <v>0</v>
      </c>
      <c r="AB244" s="193">
        <v>0</v>
      </c>
      <c r="AC244" s="193">
        <v>0</v>
      </c>
      <c r="AD244" s="196"/>
      <c r="AE244" s="196"/>
      <c r="AF244" s="196"/>
    </row>
    <row r="245" spans="1:32" s="11" customFormat="1" ht="36" customHeight="1" outlineLevel="1" x14ac:dyDescent="0.2">
      <c r="A245" s="190" t="s">
        <v>1469</v>
      </c>
      <c r="B245" s="206" t="s">
        <v>402</v>
      </c>
      <c r="C245" s="331">
        <f t="shared" si="108"/>
        <v>8.4</v>
      </c>
      <c r="D245" s="207">
        <f t="shared" si="109"/>
        <v>27392</v>
      </c>
      <c r="E245" s="170">
        <v>0</v>
      </c>
      <c r="F245" s="204">
        <f t="shared" si="110"/>
        <v>0</v>
      </c>
      <c r="G245" s="204">
        <v>0</v>
      </c>
      <c r="H245" s="171">
        <v>0</v>
      </c>
      <c r="I245" s="171">
        <v>0</v>
      </c>
      <c r="J245" s="331">
        <v>8.4</v>
      </c>
      <c r="K245" s="193">
        <f t="shared" si="111"/>
        <v>27392</v>
      </c>
      <c r="L245" s="193">
        <v>0</v>
      </c>
      <c r="M245" s="193">
        <v>25803</v>
      </c>
      <c r="N245" s="193">
        <v>1589</v>
      </c>
      <c r="O245" s="192">
        <v>0</v>
      </c>
      <c r="P245" s="193">
        <f t="shared" si="112"/>
        <v>0</v>
      </c>
      <c r="Q245" s="193">
        <v>0</v>
      </c>
      <c r="R245" s="193">
        <v>0</v>
      </c>
      <c r="S245" s="193">
        <v>0</v>
      </c>
      <c r="T245" s="192">
        <v>0</v>
      </c>
      <c r="U245" s="193">
        <f t="shared" si="113"/>
        <v>0</v>
      </c>
      <c r="V245" s="193">
        <v>0</v>
      </c>
      <c r="W245" s="193">
        <v>0</v>
      </c>
      <c r="X245" s="193">
        <v>0</v>
      </c>
      <c r="Y245" s="192">
        <v>0</v>
      </c>
      <c r="Z245" s="193">
        <f t="shared" si="114"/>
        <v>0</v>
      </c>
      <c r="AA245" s="193">
        <v>0</v>
      </c>
      <c r="AB245" s="193">
        <v>0</v>
      </c>
      <c r="AC245" s="193">
        <v>0</v>
      </c>
      <c r="AD245" s="196"/>
      <c r="AE245" s="196"/>
      <c r="AF245" s="196"/>
    </row>
    <row r="246" spans="1:32" s="11" customFormat="1" ht="36" customHeight="1" outlineLevel="1" x14ac:dyDescent="0.2">
      <c r="A246" s="190" t="s">
        <v>1470</v>
      </c>
      <c r="B246" s="206" t="s">
        <v>403</v>
      </c>
      <c r="C246" s="331">
        <f t="shared" si="108"/>
        <v>38.479999999999997</v>
      </c>
      <c r="D246" s="207">
        <f t="shared" si="109"/>
        <v>117730</v>
      </c>
      <c r="E246" s="170">
        <v>0</v>
      </c>
      <c r="F246" s="204">
        <f t="shared" si="110"/>
        <v>0</v>
      </c>
      <c r="G246" s="204">
        <v>0</v>
      </c>
      <c r="H246" s="171">
        <v>0</v>
      </c>
      <c r="I246" s="171">
        <v>0</v>
      </c>
      <c r="J246" s="331">
        <v>38.479999999999997</v>
      </c>
      <c r="K246" s="193">
        <f t="shared" si="111"/>
        <v>117730</v>
      </c>
      <c r="L246" s="193">
        <v>0</v>
      </c>
      <c r="M246" s="193">
        <v>110902</v>
      </c>
      <c r="N246" s="193">
        <v>6828</v>
      </c>
      <c r="O246" s="192">
        <v>0</v>
      </c>
      <c r="P246" s="193">
        <f t="shared" si="112"/>
        <v>0</v>
      </c>
      <c r="Q246" s="193">
        <v>0</v>
      </c>
      <c r="R246" s="193">
        <v>0</v>
      </c>
      <c r="S246" s="193">
        <v>0</v>
      </c>
      <c r="T246" s="192">
        <v>0</v>
      </c>
      <c r="U246" s="193">
        <f t="shared" si="113"/>
        <v>0</v>
      </c>
      <c r="V246" s="193">
        <v>0</v>
      </c>
      <c r="W246" s="193">
        <v>0</v>
      </c>
      <c r="X246" s="193">
        <v>0</v>
      </c>
      <c r="Y246" s="192">
        <v>0</v>
      </c>
      <c r="Z246" s="193">
        <f t="shared" si="114"/>
        <v>0</v>
      </c>
      <c r="AA246" s="193">
        <v>0</v>
      </c>
      <c r="AB246" s="193">
        <v>0</v>
      </c>
      <c r="AC246" s="193">
        <v>0</v>
      </c>
      <c r="AD246" s="196"/>
      <c r="AE246" s="196"/>
      <c r="AF246" s="196"/>
    </row>
    <row r="247" spans="1:32" s="11" customFormat="1" ht="36" customHeight="1" outlineLevel="1" x14ac:dyDescent="0.2">
      <c r="A247" s="190" t="s">
        <v>1471</v>
      </c>
      <c r="B247" s="206" t="s">
        <v>404</v>
      </c>
      <c r="C247" s="331">
        <f t="shared" si="108"/>
        <v>56.7</v>
      </c>
      <c r="D247" s="207">
        <f t="shared" si="109"/>
        <v>173349</v>
      </c>
      <c r="E247" s="170">
        <v>0</v>
      </c>
      <c r="F247" s="204">
        <f t="shared" si="110"/>
        <v>0</v>
      </c>
      <c r="G247" s="204">
        <v>0</v>
      </c>
      <c r="H247" s="171">
        <v>0</v>
      </c>
      <c r="I247" s="171">
        <v>0</v>
      </c>
      <c r="J247" s="331">
        <v>56.7</v>
      </c>
      <c r="K247" s="193">
        <f t="shared" si="111"/>
        <v>173349</v>
      </c>
      <c r="L247" s="193">
        <v>0</v>
      </c>
      <c r="M247" s="193">
        <v>163295</v>
      </c>
      <c r="N247" s="193">
        <v>10054</v>
      </c>
      <c r="O247" s="192">
        <v>0</v>
      </c>
      <c r="P247" s="193">
        <f t="shared" si="112"/>
        <v>0</v>
      </c>
      <c r="Q247" s="193">
        <v>0</v>
      </c>
      <c r="R247" s="193">
        <v>0</v>
      </c>
      <c r="S247" s="193">
        <v>0</v>
      </c>
      <c r="T247" s="192">
        <v>0</v>
      </c>
      <c r="U247" s="193">
        <f t="shared" si="113"/>
        <v>0</v>
      </c>
      <c r="V247" s="193">
        <v>0</v>
      </c>
      <c r="W247" s="193">
        <v>0</v>
      </c>
      <c r="X247" s="193">
        <v>0</v>
      </c>
      <c r="Y247" s="192">
        <v>0</v>
      </c>
      <c r="Z247" s="193">
        <f t="shared" si="114"/>
        <v>0</v>
      </c>
      <c r="AA247" s="193">
        <v>0</v>
      </c>
      <c r="AB247" s="193">
        <v>0</v>
      </c>
      <c r="AC247" s="193">
        <v>0</v>
      </c>
      <c r="AD247" s="196"/>
      <c r="AE247" s="196"/>
      <c r="AF247" s="196"/>
    </row>
    <row r="248" spans="1:32" s="11" customFormat="1" ht="38.25" customHeight="1" outlineLevel="1" x14ac:dyDescent="0.2">
      <c r="A248" s="190" t="s">
        <v>1472</v>
      </c>
      <c r="B248" s="206" t="s">
        <v>508</v>
      </c>
      <c r="C248" s="331">
        <f t="shared" si="108"/>
        <v>0</v>
      </c>
      <c r="D248" s="207">
        <f t="shared" si="109"/>
        <v>0</v>
      </c>
      <c r="E248" s="170">
        <v>0</v>
      </c>
      <c r="F248" s="204">
        <f t="shared" si="110"/>
        <v>0</v>
      </c>
      <c r="G248" s="204">
        <v>0</v>
      </c>
      <c r="H248" s="171">
        <v>0</v>
      </c>
      <c r="I248" s="204">
        <v>0</v>
      </c>
      <c r="J248" s="106">
        <v>0</v>
      </c>
      <c r="K248" s="214">
        <f t="shared" si="111"/>
        <v>0</v>
      </c>
      <c r="L248" s="214">
        <v>0</v>
      </c>
      <c r="M248" s="214">
        <v>0</v>
      </c>
      <c r="N248" s="214">
        <v>0</v>
      </c>
      <c r="O248" s="216">
        <v>0</v>
      </c>
      <c r="P248" s="193">
        <f t="shared" si="112"/>
        <v>0</v>
      </c>
      <c r="Q248" s="193">
        <v>0</v>
      </c>
      <c r="R248" s="193">
        <v>0</v>
      </c>
      <c r="S248" s="193">
        <v>0</v>
      </c>
      <c r="T248" s="192">
        <v>0</v>
      </c>
      <c r="U248" s="193">
        <f t="shared" si="113"/>
        <v>0</v>
      </c>
      <c r="V248" s="193">
        <v>0</v>
      </c>
      <c r="W248" s="193">
        <v>0</v>
      </c>
      <c r="X248" s="193">
        <v>0</v>
      </c>
      <c r="Y248" s="192">
        <v>0</v>
      </c>
      <c r="Z248" s="193">
        <f t="shared" si="114"/>
        <v>0</v>
      </c>
      <c r="AA248" s="193">
        <v>0</v>
      </c>
      <c r="AB248" s="193">
        <f>14219-14219</f>
        <v>0</v>
      </c>
      <c r="AC248" s="193">
        <f>887-887</f>
        <v>0</v>
      </c>
      <c r="AD248" s="196"/>
      <c r="AE248" s="196"/>
      <c r="AF248" s="196"/>
    </row>
    <row r="249" spans="1:32" s="11" customFormat="1" ht="38.25" customHeight="1" outlineLevel="1" x14ac:dyDescent="0.2">
      <c r="A249" s="190" t="s">
        <v>1473</v>
      </c>
      <c r="B249" s="206" t="s">
        <v>509</v>
      </c>
      <c r="C249" s="331">
        <f t="shared" si="108"/>
        <v>0</v>
      </c>
      <c r="D249" s="207">
        <f t="shared" si="109"/>
        <v>0</v>
      </c>
      <c r="E249" s="170">
        <v>0</v>
      </c>
      <c r="F249" s="204">
        <f t="shared" si="110"/>
        <v>0</v>
      </c>
      <c r="G249" s="204">
        <v>0</v>
      </c>
      <c r="H249" s="171">
        <v>0</v>
      </c>
      <c r="I249" s="204">
        <v>0</v>
      </c>
      <c r="J249" s="106">
        <v>0</v>
      </c>
      <c r="K249" s="214">
        <f t="shared" si="111"/>
        <v>0</v>
      </c>
      <c r="L249" s="214">
        <v>0</v>
      </c>
      <c r="M249" s="214">
        <v>0</v>
      </c>
      <c r="N249" s="214">
        <v>0</v>
      </c>
      <c r="O249" s="216">
        <v>0</v>
      </c>
      <c r="P249" s="193">
        <f t="shared" si="112"/>
        <v>0</v>
      </c>
      <c r="Q249" s="193">
        <v>0</v>
      </c>
      <c r="R249" s="193">
        <v>0</v>
      </c>
      <c r="S249" s="193">
        <v>0</v>
      </c>
      <c r="T249" s="192">
        <v>0</v>
      </c>
      <c r="U249" s="193">
        <f t="shared" si="113"/>
        <v>0</v>
      </c>
      <c r="V249" s="193">
        <v>0</v>
      </c>
      <c r="W249" s="193">
        <v>0</v>
      </c>
      <c r="X249" s="193">
        <v>0</v>
      </c>
      <c r="Y249" s="192">
        <v>0</v>
      </c>
      <c r="Z249" s="193">
        <f t="shared" si="114"/>
        <v>0</v>
      </c>
      <c r="AA249" s="193">
        <v>0</v>
      </c>
      <c r="AB249" s="193">
        <f>92720-92720</f>
        <v>0</v>
      </c>
      <c r="AC249" s="193">
        <f>5709-5709</f>
        <v>0</v>
      </c>
      <c r="AD249" s="196"/>
      <c r="AE249" s="196"/>
      <c r="AF249" s="196"/>
    </row>
    <row r="250" spans="1:32" s="11" customFormat="1" ht="38.25" customHeight="1" outlineLevel="1" x14ac:dyDescent="0.2">
      <c r="A250" s="190" t="s">
        <v>1474</v>
      </c>
      <c r="B250" s="206" t="s">
        <v>510</v>
      </c>
      <c r="C250" s="331">
        <f t="shared" si="108"/>
        <v>0</v>
      </c>
      <c r="D250" s="207">
        <f t="shared" si="109"/>
        <v>0</v>
      </c>
      <c r="E250" s="170">
        <v>0</v>
      </c>
      <c r="F250" s="204">
        <f t="shared" si="110"/>
        <v>0</v>
      </c>
      <c r="G250" s="204">
        <v>0</v>
      </c>
      <c r="H250" s="171">
        <v>0</v>
      </c>
      <c r="I250" s="204">
        <v>0</v>
      </c>
      <c r="J250" s="106">
        <v>0</v>
      </c>
      <c r="K250" s="214">
        <f t="shared" si="111"/>
        <v>0</v>
      </c>
      <c r="L250" s="214">
        <v>0</v>
      </c>
      <c r="M250" s="214">
        <v>0</v>
      </c>
      <c r="N250" s="214">
        <v>0</v>
      </c>
      <c r="O250" s="216">
        <v>0</v>
      </c>
      <c r="P250" s="193">
        <f t="shared" si="112"/>
        <v>0</v>
      </c>
      <c r="Q250" s="193">
        <v>0</v>
      </c>
      <c r="R250" s="193">
        <v>0</v>
      </c>
      <c r="S250" s="193">
        <v>0</v>
      </c>
      <c r="T250" s="192">
        <v>0</v>
      </c>
      <c r="U250" s="193">
        <f t="shared" si="113"/>
        <v>0</v>
      </c>
      <c r="V250" s="193">
        <v>0</v>
      </c>
      <c r="W250" s="193">
        <v>0</v>
      </c>
      <c r="X250" s="193">
        <v>0</v>
      </c>
      <c r="Y250" s="192">
        <v>0</v>
      </c>
      <c r="Z250" s="193">
        <f t="shared" si="114"/>
        <v>0</v>
      </c>
      <c r="AA250" s="193">
        <v>0</v>
      </c>
      <c r="AB250" s="193">
        <f>63616-63616</f>
        <v>0</v>
      </c>
      <c r="AC250" s="193">
        <f>3917-3917</f>
        <v>0</v>
      </c>
      <c r="AD250" s="196"/>
      <c r="AE250" s="196"/>
      <c r="AF250" s="196"/>
    </row>
    <row r="251" spans="1:32" s="11" customFormat="1" ht="38.25" customHeight="1" outlineLevel="1" x14ac:dyDescent="0.2">
      <c r="A251" s="190" t="s">
        <v>1475</v>
      </c>
      <c r="B251" s="206" t="s">
        <v>511</v>
      </c>
      <c r="C251" s="331">
        <f t="shared" si="108"/>
        <v>0</v>
      </c>
      <c r="D251" s="207">
        <f t="shared" si="109"/>
        <v>0</v>
      </c>
      <c r="E251" s="170">
        <v>0</v>
      </c>
      <c r="F251" s="204">
        <f t="shared" si="110"/>
        <v>0</v>
      </c>
      <c r="G251" s="204">
        <v>0</v>
      </c>
      <c r="H251" s="171">
        <v>0</v>
      </c>
      <c r="I251" s="204">
        <v>0</v>
      </c>
      <c r="J251" s="106">
        <v>0</v>
      </c>
      <c r="K251" s="214">
        <f t="shared" si="111"/>
        <v>0</v>
      </c>
      <c r="L251" s="214">
        <v>0</v>
      </c>
      <c r="M251" s="214">
        <v>0</v>
      </c>
      <c r="N251" s="214">
        <v>0</v>
      </c>
      <c r="O251" s="216">
        <v>0</v>
      </c>
      <c r="P251" s="193">
        <f t="shared" si="112"/>
        <v>0</v>
      </c>
      <c r="Q251" s="193">
        <v>0</v>
      </c>
      <c r="R251" s="193">
        <v>0</v>
      </c>
      <c r="S251" s="193">
        <v>0</v>
      </c>
      <c r="T251" s="192">
        <v>0</v>
      </c>
      <c r="U251" s="193">
        <f t="shared" si="113"/>
        <v>0</v>
      </c>
      <c r="V251" s="193">
        <v>0</v>
      </c>
      <c r="W251" s="193">
        <v>0</v>
      </c>
      <c r="X251" s="193">
        <v>0</v>
      </c>
      <c r="Y251" s="192">
        <v>0</v>
      </c>
      <c r="Z251" s="193">
        <f t="shared" si="114"/>
        <v>0</v>
      </c>
      <c r="AA251" s="193">
        <v>0</v>
      </c>
      <c r="AB251" s="193">
        <f>313121-313121</f>
        <v>0</v>
      </c>
      <c r="AC251" s="193">
        <f>19279-19279</f>
        <v>0</v>
      </c>
      <c r="AD251" s="196"/>
      <c r="AE251" s="196"/>
      <c r="AF251" s="196"/>
    </row>
    <row r="252" spans="1:32" s="11" customFormat="1" ht="38.25" customHeight="1" outlineLevel="1" x14ac:dyDescent="0.2">
      <c r="A252" s="190" t="s">
        <v>1476</v>
      </c>
      <c r="B252" s="206" t="s">
        <v>512</v>
      </c>
      <c r="C252" s="331">
        <f t="shared" si="108"/>
        <v>0</v>
      </c>
      <c r="D252" s="207">
        <f t="shared" si="109"/>
        <v>0</v>
      </c>
      <c r="E252" s="170">
        <v>0</v>
      </c>
      <c r="F252" s="204">
        <f t="shared" si="110"/>
        <v>0</v>
      </c>
      <c r="G252" s="204">
        <v>0</v>
      </c>
      <c r="H252" s="171">
        <v>0</v>
      </c>
      <c r="I252" s="204">
        <v>0</v>
      </c>
      <c r="J252" s="106">
        <v>0</v>
      </c>
      <c r="K252" s="214">
        <f t="shared" si="111"/>
        <v>0</v>
      </c>
      <c r="L252" s="214">
        <v>0</v>
      </c>
      <c r="M252" s="214">
        <v>0</v>
      </c>
      <c r="N252" s="214">
        <v>0</v>
      </c>
      <c r="O252" s="216">
        <v>0</v>
      </c>
      <c r="P252" s="193">
        <f t="shared" si="112"/>
        <v>0</v>
      </c>
      <c r="Q252" s="193">
        <v>0</v>
      </c>
      <c r="R252" s="193">
        <v>0</v>
      </c>
      <c r="S252" s="193">
        <v>0</v>
      </c>
      <c r="T252" s="192">
        <v>0</v>
      </c>
      <c r="U252" s="193">
        <f t="shared" si="113"/>
        <v>0</v>
      </c>
      <c r="V252" s="193">
        <v>0</v>
      </c>
      <c r="W252" s="193">
        <v>0</v>
      </c>
      <c r="X252" s="193">
        <v>0</v>
      </c>
      <c r="Y252" s="192">
        <v>0</v>
      </c>
      <c r="Z252" s="193">
        <f t="shared" si="114"/>
        <v>0</v>
      </c>
      <c r="AA252" s="193">
        <v>0</v>
      </c>
      <c r="AB252" s="193">
        <f>216324-216324</f>
        <v>0</v>
      </c>
      <c r="AC252" s="193">
        <f>13308-13308</f>
        <v>0</v>
      </c>
      <c r="AD252" s="196"/>
      <c r="AE252" s="196"/>
      <c r="AF252" s="196"/>
    </row>
    <row r="253" spans="1:32" s="11" customFormat="1" ht="38.25" customHeight="1" outlineLevel="1" x14ac:dyDescent="0.2">
      <c r="A253" s="190" t="s">
        <v>1477</v>
      </c>
      <c r="B253" s="206" t="s">
        <v>575</v>
      </c>
      <c r="C253" s="331">
        <f t="shared" si="108"/>
        <v>1.1200000000000001</v>
      </c>
      <c r="D253" s="207">
        <f t="shared" si="109"/>
        <v>54127</v>
      </c>
      <c r="E253" s="170">
        <v>0</v>
      </c>
      <c r="F253" s="204">
        <f t="shared" ref="F253:F254" si="115">G253+H253+I253</f>
        <v>0</v>
      </c>
      <c r="G253" s="204">
        <v>0</v>
      </c>
      <c r="H253" s="171">
        <v>0</v>
      </c>
      <c r="I253" s="204">
        <v>0</v>
      </c>
      <c r="J253" s="106">
        <v>0</v>
      </c>
      <c r="K253" s="204">
        <f t="shared" si="111"/>
        <v>0</v>
      </c>
      <c r="L253" s="204">
        <v>0</v>
      </c>
      <c r="M253" s="171">
        <v>0</v>
      </c>
      <c r="N253" s="204">
        <v>0</v>
      </c>
      <c r="O253" s="216">
        <v>0</v>
      </c>
      <c r="P253" s="204">
        <f t="shared" si="112"/>
        <v>0</v>
      </c>
      <c r="Q253" s="204">
        <v>0</v>
      </c>
      <c r="R253" s="171">
        <v>0</v>
      </c>
      <c r="S253" s="204">
        <v>0</v>
      </c>
      <c r="T253" s="192">
        <v>1.1200000000000001</v>
      </c>
      <c r="U253" s="193">
        <f t="shared" si="113"/>
        <v>54127</v>
      </c>
      <c r="V253" s="193">
        <v>0</v>
      </c>
      <c r="W253" s="193">
        <v>52503</v>
      </c>
      <c r="X253" s="193">
        <v>1624</v>
      </c>
      <c r="Y253" s="192">
        <v>0</v>
      </c>
      <c r="Z253" s="193">
        <f t="shared" si="114"/>
        <v>0</v>
      </c>
      <c r="AA253" s="193">
        <v>0</v>
      </c>
      <c r="AB253" s="193">
        <v>0</v>
      </c>
      <c r="AC253" s="193">
        <v>0</v>
      </c>
      <c r="AD253" s="196"/>
      <c r="AE253" s="196"/>
      <c r="AF253" s="196"/>
    </row>
    <row r="254" spans="1:32" s="11" customFormat="1" ht="38.25" customHeight="1" outlineLevel="1" x14ac:dyDescent="0.2">
      <c r="A254" s="190" t="s">
        <v>1478</v>
      </c>
      <c r="B254" s="206" t="s">
        <v>576</v>
      </c>
      <c r="C254" s="331">
        <f t="shared" si="108"/>
        <v>1.93</v>
      </c>
      <c r="D254" s="207">
        <f t="shared" si="109"/>
        <v>111362</v>
      </c>
      <c r="E254" s="170">
        <v>0</v>
      </c>
      <c r="F254" s="204">
        <f t="shared" si="115"/>
        <v>0</v>
      </c>
      <c r="G254" s="204">
        <v>0</v>
      </c>
      <c r="H254" s="171">
        <v>0</v>
      </c>
      <c r="I254" s="204">
        <v>0</v>
      </c>
      <c r="J254" s="106">
        <v>0</v>
      </c>
      <c r="K254" s="204">
        <f t="shared" si="111"/>
        <v>0</v>
      </c>
      <c r="L254" s="204">
        <v>0</v>
      </c>
      <c r="M254" s="171">
        <v>0</v>
      </c>
      <c r="N254" s="204">
        <v>0</v>
      </c>
      <c r="O254" s="216">
        <v>0</v>
      </c>
      <c r="P254" s="204">
        <f t="shared" si="112"/>
        <v>0</v>
      </c>
      <c r="Q254" s="204">
        <v>0</v>
      </c>
      <c r="R254" s="171">
        <v>0</v>
      </c>
      <c r="S254" s="204">
        <v>0</v>
      </c>
      <c r="T254" s="192">
        <v>1.93</v>
      </c>
      <c r="U254" s="193">
        <f t="shared" si="113"/>
        <v>111362</v>
      </c>
      <c r="V254" s="193">
        <v>0</v>
      </c>
      <c r="W254" s="193">
        <v>108021</v>
      </c>
      <c r="X254" s="193">
        <v>3341</v>
      </c>
      <c r="Y254" s="192">
        <v>0</v>
      </c>
      <c r="Z254" s="193">
        <f t="shared" si="114"/>
        <v>0</v>
      </c>
      <c r="AA254" s="193">
        <v>0</v>
      </c>
      <c r="AB254" s="193">
        <v>0</v>
      </c>
      <c r="AC254" s="193">
        <v>0</v>
      </c>
      <c r="AD254" s="196"/>
      <c r="AE254" s="196"/>
      <c r="AF254" s="196"/>
    </row>
    <row r="255" spans="1:32" s="11" customFormat="1" ht="38.25" customHeight="1" outlineLevel="1" x14ac:dyDescent="0.2">
      <c r="A255" s="190" t="s">
        <v>1479</v>
      </c>
      <c r="B255" s="306" t="s">
        <v>1444</v>
      </c>
      <c r="C255" s="331">
        <f t="shared" si="108"/>
        <v>2.92</v>
      </c>
      <c r="D255" s="207">
        <f t="shared" si="109"/>
        <v>103764</v>
      </c>
      <c r="E255" s="170">
        <v>0</v>
      </c>
      <c r="F255" s="204">
        <f t="shared" ref="F255:F260" si="116">G255+H255+I255</f>
        <v>0</v>
      </c>
      <c r="G255" s="204">
        <v>0</v>
      </c>
      <c r="H255" s="171">
        <v>0</v>
      </c>
      <c r="I255" s="204">
        <v>0</v>
      </c>
      <c r="J255" s="106">
        <v>0</v>
      </c>
      <c r="K255" s="204">
        <f t="shared" ref="K255:K260" si="117">L255+M255+N255</f>
        <v>0</v>
      </c>
      <c r="L255" s="204">
        <v>0</v>
      </c>
      <c r="M255" s="171">
        <v>0</v>
      </c>
      <c r="N255" s="204">
        <v>0</v>
      </c>
      <c r="O255" s="216">
        <v>0</v>
      </c>
      <c r="P255" s="204">
        <f t="shared" ref="P255:P260" si="118">Q255+R255+S255</f>
        <v>0</v>
      </c>
      <c r="Q255" s="204">
        <v>0</v>
      </c>
      <c r="R255" s="171">
        <v>0</v>
      </c>
      <c r="S255" s="204">
        <v>0</v>
      </c>
      <c r="T255" s="216">
        <v>0</v>
      </c>
      <c r="U255" s="204">
        <f t="shared" si="113"/>
        <v>0</v>
      </c>
      <c r="V255" s="204">
        <v>0</v>
      </c>
      <c r="W255" s="171">
        <v>0</v>
      </c>
      <c r="X255" s="204">
        <v>0</v>
      </c>
      <c r="Y255" s="192">
        <v>2.92</v>
      </c>
      <c r="Z255" s="193">
        <f t="shared" ref="Z255:Z260" si="119">AA255+AB255+AC255</f>
        <v>103764</v>
      </c>
      <c r="AA255" s="193">
        <v>0</v>
      </c>
      <c r="AB255" s="193">
        <v>96293</v>
      </c>
      <c r="AC255" s="193">
        <v>7471</v>
      </c>
      <c r="AD255" s="213">
        <f>Z255+Z256+Z257+Z258+Z259+Z260+Z261</f>
        <v>754311</v>
      </c>
      <c r="AE255" s="213">
        <f>AB255+AB256+AB257+AB258+AB259+AB260+AB261</f>
        <v>700000</v>
      </c>
      <c r="AF255" s="213">
        <f>AC255+AC256+AC257+AC258+AC259+AC260+AC261</f>
        <v>54311</v>
      </c>
    </row>
    <row r="256" spans="1:32" s="11" customFormat="1" ht="66.75" customHeight="1" outlineLevel="1" x14ac:dyDescent="0.2">
      <c r="A256" s="190" t="s">
        <v>1480</v>
      </c>
      <c r="B256" s="307" t="s">
        <v>1445</v>
      </c>
      <c r="C256" s="331">
        <f t="shared" si="108"/>
        <v>1.355</v>
      </c>
      <c r="D256" s="207">
        <f t="shared" si="109"/>
        <v>219511</v>
      </c>
      <c r="E256" s="170">
        <v>0</v>
      </c>
      <c r="F256" s="204">
        <f t="shared" si="116"/>
        <v>0</v>
      </c>
      <c r="G256" s="204">
        <v>0</v>
      </c>
      <c r="H256" s="171">
        <v>0</v>
      </c>
      <c r="I256" s="204">
        <v>0</v>
      </c>
      <c r="J256" s="106">
        <v>0</v>
      </c>
      <c r="K256" s="204">
        <f t="shared" si="117"/>
        <v>0</v>
      </c>
      <c r="L256" s="204">
        <v>0</v>
      </c>
      <c r="M256" s="171">
        <v>0</v>
      </c>
      <c r="N256" s="204">
        <v>0</v>
      </c>
      <c r="O256" s="216">
        <v>0</v>
      </c>
      <c r="P256" s="204">
        <f t="shared" si="118"/>
        <v>0</v>
      </c>
      <c r="Q256" s="204">
        <v>0</v>
      </c>
      <c r="R256" s="171">
        <v>0</v>
      </c>
      <c r="S256" s="204">
        <v>0</v>
      </c>
      <c r="T256" s="216">
        <v>0</v>
      </c>
      <c r="U256" s="204">
        <f t="shared" si="113"/>
        <v>0</v>
      </c>
      <c r="V256" s="204">
        <v>0</v>
      </c>
      <c r="W256" s="171">
        <v>0</v>
      </c>
      <c r="X256" s="204">
        <v>0</v>
      </c>
      <c r="Y256" s="192">
        <v>1.355</v>
      </c>
      <c r="Z256" s="193">
        <f t="shared" si="119"/>
        <v>219511</v>
      </c>
      <c r="AA256" s="193">
        <v>0</v>
      </c>
      <c r="AB256" s="193">
        <v>203706</v>
      </c>
      <c r="AC256" s="193">
        <v>15805</v>
      </c>
      <c r="AD256" s="196"/>
      <c r="AE256" s="196"/>
      <c r="AF256" s="196"/>
    </row>
    <row r="257" spans="1:32" s="11" customFormat="1" ht="38.25" customHeight="1" outlineLevel="1" x14ac:dyDescent="0.2">
      <c r="A257" s="190" t="s">
        <v>1481</v>
      </c>
      <c r="B257" s="206" t="s">
        <v>1446</v>
      </c>
      <c r="C257" s="331">
        <f t="shared" si="108"/>
        <v>1.71</v>
      </c>
      <c r="D257" s="207">
        <f t="shared" si="109"/>
        <v>132525</v>
      </c>
      <c r="E257" s="170">
        <v>0</v>
      </c>
      <c r="F257" s="204">
        <f t="shared" si="116"/>
        <v>0</v>
      </c>
      <c r="G257" s="204">
        <v>0</v>
      </c>
      <c r="H257" s="171">
        <v>0</v>
      </c>
      <c r="I257" s="204">
        <v>0</v>
      </c>
      <c r="J257" s="106">
        <v>0</v>
      </c>
      <c r="K257" s="204">
        <f t="shared" si="117"/>
        <v>0</v>
      </c>
      <c r="L257" s="204">
        <v>0</v>
      </c>
      <c r="M257" s="171">
        <v>0</v>
      </c>
      <c r="N257" s="204">
        <v>0</v>
      </c>
      <c r="O257" s="216">
        <v>0</v>
      </c>
      <c r="P257" s="204">
        <f t="shared" si="118"/>
        <v>0</v>
      </c>
      <c r="Q257" s="204">
        <v>0</v>
      </c>
      <c r="R257" s="171">
        <v>0</v>
      </c>
      <c r="S257" s="204">
        <v>0</v>
      </c>
      <c r="T257" s="216">
        <v>0</v>
      </c>
      <c r="U257" s="204">
        <f t="shared" si="113"/>
        <v>0</v>
      </c>
      <c r="V257" s="204">
        <v>0</v>
      </c>
      <c r="W257" s="171">
        <v>0</v>
      </c>
      <c r="X257" s="204">
        <v>0</v>
      </c>
      <c r="Y257" s="192">
        <v>1.71</v>
      </c>
      <c r="Z257" s="193">
        <f t="shared" si="119"/>
        <v>132525</v>
      </c>
      <c r="AA257" s="193">
        <v>0</v>
      </c>
      <c r="AB257" s="193">
        <v>122983</v>
      </c>
      <c r="AC257" s="193">
        <v>9542</v>
      </c>
      <c r="AD257" s="196"/>
      <c r="AE257" s="196"/>
      <c r="AF257" s="196"/>
    </row>
    <row r="258" spans="1:32" s="11" customFormat="1" ht="45.75" customHeight="1" outlineLevel="1" x14ac:dyDescent="0.2">
      <c r="A258" s="190" t="s">
        <v>1482</v>
      </c>
      <c r="B258" s="206" t="s">
        <v>1447</v>
      </c>
      <c r="C258" s="331">
        <f t="shared" si="108"/>
        <v>0.97</v>
      </c>
      <c r="D258" s="207">
        <f t="shared" si="109"/>
        <v>64933</v>
      </c>
      <c r="E258" s="170">
        <v>0</v>
      </c>
      <c r="F258" s="204">
        <f t="shared" si="116"/>
        <v>0</v>
      </c>
      <c r="G258" s="204">
        <v>0</v>
      </c>
      <c r="H258" s="171">
        <v>0</v>
      </c>
      <c r="I258" s="204">
        <v>0</v>
      </c>
      <c r="J258" s="106">
        <v>0</v>
      </c>
      <c r="K258" s="204">
        <f t="shared" si="117"/>
        <v>0</v>
      </c>
      <c r="L258" s="204">
        <v>0</v>
      </c>
      <c r="M258" s="171">
        <v>0</v>
      </c>
      <c r="N258" s="204">
        <v>0</v>
      </c>
      <c r="O258" s="216">
        <v>0</v>
      </c>
      <c r="P258" s="204">
        <f t="shared" si="118"/>
        <v>0</v>
      </c>
      <c r="Q258" s="204">
        <v>0</v>
      </c>
      <c r="R258" s="171">
        <v>0</v>
      </c>
      <c r="S258" s="204">
        <v>0</v>
      </c>
      <c r="T258" s="216">
        <v>0</v>
      </c>
      <c r="U258" s="204">
        <f t="shared" si="113"/>
        <v>0</v>
      </c>
      <c r="V258" s="204">
        <v>0</v>
      </c>
      <c r="W258" s="171">
        <v>0</v>
      </c>
      <c r="X258" s="204">
        <v>0</v>
      </c>
      <c r="Y258" s="192">
        <v>0.97</v>
      </c>
      <c r="Z258" s="193">
        <f t="shared" si="119"/>
        <v>64933</v>
      </c>
      <c r="AA258" s="193">
        <v>0</v>
      </c>
      <c r="AB258" s="193">
        <v>60258</v>
      </c>
      <c r="AC258" s="193">
        <v>4675</v>
      </c>
      <c r="AD258" s="196"/>
      <c r="AE258" s="196"/>
      <c r="AF258" s="196"/>
    </row>
    <row r="259" spans="1:32" s="11" customFormat="1" ht="61.5" customHeight="1" outlineLevel="1" x14ac:dyDescent="0.2">
      <c r="A259" s="190" t="s">
        <v>1483</v>
      </c>
      <c r="B259" s="206" t="s">
        <v>1448</v>
      </c>
      <c r="C259" s="331">
        <f t="shared" si="108"/>
        <v>0.317</v>
      </c>
      <c r="D259" s="207">
        <f t="shared" si="109"/>
        <v>15981</v>
      </c>
      <c r="E259" s="170">
        <v>0</v>
      </c>
      <c r="F259" s="204">
        <f t="shared" si="116"/>
        <v>0</v>
      </c>
      <c r="G259" s="204">
        <v>0</v>
      </c>
      <c r="H259" s="171">
        <v>0</v>
      </c>
      <c r="I259" s="204">
        <v>0</v>
      </c>
      <c r="J259" s="106">
        <v>0</v>
      </c>
      <c r="K259" s="204">
        <f t="shared" si="117"/>
        <v>0</v>
      </c>
      <c r="L259" s="204">
        <v>0</v>
      </c>
      <c r="M259" s="171">
        <v>0</v>
      </c>
      <c r="N259" s="204">
        <v>0</v>
      </c>
      <c r="O259" s="216">
        <v>0</v>
      </c>
      <c r="P259" s="204">
        <f t="shared" si="118"/>
        <v>0</v>
      </c>
      <c r="Q259" s="204">
        <v>0</v>
      </c>
      <c r="R259" s="171">
        <v>0</v>
      </c>
      <c r="S259" s="204">
        <v>0</v>
      </c>
      <c r="T259" s="216">
        <v>0</v>
      </c>
      <c r="U259" s="204">
        <f t="shared" si="113"/>
        <v>0</v>
      </c>
      <c r="V259" s="204">
        <v>0</v>
      </c>
      <c r="W259" s="171">
        <v>0</v>
      </c>
      <c r="X259" s="204">
        <v>0</v>
      </c>
      <c r="Y259" s="192">
        <v>0.317</v>
      </c>
      <c r="Z259" s="193">
        <f t="shared" si="119"/>
        <v>15981</v>
      </c>
      <c r="AA259" s="193">
        <v>0</v>
      </c>
      <c r="AB259" s="193">
        <v>14830</v>
      </c>
      <c r="AC259" s="193">
        <v>1151</v>
      </c>
      <c r="AD259" s="196"/>
      <c r="AE259" s="196"/>
      <c r="AF259" s="196"/>
    </row>
    <row r="260" spans="1:32" s="11" customFormat="1" ht="38.25" customHeight="1" outlineLevel="1" x14ac:dyDescent="0.2">
      <c r="A260" s="190" t="s">
        <v>1496</v>
      </c>
      <c r="B260" s="206" t="s">
        <v>1449</v>
      </c>
      <c r="C260" s="331">
        <f t="shared" si="108"/>
        <v>2.38</v>
      </c>
      <c r="D260" s="207">
        <f t="shared" si="109"/>
        <v>215928</v>
      </c>
      <c r="E260" s="170">
        <v>0</v>
      </c>
      <c r="F260" s="204">
        <f t="shared" si="116"/>
        <v>0</v>
      </c>
      <c r="G260" s="204">
        <v>0</v>
      </c>
      <c r="H260" s="171">
        <v>0</v>
      </c>
      <c r="I260" s="204">
        <v>0</v>
      </c>
      <c r="J260" s="106">
        <v>0</v>
      </c>
      <c r="K260" s="204">
        <f t="shared" si="117"/>
        <v>0</v>
      </c>
      <c r="L260" s="204">
        <v>0</v>
      </c>
      <c r="M260" s="171">
        <v>0</v>
      </c>
      <c r="N260" s="204">
        <v>0</v>
      </c>
      <c r="O260" s="216">
        <v>0</v>
      </c>
      <c r="P260" s="204">
        <f t="shared" si="118"/>
        <v>0</v>
      </c>
      <c r="Q260" s="204">
        <v>0</v>
      </c>
      <c r="R260" s="171">
        <v>0</v>
      </c>
      <c r="S260" s="204">
        <v>0</v>
      </c>
      <c r="T260" s="216">
        <v>0</v>
      </c>
      <c r="U260" s="204">
        <f t="shared" si="113"/>
        <v>0</v>
      </c>
      <c r="V260" s="204">
        <v>0</v>
      </c>
      <c r="W260" s="171">
        <v>0</v>
      </c>
      <c r="X260" s="204">
        <v>0</v>
      </c>
      <c r="Y260" s="192">
        <v>2.38</v>
      </c>
      <c r="Z260" s="193">
        <f t="shared" si="119"/>
        <v>215928</v>
      </c>
      <c r="AA260" s="193">
        <v>0</v>
      </c>
      <c r="AB260" s="193">
        <v>200381</v>
      </c>
      <c r="AC260" s="193">
        <v>15547</v>
      </c>
      <c r="AD260" s="196"/>
      <c r="AE260" s="196"/>
      <c r="AF260" s="196"/>
    </row>
    <row r="261" spans="1:32" s="11" customFormat="1" ht="18.75" customHeight="1" outlineLevel="1" x14ac:dyDescent="0.2">
      <c r="A261" s="190"/>
      <c r="B261" s="206" t="s">
        <v>207</v>
      </c>
      <c r="C261" s="331">
        <f t="shared" si="108"/>
        <v>0</v>
      </c>
      <c r="D261" s="207">
        <f>F261+K261+P261+U261+Z261</f>
        <v>4724</v>
      </c>
      <c r="E261" s="170">
        <v>0</v>
      </c>
      <c r="F261" s="204">
        <f>H261+I261</f>
        <v>0</v>
      </c>
      <c r="G261" s="204">
        <v>0</v>
      </c>
      <c r="H261" s="171">
        <v>0</v>
      </c>
      <c r="I261" s="171">
        <v>0</v>
      </c>
      <c r="J261" s="331">
        <v>0</v>
      </c>
      <c r="K261" s="193">
        <f t="shared" si="95"/>
        <v>99</v>
      </c>
      <c r="L261" s="193">
        <v>0</v>
      </c>
      <c r="M261" s="193">
        <v>0</v>
      </c>
      <c r="N261" s="193">
        <v>99</v>
      </c>
      <c r="O261" s="192">
        <v>0</v>
      </c>
      <c r="P261" s="193">
        <f t="shared" si="112"/>
        <v>2945</v>
      </c>
      <c r="Q261" s="193">
        <v>0</v>
      </c>
      <c r="R261" s="193">
        <f>2774</f>
        <v>2774</v>
      </c>
      <c r="S261" s="193">
        <f>171</f>
        <v>171</v>
      </c>
      <c r="T261" s="192">
        <v>0</v>
      </c>
      <c r="U261" s="193">
        <f t="shared" si="113"/>
        <v>11</v>
      </c>
      <c r="V261" s="193">
        <v>0</v>
      </c>
      <c r="W261" s="193">
        <v>10</v>
      </c>
      <c r="X261" s="193">
        <v>1</v>
      </c>
      <c r="Y261" s="192">
        <v>0</v>
      </c>
      <c r="Z261" s="193">
        <f t="shared" si="114"/>
        <v>1669</v>
      </c>
      <c r="AA261" s="193">
        <v>0</v>
      </c>
      <c r="AB261" s="193">
        <v>1549</v>
      </c>
      <c r="AC261" s="193">
        <v>120</v>
      </c>
      <c r="AD261" s="196"/>
      <c r="AE261" s="196"/>
      <c r="AF261" s="196"/>
    </row>
    <row r="262" spans="1:32" s="13" customFormat="1" ht="42" customHeight="1" x14ac:dyDescent="0.2">
      <c r="A262" s="190"/>
      <c r="B262" s="201" t="s">
        <v>487</v>
      </c>
      <c r="C262" s="335">
        <f t="shared" ref="C262:AC262" si="120">SUM(C99:C261)</f>
        <v>1206.7520000000004</v>
      </c>
      <c r="D262" s="203">
        <f t="shared" si="120"/>
        <v>5996302.5</v>
      </c>
      <c r="E262" s="335">
        <f t="shared" si="120"/>
        <v>297.87999999999994</v>
      </c>
      <c r="F262" s="203">
        <f t="shared" si="120"/>
        <v>787419</v>
      </c>
      <c r="G262" s="203">
        <f t="shared" si="120"/>
        <v>0</v>
      </c>
      <c r="H262" s="203">
        <f t="shared" si="120"/>
        <v>745331</v>
      </c>
      <c r="I262" s="203">
        <f t="shared" si="120"/>
        <v>42088</v>
      </c>
      <c r="J262" s="335">
        <f t="shared" si="120"/>
        <v>355.79</v>
      </c>
      <c r="K262" s="203">
        <f t="shared" si="120"/>
        <v>934352</v>
      </c>
      <c r="L262" s="203">
        <f t="shared" si="120"/>
        <v>0</v>
      </c>
      <c r="M262" s="203">
        <f t="shared" si="120"/>
        <v>876202</v>
      </c>
      <c r="N262" s="203">
        <f t="shared" si="120"/>
        <v>58150</v>
      </c>
      <c r="O262" s="335">
        <f t="shared" si="120"/>
        <v>361.57</v>
      </c>
      <c r="P262" s="203">
        <f t="shared" si="120"/>
        <v>1216402</v>
      </c>
      <c r="Q262" s="203">
        <f t="shared" si="120"/>
        <v>0</v>
      </c>
      <c r="R262" s="203">
        <f t="shared" si="120"/>
        <v>1032121</v>
      </c>
      <c r="S262" s="203">
        <f t="shared" si="120"/>
        <v>184281</v>
      </c>
      <c r="T262" s="335">
        <f t="shared" si="120"/>
        <v>170.79000000000002</v>
      </c>
      <c r="U262" s="203">
        <f t="shared" si="120"/>
        <v>1427661.5</v>
      </c>
      <c r="V262" s="203">
        <f t="shared" si="120"/>
        <v>0</v>
      </c>
      <c r="W262" s="203">
        <f t="shared" si="120"/>
        <v>1279600</v>
      </c>
      <c r="X262" s="203">
        <f t="shared" si="120"/>
        <v>148061.5</v>
      </c>
      <c r="Y262" s="335">
        <f t="shared" si="120"/>
        <v>20.721999999999998</v>
      </c>
      <c r="Z262" s="203">
        <f t="shared" si="120"/>
        <v>1630468</v>
      </c>
      <c r="AA262" s="217">
        <f t="shared" si="120"/>
        <v>0</v>
      </c>
      <c r="AB262" s="203">
        <f t="shared" si="120"/>
        <v>1404128</v>
      </c>
      <c r="AC262" s="203">
        <f t="shared" si="120"/>
        <v>226340</v>
      </c>
      <c r="AD262" s="210"/>
      <c r="AE262" s="221"/>
      <c r="AF262" s="221"/>
    </row>
    <row r="263" spans="1:32" s="14" customFormat="1" ht="27" customHeight="1" x14ac:dyDescent="0.2">
      <c r="A263" s="218" t="s">
        <v>437</v>
      </c>
      <c r="B263" s="425" t="s">
        <v>280</v>
      </c>
      <c r="C263" s="426"/>
      <c r="D263" s="426"/>
      <c r="E263" s="426"/>
      <c r="F263" s="426"/>
      <c r="G263" s="426"/>
      <c r="H263" s="426"/>
      <c r="I263" s="426"/>
      <c r="J263" s="426"/>
      <c r="K263" s="426"/>
      <c r="L263" s="426"/>
      <c r="M263" s="426"/>
      <c r="N263" s="426"/>
      <c r="O263" s="426"/>
      <c r="P263" s="426"/>
      <c r="Q263" s="426"/>
      <c r="R263" s="426"/>
      <c r="S263" s="426"/>
      <c r="T263" s="426"/>
      <c r="U263" s="426"/>
      <c r="V263" s="426"/>
      <c r="W263" s="426"/>
      <c r="X263" s="426"/>
      <c r="Y263" s="426"/>
      <c r="Z263" s="426"/>
      <c r="AA263" s="426"/>
      <c r="AB263" s="426"/>
      <c r="AC263" s="427"/>
      <c r="AD263" s="219"/>
      <c r="AE263" s="219"/>
      <c r="AF263" s="219"/>
    </row>
    <row r="264" spans="1:32" s="13" customFormat="1" ht="78" customHeight="1" outlineLevel="1" x14ac:dyDescent="0.2">
      <c r="A264" s="208" t="s">
        <v>1286</v>
      </c>
      <c r="B264" s="220" t="s">
        <v>17</v>
      </c>
      <c r="C264" s="192">
        <f>E264+J264+O264+T264+Y264</f>
        <v>191.94000000000003</v>
      </c>
      <c r="D264" s="193">
        <f>F264+K264+P264+U264+Z264</f>
        <v>425865</v>
      </c>
      <c r="E264" s="192">
        <v>85.67</v>
      </c>
      <c r="F264" s="204">
        <f>G264+H264+I264</f>
        <v>142702</v>
      </c>
      <c r="G264" s="193">
        <v>0</v>
      </c>
      <c r="H264" s="193">
        <f>135000</f>
        <v>135000</v>
      </c>
      <c r="I264" s="193">
        <v>7702</v>
      </c>
      <c r="J264" s="192">
        <v>87.87</v>
      </c>
      <c r="K264" s="204">
        <f>SUM(L264:N264)</f>
        <v>132502</v>
      </c>
      <c r="L264" s="193">
        <v>0</v>
      </c>
      <c r="M264" s="193">
        <v>0</v>
      </c>
      <c r="N264" s="193">
        <f>132751-249</f>
        <v>132502</v>
      </c>
      <c r="O264" s="192">
        <f>5.8+18.4-5.8</f>
        <v>18.399999999999999</v>
      </c>
      <c r="P264" s="193">
        <f>Q264+R264+S264</f>
        <v>39988</v>
      </c>
      <c r="Q264" s="193">
        <v>0</v>
      </c>
      <c r="R264" s="193">
        <v>0</v>
      </c>
      <c r="S264" s="193">
        <f>47696-7696-12</f>
        <v>39988</v>
      </c>
      <c r="T264" s="192">
        <f>5.8-5.8</f>
        <v>0</v>
      </c>
      <c r="U264" s="193">
        <f>V264+W264+X264</f>
        <v>110673</v>
      </c>
      <c r="V264" s="193">
        <v>0</v>
      </c>
      <c r="W264" s="193">
        <v>0</v>
      </c>
      <c r="X264" s="193">
        <f>62015+43535+6000-877</f>
        <v>110673</v>
      </c>
      <c r="Y264" s="192">
        <f>5.8-5.8</f>
        <v>0</v>
      </c>
      <c r="Z264" s="193">
        <f>AA264+AB264+AC264</f>
        <v>0</v>
      </c>
      <c r="AA264" s="193">
        <v>0</v>
      </c>
      <c r="AB264" s="193">
        <v>0</v>
      </c>
      <c r="AC264" s="193">
        <f>55345-55345</f>
        <v>0</v>
      </c>
      <c r="AD264" s="221"/>
      <c r="AE264" s="210"/>
      <c r="AF264" s="221"/>
    </row>
    <row r="265" spans="1:32" s="7" customFormat="1" ht="150.75" customHeight="1" outlineLevel="1" x14ac:dyDescent="0.2">
      <c r="A265" s="208" t="s">
        <v>1287</v>
      </c>
      <c r="B265" s="220" t="s">
        <v>553</v>
      </c>
      <c r="C265" s="192">
        <v>0</v>
      </c>
      <c r="D265" s="193">
        <f>F265+K265+P265+U265+Z265</f>
        <v>654</v>
      </c>
      <c r="E265" s="192">
        <v>0</v>
      </c>
      <c r="F265" s="204">
        <v>0</v>
      </c>
      <c r="G265" s="193">
        <v>0</v>
      </c>
      <c r="H265" s="193">
        <v>0</v>
      </c>
      <c r="I265" s="193">
        <v>0</v>
      </c>
      <c r="J265" s="192">
        <v>0</v>
      </c>
      <c r="K265" s="204">
        <f>SUM(L265:N265)</f>
        <v>0</v>
      </c>
      <c r="L265" s="193">
        <v>0</v>
      </c>
      <c r="M265" s="193">
        <v>0</v>
      </c>
      <c r="N265" s="193">
        <v>0</v>
      </c>
      <c r="O265" s="192">
        <v>0</v>
      </c>
      <c r="P265" s="193">
        <f>Q265+R265+S265</f>
        <v>149</v>
      </c>
      <c r="Q265" s="193">
        <v>0</v>
      </c>
      <c r="R265" s="193">
        <v>0</v>
      </c>
      <c r="S265" s="193">
        <f>699-550</f>
        <v>149</v>
      </c>
      <c r="T265" s="192">
        <v>0</v>
      </c>
      <c r="U265" s="193">
        <f>V265+W265+X265</f>
        <v>505</v>
      </c>
      <c r="V265" s="193">
        <v>0</v>
      </c>
      <c r="W265" s="193">
        <v>0</v>
      </c>
      <c r="X265" s="193">
        <f>573-68</f>
        <v>505</v>
      </c>
      <c r="Y265" s="192">
        <v>0</v>
      </c>
      <c r="Z265" s="193">
        <f>AA265+AB265+AC265</f>
        <v>0</v>
      </c>
      <c r="AA265" s="193">
        <v>0</v>
      </c>
      <c r="AB265" s="193">
        <v>0</v>
      </c>
      <c r="AC265" s="193">
        <v>0</v>
      </c>
      <c r="AD265" s="160"/>
      <c r="AE265" s="160"/>
      <c r="AF265" s="160"/>
    </row>
    <row r="266" spans="1:32" s="13" customFormat="1" ht="53.25" customHeight="1" x14ac:dyDescent="0.2">
      <c r="A266" s="208"/>
      <c r="B266" s="222" t="s">
        <v>488</v>
      </c>
      <c r="C266" s="202">
        <f>C264+C265</f>
        <v>191.94000000000003</v>
      </c>
      <c r="D266" s="167">
        <f>D264+D265</f>
        <v>426519</v>
      </c>
      <c r="E266" s="202">
        <f t="shared" ref="E266:J266" si="121">E264+E265</f>
        <v>85.67</v>
      </c>
      <c r="F266" s="203">
        <f>F264+F265</f>
        <v>142702</v>
      </c>
      <c r="G266" s="203">
        <f t="shared" si="121"/>
        <v>0</v>
      </c>
      <c r="H266" s="203">
        <f t="shared" si="121"/>
        <v>135000</v>
      </c>
      <c r="I266" s="203">
        <f t="shared" si="121"/>
        <v>7702</v>
      </c>
      <c r="J266" s="202">
        <f t="shared" si="121"/>
        <v>87.87</v>
      </c>
      <c r="K266" s="203">
        <f>K264+K265</f>
        <v>132502</v>
      </c>
      <c r="L266" s="203">
        <f t="shared" ref="L266:AC266" si="122">L264+L265</f>
        <v>0</v>
      </c>
      <c r="M266" s="203">
        <f t="shared" si="122"/>
        <v>0</v>
      </c>
      <c r="N266" s="203">
        <f t="shared" si="122"/>
        <v>132502</v>
      </c>
      <c r="O266" s="202">
        <f t="shared" si="122"/>
        <v>18.399999999999999</v>
      </c>
      <c r="P266" s="203">
        <f>P264+P265</f>
        <v>40137</v>
      </c>
      <c r="Q266" s="203">
        <f t="shared" si="122"/>
        <v>0</v>
      </c>
      <c r="R266" s="203">
        <f t="shared" si="122"/>
        <v>0</v>
      </c>
      <c r="S266" s="203">
        <f t="shared" si="122"/>
        <v>40137</v>
      </c>
      <c r="T266" s="202">
        <f t="shared" si="122"/>
        <v>0</v>
      </c>
      <c r="U266" s="203">
        <f>U264+U265</f>
        <v>111178</v>
      </c>
      <c r="V266" s="203">
        <f t="shared" si="122"/>
        <v>0</v>
      </c>
      <c r="W266" s="203">
        <f t="shared" si="122"/>
        <v>0</v>
      </c>
      <c r="X266" s="203">
        <f t="shared" si="122"/>
        <v>111178</v>
      </c>
      <c r="Y266" s="202">
        <f t="shared" si="122"/>
        <v>0</v>
      </c>
      <c r="Z266" s="203">
        <f t="shared" si="122"/>
        <v>0</v>
      </c>
      <c r="AA266" s="203">
        <f t="shared" si="122"/>
        <v>0</v>
      </c>
      <c r="AB266" s="203">
        <f t="shared" si="122"/>
        <v>0</v>
      </c>
      <c r="AC266" s="203">
        <f t="shared" si="122"/>
        <v>0</v>
      </c>
      <c r="AD266" s="210"/>
      <c r="AE266" s="221"/>
      <c r="AF266" s="221"/>
    </row>
    <row r="267" spans="1:32" s="13" customFormat="1" ht="31.5" customHeight="1" x14ac:dyDescent="0.2">
      <c r="A267" s="223" t="s">
        <v>438</v>
      </c>
      <c r="B267" s="419" t="s">
        <v>157</v>
      </c>
      <c r="C267" s="420"/>
      <c r="D267" s="420"/>
      <c r="E267" s="420"/>
      <c r="F267" s="420"/>
      <c r="G267" s="420"/>
      <c r="H267" s="420"/>
      <c r="I267" s="420"/>
      <c r="J267" s="420"/>
      <c r="K267" s="420"/>
      <c r="L267" s="420"/>
      <c r="M267" s="420"/>
      <c r="N267" s="420"/>
      <c r="O267" s="420"/>
      <c r="P267" s="420"/>
      <c r="Q267" s="420"/>
      <c r="R267" s="420"/>
      <c r="S267" s="420"/>
      <c r="T267" s="420"/>
      <c r="U267" s="420"/>
      <c r="V267" s="420"/>
      <c r="W267" s="420"/>
      <c r="X267" s="420"/>
      <c r="Y267" s="420"/>
      <c r="Z267" s="420"/>
      <c r="AA267" s="420"/>
      <c r="AB267" s="420"/>
      <c r="AC267" s="421"/>
      <c r="AD267" s="210"/>
      <c r="AE267" s="221"/>
      <c r="AF267" s="221"/>
    </row>
    <row r="268" spans="1:32" s="13" customFormat="1" ht="25.15" customHeight="1" x14ac:dyDescent="0.2">
      <c r="A268" s="224"/>
      <c r="B268" s="225" t="s">
        <v>75</v>
      </c>
      <c r="C268" s="226"/>
      <c r="D268" s="227"/>
      <c r="E268" s="202"/>
      <c r="F268" s="217"/>
      <c r="G268" s="217"/>
      <c r="H268" s="217"/>
      <c r="I268" s="217"/>
      <c r="J268" s="202"/>
      <c r="K268" s="335"/>
      <c r="L268" s="217"/>
      <c r="M268" s="217"/>
      <c r="N268" s="217"/>
      <c r="O268" s="202"/>
      <c r="P268" s="228"/>
      <c r="Q268" s="217"/>
      <c r="R268" s="217"/>
      <c r="S268" s="226"/>
      <c r="T268" s="202"/>
      <c r="U268" s="229"/>
      <c r="V268" s="217"/>
      <c r="W268" s="217"/>
      <c r="X268" s="217"/>
      <c r="Y268" s="202"/>
      <c r="Z268" s="230"/>
      <c r="AA268" s="230"/>
      <c r="AB268" s="230"/>
      <c r="AC268" s="230"/>
      <c r="AD268" s="210"/>
      <c r="AE268" s="221"/>
      <c r="AF268" s="221"/>
    </row>
    <row r="269" spans="1:32" s="13" customFormat="1" ht="31.15" customHeight="1" x14ac:dyDescent="0.2">
      <c r="A269" s="231" t="s">
        <v>1288</v>
      </c>
      <c r="B269" s="225" t="s">
        <v>79</v>
      </c>
      <c r="C269" s="334">
        <f t="shared" ref="C269:D271" si="123">E269+J269+O269+T269+Y269</f>
        <v>0</v>
      </c>
      <c r="D269" s="232">
        <f t="shared" si="123"/>
        <v>0</v>
      </c>
      <c r="E269" s="334">
        <v>0</v>
      </c>
      <c r="F269" s="233">
        <f>SUM(G269:I269)</f>
        <v>0</v>
      </c>
      <c r="G269" s="234">
        <v>0</v>
      </c>
      <c r="H269" s="234">
        <v>0</v>
      </c>
      <c r="I269" s="234">
        <v>0</v>
      </c>
      <c r="J269" s="334">
        <v>0</v>
      </c>
      <c r="K269" s="233">
        <f>SUM(L269:N269)</f>
        <v>0</v>
      </c>
      <c r="L269" s="234">
        <v>0</v>
      </c>
      <c r="M269" s="234">
        <v>0</v>
      </c>
      <c r="N269" s="234">
        <v>0</v>
      </c>
      <c r="O269" s="334">
        <v>0</v>
      </c>
      <c r="P269" s="232">
        <f>Q269+R269+S269</f>
        <v>0</v>
      </c>
      <c r="Q269" s="232">
        <v>0</v>
      </c>
      <c r="R269" s="232">
        <v>0</v>
      </c>
      <c r="S269" s="234">
        <v>0</v>
      </c>
      <c r="T269" s="334">
        <v>0</v>
      </c>
      <c r="U269" s="232">
        <f>V269+W269+X269</f>
        <v>0</v>
      </c>
      <c r="V269" s="234">
        <v>0</v>
      </c>
      <c r="W269" s="234">
        <v>0</v>
      </c>
      <c r="X269" s="234">
        <v>0</v>
      </c>
      <c r="Y269" s="334">
        <v>0</v>
      </c>
      <c r="Z269" s="233">
        <f>AA269+AB269+AC269</f>
        <v>0</v>
      </c>
      <c r="AA269" s="234">
        <v>0</v>
      </c>
      <c r="AB269" s="234">
        <v>0</v>
      </c>
      <c r="AC269" s="234">
        <v>0</v>
      </c>
      <c r="AD269" s="210"/>
      <c r="AE269" s="221"/>
      <c r="AF269" s="221"/>
    </row>
    <row r="270" spans="1:32" s="13" customFormat="1" ht="27" customHeight="1" outlineLevel="1" x14ac:dyDescent="0.2">
      <c r="A270" s="235" t="s">
        <v>1289</v>
      </c>
      <c r="B270" s="236" t="s">
        <v>86</v>
      </c>
      <c r="C270" s="334">
        <f t="shared" si="123"/>
        <v>10</v>
      </c>
      <c r="D270" s="232">
        <f t="shared" si="123"/>
        <v>3520</v>
      </c>
      <c r="E270" s="235">
        <v>0</v>
      </c>
      <c r="F270" s="233">
        <f>SUM(G270:I270)</f>
        <v>0</v>
      </c>
      <c r="G270" s="233">
        <v>0</v>
      </c>
      <c r="H270" s="233">
        <v>0</v>
      </c>
      <c r="I270" s="233">
        <v>0</v>
      </c>
      <c r="J270" s="235">
        <v>0</v>
      </c>
      <c r="K270" s="233">
        <f>SUM(L270:N270)</f>
        <v>0</v>
      </c>
      <c r="L270" s="233">
        <v>0</v>
      </c>
      <c r="M270" s="233">
        <v>0</v>
      </c>
      <c r="N270" s="233">
        <v>0</v>
      </c>
      <c r="O270" s="235">
        <v>0</v>
      </c>
      <c r="P270" s="232">
        <f>Q270+R270+S270</f>
        <v>0</v>
      </c>
      <c r="Q270" s="233">
        <v>0</v>
      </c>
      <c r="R270" s="233">
        <v>0</v>
      </c>
      <c r="S270" s="233">
        <v>0</v>
      </c>
      <c r="T270" s="235">
        <v>0</v>
      </c>
      <c r="U270" s="232">
        <f>V270+W270+X270</f>
        <v>0</v>
      </c>
      <c r="V270" s="233">
        <v>0</v>
      </c>
      <c r="W270" s="233">
        <v>0</v>
      </c>
      <c r="X270" s="233">
        <v>0</v>
      </c>
      <c r="Y270" s="235">
        <v>10</v>
      </c>
      <c r="Z270" s="233">
        <f>AA270+AB270+AC270</f>
        <v>3520</v>
      </c>
      <c r="AA270" s="233">
        <v>0</v>
      </c>
      <c r="AB270" s="233">
        <v>0</v>
      </c>
      <c r="AC270" s="529">
        <f>AC271</f>
        <v>3520</v>
      </c>
      <c r="AD270" s="210"/>
      <c r="AE270" s="221"/>
      <c r="AF270" s="221"/>
    </row>
    <row r="271" spans="1:32" s="13" customFormat="1" ht="27" customHeight="1" outlineLevel="1" x14ac:dyDescent="0.2">
      <c r="A271" s="208" t="s">
        <v>1383</v>
      </c>
      <c r="B271" s="104" t="s">
        <v>1384</v>
      </c>
      <c r="C271" s="334">
        <f t="shared" si="123"/>
        <v>10</v>
      </c>
      <c r="D271" s="232">
        <f t="shared" si="123"/>
        <v>3520</v>
      </c>
      <c r="E271" s="208">
        <v>0</v>
      </c>
      <c r="F271" s="242">
        <v>0</v>
      </c>
      <c r="G271" s="242">
        <v>0</v>
      </c>
      <c r="H271" s="242">
        <v>0</v>
      </c>
      <c r="I271" s="242">
        <v>0</v>
      </c>
      <c r="J271" s="208">
        <v>0</v>
      </c>
      <c r="K271" s="242">
        <v>0</v>
      </c>
      <c r="L271" s="242">
        <v>0</v>
      </c>
      <c r="M271" s="242">
        <v>0</v>
      </c>
      <c r="N271" s="242">
        <v>0</v>
      </c>
      <c r="O271" s="208">
        <v>0</v>
      </c>
      <c r="P271" s="237">
        <v>0</v>
      </c>
      <c r="Q271" s="242">
        <v>0</v>
      </c>
      <c r="R271" s="242">
        <v>0</v>
      </c>
      <c r="S271" s="242">
        <v>0</v>
      </c>
      <c r="T271" s="208">
        <v>0</v>
      </c>
      <c r="U271" s="237">
        <v>0</v>
      </c>
      <c r="V271" s="242">
        <v>0</v>
      </c>
      <c r="W271" s="242">
        <v>0</v>
      </c>
      <c r="X271" s="242">
        <v>0</v>
      </c>
      <c r="Y271" s="208">
        <v>10</v>
      </c>
      <c r="Z271" s="233">
        <f>AA271+AB271+AC271</f>
        <v>3520</v>
      </c>
      <c r="AA271" s="242">
        <v>0</v>
      </c>
      <c r="AB271" s="242">
        <v>0</v>
      </c>
      <c r="AC271" s="530">
        <v>3520</v>
      </c>
      <c r="AD271" s="210"/>
      <c r="AE271" s="221"/>
      <c r="AF271" s="221"/>
    </row>
    <row r="272" spans="1:32" s="13" customFormat="1" ht="32.450000000000003" customHeight="1" outlineLevel="1" x14ac:dyDescent="0.2">
      <c r="A272" s="231" t="s">
        <v>1290</v>
      </c>
      <c r="B272" s="236" t="s">
        <v>80</v>
      </c>
      <c r="C272" s="235">
        <f>SUM(C273:C278)</f>
        <v>23.36</v>
      </c>
      <c r="D272" s="233">
        <f>SUM(D273:D279)</f>
        <v>4672</v>
      </c>
      <c r="E272" s="235">
        <f t="shared" ref="E272:N272" si="124">SUM(E273:E278)</f>
        <v>13.8</v>
      </c>
      <c r="F272" s="233">
        <f t="shared" si="124"/>
        <v>2746</v>
      </c>
      <c r="G272" s="233">
        <f t="shared" si="124"/>
        <v>0</v>
      </c>
      <c r="H272" s="233">
        <f t="shared" si="124"/>
        <v>0</v>
      </c>
      <c r="I272" s="233">
        <f t="shared" si="124"/>
        <v>2746</v>
      </c>
      <c r="J272" s="235">
        <f t="shared" si="124"/>
        <v>0</v>
      </c>
      <c r="K272" s="233">
        <f t="shared" si="124"/>
        <v>0</v>
      </c>
      <c r="L272" s="233">
        <f t="shared" si="124"/>
        <v>0</v>
      </c>
      <c r="M272" s="233">
        <f t="shared" si="124"/>
        <v>0</v>
      </c>
      <c r="N272" s="233">
        <f t="shared" si="124"/>
        <v>0</v>
      </c>
      <c r="O272" s="235">
        <f>SUM(O273:O279)</f>
        <v>6.98</v>
      </c>
      <c r="P272" s="233">
        <f>SUM(P273:P279)</f>
        <v>1210</v>
      </c>
      <c r="Q272" s="233">
        <f>SUM(Q273:Q279)</f>
        <v>0</v>
      </c>
      <c r="R272" s="233">
        <f>SUM(R273:R279)</f>
        <v>0</v>
      </c>
      <c r="S272" s="233">
        <f>SUM(S273:S279)</f>
        <v>1210</v>
      </c>
      <c r="T272" s="235">
        <f t="shared" ref="T272:Y272" si="125">SUM(T273:T278)</f>
        <v>4</v>
      </c>
      <c r="U272" s="233">
        <f t="shared" si="125"/>
        <v>716</v>
      </c>
      <c r="V272" s="233">
        <f t="shared" si="125"/>
        <v>0</v>
      </c>
      <c r="W272" s="233">
        <f t="shared" si="125"/>
        <v>0</v>
      </c>
      <c r="X272" s="233">
        <f t="shared" si="125"/>
        <v>716</v>
      </c>
      <c r="Y272" s="235">
        <f t="shared" si="125"/>
        <v>0</v>
      </c>
      <c r="Z272" s="233">
        <f>SUM(Z273:Z278)</f>
        <v>0</v>
      </c>
      <c r="AA272" s="233">
        <f>SUM(AA273:AA278)</f>
        <v>0</v>
      </c>
      <c r="AB272" s="233">
        <f>SUM(AB273:AB278)</f>
        <v>0</v>
      </c>
      <c r="AC272" s="233">
        <f>SUM(AC273:AC278)</f>
        <v>0</v>
      </c>
      <c r="AD272" s="210"/>
      <c r="AE272" s="221"/>
      <c r="AF272" s="221"/>
    </row>
    <row r="273" spans="1:32" s="13" customFormat="1" ht="42.75" customHeight="1" outlineLevel="1" x14ac:dyDescent="0.2">
      <c r="A273" s="224" t="s">
        <v>1291</v>
      </c>
      <c r="B273" s="104" t="s">
        <v>283</v>
      </c>
      <c r="C273" s="331">
        <f>E273+J273+P273+T273+Y273</f>
        <v>7.25</v>
      </c>
      <c r="D273" s="193">
        <f>F273+K273+P273+Z273+U273</f>
        <v>831</v>
      </c>
      <c r="E273" s="192">
        <v>7.25</v>
      </c>
      <c r="F273" s="204">
        <f t="shared" ref="F273" si="126">G273+H273+I273</f>
        <v>831</v>
      </c>
      <c r="G273" s="204">
        <v>0</v>
      </c>
      <c r="H273" s="204">
        <v>0</v>
      </c>
      <c r="I273" s="204">
        <v>831</v>
      </c>
      <c r="J273" s="192">
        <f t="shared" ref="J273:K275" si="127">K273+L273+M273</f>
        <v>0</v>
      </c>
      <c r="K273" s="204">
        <f t="shared" si="127"/>
        <v>0</v>
      </c>
      <c r="L273" s="204">
        <v>0</v>
      </c>
      <c r="M273" s="204">
        <v>0</v>
      </c>
      <c r="N273" s="204">
        <v>0</v>
      </c>
      <c r="O273" s="160">
        <v>0</v>
      </c>
      <c r="P273" s="237">
        <v>0</v>
      </c>
      <c r="Q273" s="204">
        <v>0</v>
      </c>
      <c r="R273" s="204">
        <v>0</v>
      </c>
      <c r="S273" s="204">
        <v>0</v>
      </c>
      <c r="T273" s="192">
        <v>0</v>
      </c>
      <c r="U273" s="204">
        <f>V273+W273+X273</f>
        <v>0</v>
      </c>
      <c r="V273" s="204">
        <v>0</v>
      </c>
      <c r="W273" s="204">
        <v>0</v>
      </c>
      <c r="X273" s="204">
        <v>0</v>
      </c>
      <c r="Y273" s="192">
        <v>0</v>
      </c>
      <c r="Z273" s="204">
        <f>AA273+AB273+AC273</f>
        <v>0</v>
      </c>
      <c r="AA273" s="204">
        <v>0</v>
      </c>
      <c r="AB273" s="204">
        <v>0</v>
      </c>
      <c r="AC273" s="204">
        <v>0</v>
      </c>
      <c r="AD273" s="210"/>
      <c r="AE273" s="221"/>
      <c r="AF273" s="221"/>
    </row>
    <row r="274" spans="1:32" s="13" customFormat="1" ht="31.9" customHeight="1" outlineLevel="1" x14ac:dyDescent="0.2">
      <c r="A274" s="224" t="s">
        <v>1292</v>
      </c>
      <c r="B274" s="238" t="s">
        <v>525</v>
      </c>
      <c r="C274" s="331">
        <f t="shared" ref="C274:C278" si="128">E274+J274+O274+T274+Y274</f>
        <v>4</v>
      </c>
      <c r="D274" s="193">
        <f t="shared" ref="D274:D278" si="129">F274+K274+P274+Z274+U274</f>
        <v>716</v>
      </c>
      <c r="E274" s="192">
        <v>0</v>
      </c>
      <c r="F274" s="204">
        <f t="shared" ref="F274:F278" si="130">G274+H274+I274</f>
        <v>0</v>
      </c>
      <c r="G274" s="237">
        <v>0</v>
      </c>
      <c r="H274" s="237">
        <v>0</v>
      </c>
      <c r="I274" s="237">
        <v>0</v>
      </c>
      <c r="J274" s="192">
        <v>0</v>
      </c>
      <c r="K274" s="204">
        <f t="shared" si="127"/>
        <v>0</v>
      </c>
      <c r="L274" s="237">
        <v>0</v>
      </c>
      <c r="M274" s="237">
        <v>0</v>
      </c>
      <c r="N274" s="237">
        <v>0</v>
      </c>
      <c r="O274" s="331">
        <v>0</v>
      </c>
      <c r="P274" s="237">
        <f t="shared" ref="P274:P285" si="131">Q274+R274+S274</f>
        <v>0</v>
      </c>
      <c r="Q274" s="237">
        <v>0</v>
      </c>
      <c r="R274" s="237">
        <v>0</v>
      </c>
      <c r="S274" s="333">
        <v>0</v>
      </c>
      <c r="T274" s="331">
        <v>4</v>
      </c>
      <c r="U274" s="237">
        <f>V274+W274+X274</f>
        <v>716</v>
      </c>
      <c r="V274" s="237">
        <v>0</v>
      </c>
      <c r="W274" s="237">
        <v>0</v>
      </c>
      <c r="X274" s="237">
        <f>928-212</f>
        <v>716</v>
      </c>
      <c r="Y274" s="331">
        <v>0</v>
      </c>
      <c r="Z274" s="237">
        <f t="shared" ref="Z274:Z276" si="132">AA274+AB274+AC274</f>
        <v>0</v>
      </c>
      <c r="AA274" s="237">
        <v>0</v>
      </c>
      <c r="AB274" s="237">
        <v>0</v>
      </c>
      <c r="AC274" s="333">
        <v>0</v>
      </c>
      <c r="AD274" s="210"/>
      <c r="AE274" s="221"/>
      <c r="AF274" s="221"/>
    </row>
    <row r="275" spans="1:32" s="13" customFormat="1" ht="24" customHeight="1" outlineLevel="1" x14ac:dyDescent="0.2">
      <c r="A275" s="224" t="s">
        <v>1293</v>
      </c>
      <c r="B275" s="104" t="s">
        <v>522</v>
      </c>
      <c r="C275" s="331">
        <f t="shared" si="128"/>
        <v>4.12</v>
      </c>
      <c r="D275" s="193">
        <f t="shared" si="129"/>
        <v>692</v>
      </c>
      <c r="E275" s="192">
        <v>0</v>
      </c>
      <c r="F275" s="204">
        <f t="shared" si="130"/>
        <v>0</v>
      </c>
      <c r="G275" s="237">
        <v>0</v>
      </c>
      <c r="H275" s="237">
        <v>0</v>
      </c>
      <c r="I275" s="237">
        <v>0</v>
      </c>
      <c r="J275" s="192">
        <v>0</v>
      </c>
      <c r="K275" s="204">
        <f t="shared" si="127"/>
        <v>0</v>
      </c>
      <c r="L275" s="237">
        <v>0</v>
      </c>
      <c r="M275" s="237">
        <v>0</v>
      </c>
      <c r="N275" s="237">
        <v>0</v>
      </c>
      <c r="O275" s="331">
        <v>4.12</v>
      </c>
      <c r="P275" s="237">
        <f t="shared" si="131"/>
        <v>692</v>
      </c>
      <c r="Q275" s="237">
        <v>0</v>
      </c>
      <c r="R275" s="237">
        <v>0</v>
      </c>
      <c r="S275" s="333">
        <f>885-285+92</f>
        <v>692</v>
      </c>
      <c r="T275" s="331">
        <v>0</v>
      </c>
      <c r="U275" s="237">
        <v>0</v>
      </c>
      <c r="V275" s="237">
        <v>0</v>
      </c>
      <c r="W275" s="237">
        <v>0</v>
      </c>
      <c r="X275" s="237">
        <v>0</v>
      </c>
      <c r="Y275" s="331">
        <v>0</v>
      </c>
      <c r="Z275" s="237">
        <f t="shared" si="132"/>
        <v>0</v>
      </c>
      <c r="AA275" s="237">
        <v>0</v>
      </c>
      <c r="AB275" s="237">
        <v>0</v>
      </c>
      <c r="AC275" s="333">
        <v>0</v>
      </c>
      <c r="AD275" s="210"/>
      <c r="AE275" s="221"/>
      <c r="AF275" s="221"/>
    </row>
    <row r="276" spans="1:32" s="13" customFormat="1" ht="46.9" customHeight="1" outlineLevel="1" x14ac:dyDescent="0.2">
      <c r="A276" s="224" t="s">
        <v>1294</v>
      </c>
      <c r="B276" s="104" t="s">
        <v>523</v>
      </c>
      <c r="C276" s="331">
        <f t="shared" si="128"/>
        <v>1.44</v>
      </c>
      <c r="D276" s="193">
        <f t="shared" si="129"/>
        <v>243</v>
      </c>
      <c r="E276" s="192">
        <v>0</v>
      </c>
      <c r="F276" s="204">
        <f t="shared" si="130"/>
        <v>0</v>
      </c>
      <c r="G276" s="237">
        <v>0</v>
      </c>
      <c r="H276" s="237">
        <v>0</v>
      </c>
      <c r="I276" s="237">
        <v>0</v>
      </c>
      <c r="J276" s="192">
        <v>0</v>
      </c>
      <c r="K276" s="204">
        <f t="shared" ref="K276:K278" si="133">L276+M276+N276</f>
        <v>0</v>
      </c>
      <c r="L276" s="237">
        <v>0</v>
      </c>
      <c r="M276" s="237">
        <v>0</v>
      </c>
      <c r="N276" s="237">
        <v>0</v>
      </c>
      <c r="O276" s="331">
        <v>1.44</v>
      </c>
      <c r="P276" s="237">
        <f t="shared" si="131"/>
        <v>243</v>
      </c>
      <c r="Q276" s="237">
        <v>0</v>
      </c>
      <c r="R276" s="237">
        <v>0</v>
      </c>
      <c r="S276" s="333">
        <f>303-60</f>
        <v>243</v>
      </c>
      <c r="T276" s="331">
        <v>0</v>
      </c>
      <c r="U276" s="237">
        <v>0</v>
      </c>
      <c r="V276" s="237">
        <v>0</v>
      </c>
      <c r="W276" s="237">
        <v>0</v>
      </c>
      <c r="X276" s="237">
        <v>0</v>
      </c>
      <c r="Y276" s="331">
        <v>0</v>
      </c>
      <c r="Z276" s="237">
        <f t="shared" si="132"/>
        <v>0</v>
      </c>
      <c r="AA276" s="237">
        <v>0</v>
      </c>
      <c r="AB276" s="237">
        <v>0</v>
      </c>
      <c r="AC276" s="333">
        <v>0</v>
      </c>
      <c r="AD276" s="210"/>
      <c r="AE276" s="221"/>
      <c r="AF276" s="221"/>
    </row>
    <row r="277" spans="1:32" s="13" customFormat="1" ht="39.6" customHeight="1" outlineLevel="1" x14ac:dyDescent="0.2">
      <c r="A277" s="224" t="s">
        <v>1295</v>
      </c>
      <c r="B277" s="104" t="s">
        <v>284</v>
      </c>
      <c r="C277" s="331">
        <f t="shared" si="128"/>
        <v>5.65</v>
      </c>
      <c r="D277" s="193">
        <f t="shared" si="129"/>
        <v>648</v>
      </c>
      <c r="E277" s="192">
        <v>5.65</v>
      </c>
      <c r="F277" s="204">
        <f t="shared" si="130"/>
        <v>648</v>
      </c>
      <c r="G277" s="237">
        <v>0</v>
      </c>
      <c r="H277" s="237">
        <v>0</v>
      </c>
      <c r="I277" s="237">
        <v>648</v>
      </c>
      <c r="J277" s="192">
        <v>0</v>
      </c>
      <c r="K277" s="204">
        <f t="shared" si="133"/>
        <v>0</v>
      </c>
      <c r="L277" s="237">
        <v>0</v>
      </c>
      <c r="M277" s="237">
        <v>0</v>
      </c>
      <c r="N277" s="237">
        <v>0</v>
      </c>
      <c r="O277" s="331">
        <v>0</v>
      </c>
      <c r="P277" s="237">
        <f>Q277+R277+S277</f>
        <v>0</v>
      </c>
      <c r="Q277" s="237">
        <v>0</v>
      </c>
      <c r="R277" s="237">
        <v>0</v>
      </c>
      <c r="S277" s="333">
        <v>0</v>
      </c>
      <c r="T277" s="331">
        <v>0</v>
      </c>
      <c r="U277" s="237">
        <v>0</v>
      </c>
      <c r="V277" s="237">
        <v>0</v>
      </c>
      <c r="W277" s="237">
        <v>0</v>
      </c>
      <c r="X277" s="237">
        <v>0</v>
      </c>
      <c r="Y277" s="331">
        <v>0</v>
      </c>
      <c r="Z277" s="237">
        <f>AA277+AB277+AC277</f>
        <v>0</v>
      </c>
      <c r="AA277" s="237">
        <v>0</v>
      </c>
      <c r="AB277" s="237">
        <v>0</v>
      </c>
      <c r="AC277" s="333">
        <v>0</v>
      </c>
      <c r="AD277" s="210"/>
      <c r="AE277" s="221"/>
      <c r="AF277" s="221"/>
    </row>
    <row r="278" spans="1:32" s="13" customFormat="1" ht="39.6" customHeight="1" outlineLevel="1" x14ac:dyDescent="0.2">
      <c r="A278" s="224" t="s">
        <v>1296</v>
      </c>
      <c r="B278" s="104" t="s">
        <v>317</v>
      </c>
      <c r="C278" s="331">
        <f t="shared" si="128"/>
        <v>0.9</v>
      </c>
      <c r="D278" s="193">
        <f t="shared" si="129"/>
        <v>1267</v>
      </c>
      <c r="E278" s="192">
        <v>0.9</v>
      </c>
      <c r="F278" s="204">
        <f t="shared" si="130"/>
        <v>1267</v>
      </c>
      <c r="G278" s="237">
        <v>0</v>
      </c>
      <c r="H278" s="237">
        <v>0</v>
      </c>
      <c r="I278" s="237">
        <v>1267</v>
      </c>
      <c r="J278" s="192">
        <v>0</v>
      </c>
      <c r="K278" s="204">
        <f t="shared" si="133"/>
        <v>0</v>
      </c>
      <c r="L278" s="237">
        <v>0</v>
      </c>
      <c r="M278" s="237">
        <v>0</v>
      </c>
      <c r="N278" s="237">
        <v>0</v>
      </c>
      <c r="O278" s="331">
        <v>0</v>
      </c>
      <c r="P278" s="237">
        <f>Q278+R278+S278</f>
        <v>0</v>
      </c>
      <c r="Q278" s="237">
        <v>0</v>
      </c>
      <c r="R278" s="237">
        <v>0</v>
      </c>
      <c r="S278" s="333">
        <v>0</v>
      </c>
      <c r="T278" s="331">
        <v>0</v>
      </c>
      <c r="U278" s="237">
        <v>0</v>
      </c>
      <c r="V278" s="237">
        <v>0</v>
      </c>
      <c r="W278" s="237">
        <v>0</v>
      </c>
      <c r="X278" s="237">
        <v>0</v>
      </c>
      <c r="Y278" s="331">
        <v>0</v>
      </c>
      <c r="Z278" s="237">
        <f>AA278+AB278+AC278</f>
        <v>0</v>
      </c>
      <c r="AA278" s="237">
        <v>0</v>
      </c>
      <c r="AB278" s="237">
        <v>0</v>
      </c>
      <c r="AC278" s="333">
        <v>0</v>
      </c>
      <c r="AD278" s="210"/>
      <c r="AE278" s="221"/>
      <c r="AF278" s="221"/>
    </row>
    <row r="279" spans="1:32" s="13" customFormat="1" ht="39.6" customHeight="1" outlineLevel="1" x14ac:dyDescent="0.2">
      <c r="A279" s="224" t="s">
        <v>1297</v>
      </c>
      <c r="B279" s="104" t="s">
        <v>521</v>
      </c>
      <c r="C279" s="331">
        <f>E279+J279+O279+T279+Y279</f>
        <v>1.42</v>
      </c>
      <c r="D279" s="193">
        <f>F279+K279+P279+Z279+U279</f>
        <v>275</v>
      </c>
      <c r="E279" s="192">
        <v>0</v>
      </c>
      <c r="F279" s="204">
        <f>G279+H279+I279</f>
        <v>0</v>
      </c>
      <c r="G279" s="237">
        <v>0</v>
      </c>
      <c r="H279" s="237">
        <v>0</v>
      </c>
      <c r="I279" s="237">
        <v>0</v>
      </c>
      <c r="J279" s="192">
        <v>0</v>
      </c>
      <c r="K279" s="204">
        <f>L279+M279+N279</f>
        <v>0</v>
      </c>
      <c r="L279" s="237">
        <v>0</v>
      </c>
      <c r="M279" s="237">
        <v>0</v>
      </c>
      <c r="N279" s="237">
        <v>0</v>
      </c>
      <c r="O279" s="331">
        <v>1.42</v>
      </c>
      <c r="P279" s="237">
        <f>Q279+R279+S279</f>
        <v>275</v>
      </c>
      <c r="Q279" s="237">
        <v>0</v>
      </c>
      <c r="R279" s="237">
        <v>0</v>
      </c>
      <c r="S279" s="333">
        <f>345-70</f>
        <v>275</v>
      </c>
      <c r="T279" s="331">
        <v>0</v>
      </c>
      <c r="U279" s="237">
        <v>0</v>
      </c>
      <c r="V279" s="237">
        <v>0</v>
      </c>
      <c r="W279" s="237">
        <v>0</v>
      </c>
      <c r="X279" s="237">
        <v>0</v>
      </c>
      <c r="Y279" s="331">
        <v>0</v>
      </c>
      <c r="Z279" s="237">
        <f>AA279+AB279+AC279</f>
        <v>0</v>
      </c>
      <c r="AA279" s="237">
        <v>0</v>
      </c>
      <c r="AB279" s="237">
        <v>0</v>
      </c>
      <c r="AC279" s="333">
        <v>0</v>
      </c>
      <c r="AD279" s="210"/>
      <c r="AE279" s="221"/>
      <c r="AF279" s="221"/>
    </row>
    <row r="280" spans="1:32" s="13" customFormat="1" ht="25.9" customHeight="1" x14ac:dyDescent="0.2">
      <c r="A280" s="235"/>
      <c r="B280" s="236" t="s">
        <v>85</v>
      </c>
      <c r="C280" s="235">
        <f t="shared" ref="C280:J280" si="134">SUM(C269,C272,C270)</f>
        <v>33.36</v>
      </c>
      <c r="D280" s="233">
        <f t="shared" si="134"/>
        <v>8192</v>
      </c>
      <c r="E280" s="235">
        <f t="shared" si="134"/>
        <v>13.8</v>
      </c>
      <c r="F280" s="233">
        <f t="shared" si="134"/>
        <v>2746</v>
      </c>
      <c r="G280" s="233">
        <f t="shared" si="134"/>
        <v>0</v>
      </c>
      <c r="H280" s="233">
        <f t="shared" si="134"/>
        <v>0</v>
      </c>
      <c r="I280" s="233">
        <f t="shared" si="134"/>
        <v>2746</v>
      </c>
      <c r="J280" s="235">
        <f t="shared" si="134"/>
        <v>0</v>
      </c>
      <c r="K280" s="233">
        <f>SUM(L280:N280)</f>
        <v>0</v>
      </c>
      <c r="L280" s="233">
        <f>SUM(L269,L272,L270)</f>
        <v>0</v>
      </c>
      <c r="M280" s="233">
        <f>SUM(M269,M272,M270)</f>
        <v>0</v>
      </c>
      <c r="N280" s="233">
        <f>SUM(N269,N272,N270)</f>
        <v>0</v>
      </c>
      <c r="O280" s="235">
        <f>SUM(O269,O272,O270)</f>
        <v>6.98</v>
      </c>
      <c r="P280" s="233">
        <f>Q280+R280+S280</f>
        <v>1210</v>
      </c>
      <c r="Q280" s="233">
        <f>SUM(Q269,Q272,Q270)</f>
        <v>0</v>
      </c>
      <c r="R280" s="233">
        <f>SUM(R269,R272,R270)</f>
        <v>0</v>
      </c>
      <c r="S280" s="233">
        <f>SUM(S269,S272,S270)</f>
        <v>1210</v>
      </c>
      <c r="T280" s="235">
        <f>SUM(T269,T272,T270)</f>
        <v>4</v>
      </c>
      <c r="U280" s="233">
        <f>V280+W280+X280</f>
        <v>716</v>
      </c>
      <c r="V280" s="233">
        <f t="shared" ref="V280:AC280" si="135">SUM(V269,V272,V270)</f>
        <v>0</v>
      </c>
      <c r="W280" s="233">
        <f t="shared" si="135"/>
        <v>0</v>
      </c>
      <c r="X280" s="233">
        <f t="shared" si="135"/>
        <v>716</v>
      </c>
      <c r="Y280" s="235">
        <f t="shared" si="135"/>
        <v>10</v>
      </c>
      <c r="Z280" s="233">
        <f>SUM(Z269,Z272,Z270)</f>
        <v>3520</v>
      </c>
      <c r="AA280" s="233">
        <f t="shared" si="135"/>
        <v>0</v>
      </c>
      <c r="AB280" s="233">
        <f t="shared" si="135"/>
        <v>0</v>
      </c>
      <c r="AC280" s="233">
        <f t="shared" si="135"/>
        <v>3520</v>
      </c>
      <c r="AD280" s="210"/>
      <c r="AE280" s="221"/>
      <c r="AF280" s="221"/>
    </row>
    <row r="281" spans="1:32" s="13" customFormat="1" ht="24" customHeight="1" x14ac:dyDescent="0.2">
      <c r="A281" s="231"/>
      <c r="B281" s="239" t="s">
        <v>76</v>
      </c>
      <c r="C281" s="240"/>
      <c r="D281" s="237"/>
      <c r="E281" s="192"/>
      <c r="F281" s="233"/>
      <c r="G281" s="241"/>
      <c r="H281" s="241"/>
      <c r="I281" s="241"/>
      <c r="J281" s="202"/>
      <c r="K281" s="242"/>
      <c r="L281" s="241"/>
      <c r="M281" s="241"/>
      <c r="N281" s="241"/>
      <c r="O281" s="240"/>
      <c r="P281" s="237"/>
      <c r="Q281" s="241"/>
      <c r="R281" s="241"/>
      <c r="S281" s="243"/>
      <c r="T281" s="240"/>
      <c r="U281" s="237"/>
      <c r="V281" s="241"/>
      <c r="W281" s="241"/>
      <c r="X281" s="243"/>
      <c r="Y281" s="240"/>
      <c r="Z281" s="237"/>
      <c r="AA281" s="237"/>
      <c r="AB281" s="237"/>
      <c r="AC281" s="243"/>
      <c r="AD281" s="210"/>
      <c r="AE281" s="221"/>
      <c r="AF281" s="221"/>
    </row>
    <row r="282" spans="1:32" s="13" customFormat="1" ht="34.15" customHeight="1" outlineLevel="1" x14ac:dyDescent="0.2">
      <c r="A282" s="235" t="s">
        <v>1298</v>
      </c>
      <c r="B282" s="244" t="s">
        <v>83</v>
      </c>
      <c r="C282" s="334">
        <f>E282+J282+O282+T282+Y282</f>
        <v>0</v>
      </c>
      <c r="D282" s="234">
        <f>F282+K282+P282+U282+Z282</f>
        <v>0</v>
      </c>
      <c r="E282" s="334">
        <v>0</v>
      </c>
      <c r="F282" s="233">
        <f>G282+H282+I282</f>
        <v>0</v>
      </c>
      <c r="G282" s="234">
        <v>0</v>
      </c>
      <c r="H282" s="234">
        <v>0</v>
      </c>
      <c r="I282" s="234">
        <v>0</v>
      </c>
      <c r="J282" s="334">
        <v>0</v>
      </c>
      <c r="K282" s="234">
        <f>SUM(L282:N282)</f>
        <v>0</v>
      </c>
      <c r="L282" s="234">
        <v>0</v>
      </c>
      <c r="M282" s="234">
        <v>0</v>
      </c>
      <c r="N282" s="234">
        <v>0</v>
      </c>
      <c r="O282" s="334">
        <v>0</v>
      </c>
      <c r="P282" s="232">
        <f t="shared" si="131"/>
        <v>0</v>
      </c>
      <c r="Q282" s="234">
        <v>0</v>
      </c>
      <c r="R282" s="234">
        <v>0</v>
      </c>
      <c r="S282" s="234">
        <v>0</v>
      </c>
      <c r="T282" s="334">
        <v>0</v>
      </c>
      <c r="U282" s="232">
        <v>0</v>
      </c>
      <c r="V282" s="232">
        <v>0</v>
      </c>
      <c r="W282" s="232">
        <v>0</v>
      </c>
      <c r="X282" s="232">
        <v>0</v>
      </c>
      <c r="Y282" s="334">
        <v>0</v>
      </c>
      <c r="Z282" s="232">
        <f t="shared" ref="Z282:Z285" si="136">AA282+AB282+AC282</f>
        <v>0</v>
      </c>
      <c r="AA282" s="234">
        <v>0</v>
      </c>
      <c r="AB282" s="234">
        <v>0</v>
      </c>
      <c r="AC282" s="234">
        <v>0</v>
      </c>
      <c r="AD282" s="210"/>
      <c r="AE282" s="221"/>
      <c r="AF282" s="221"/>
    </row>
    <row r="283" spans="1:32" s="13" customFormat="1" ht="28.9" customHeight="1" outlineLevel="1" x14ac:dyDescent="0.2">
      <c r="A283" s="231" t="s">
        <v>1299</v>
      </c>
      <c r="B283" s="244" t="s">
        <v>82</v>
      </c>
      <c r="C283" s="334">
        <f t="shared" ref="C283:J283" si="137">SUM(C284:C284)</f>
        <v>4.59</v>
      </c>
      <c r="D283" s="234">
        <f t="shared" si="137"/>
        <v>823</v>
      </c>
      <c r="E283" s="334">
        <f t="shared" si="137"/>
        <v>0</v>
      </c>
      <c r="F283" s="234">
        <f t="shared" si="137"/>
        <v>0</v>
      </c>
      <c r="G283" s="234">
        <f t="shared" si="137"/>
        <v>0</v>
      </c>
      <c r="H283" s="234">
        <f t="shared" si="137"/>
        <v>0</v>
      </c>
      <c r="I283" s="234">
        <f t="shared" si="137"/>
        <v>0</v>
      </c>
      <c r="J283" s="334">
        <f t="shared" si="137"/>
        <v>0</v>
      </c>
      <c r="K283" s="242">
        <f t="shared" ref="K283:K284" si="138">L283+M283+N283</f>
        <v>0</v>
      </c>
      <c r="L283" s="234">
        <f>SUM(L284:L284)</f>
        <v>0</v>
      </c>
      <c r="M283" s="234">
        <f>SUM(M284:M284)</f>
        <v>0</v>
      </c>
      <c r="N283" s="234">
        <f>SUM(N284:N284)</f>
        <v>0</v>
      </c>
      <c r="O283" s="334">
        <f>SUM(O284:O284)</f>
        <v>0</v>
      </c>
      <c r="P283" s="232">
        <f t="shared" si="131"/>
        <v>0</v>
      </c>
      <c r="Q283" s="234">
        <f>SUM(Q284:Q284)</f>
        <v>0</v>
      </c>
      <c r="R283" s="234">
        <f>SUM(R284:R284)</f>
        <v>0</v>
      </c>
      <c r="S283" s="234">
        <f>SUM(S284:S284)</f>
        <v>0</v>
      </c>
      <c r="T283" s="334">
        <f>SUM(T284:T284)</f>
        <v>4.59</v>
      </c>
      <c r="U283" s="232">
        <f t="shared" ref="U283:U285" si="139">V283+W283+X283</f>
        <v>823</v>
      </c>
      <c r="V283" s="232">
        <f>SUM(V284:V284)</f>
        <v>0</v>
      </c>
      <c r="W283" s="232">
        <f>SUM(W284:W284)</f>
        <v>0</v>
      </c>
      <c r="X283" s="232">
        <f>SUM(X284:X284)</f>
        <v>823</v>
      </c>
      <c r="Y283" s="334">
        <f>SUM(Y284:Y284)</f>
        <v>0</v>
      </c>
      <c r="Z283" s="232">
        <f t="shared" si="136"/>
        <v>0</v>
      </c>
      <c r="AA283" s="234">
        <f>SUM(AA284:AA284)</f>
        <v>0</v>
      </c>
      <c r="AB283" s="234">
        <f>SUM(AB284:AB284)</f>
        <v>0</v>
      </c>
      <c r="AC283" s="234">
        <f>SUM(AC284:AC284)</f>
        <v>0</v>
      </c>
      <c r="AD283" s="210"/>
      <c r="AE283" s="221"/>
      <c r="AF283" s="221"/>
    </row>
    <row r="284" spans="1:32" s="13" customFormat="1" ht="36" customHeight="1" outlineLevel="1" x14ac:dyDescent="0.2">
      <c r="A284" s="224" t="s">
        <v>1300</v>
      </c>
      <c r="B284" s="211" t="s">
        <v>526</v>
      </c>
      <c r="C284" s="331">
        <f t="shared" ref="C284" si="140">E284+J284+O284+Y284+T284</f>
        <v>4.59</v>
      </c>
      <c r="D284" s="237">
        <f t="shared" ref="D284:D286" si="141">F284+K284+P284+Z284+U284</f>
        <v>823</v>
      </c>
      <c r="E284" s="192">
        <v>0</v>
      </c>
      <c r="F284" s="242">
        <f t="shared" ref="F284:F286" si="142">G284+H284+I284</f>
        <v>0</v>
      </c>
      <c r="G284" s="237">
        <v>0</v>
      </c>
      <c r="H284" s="237">
        <v>0</v>
      </c>
      <c r="I284" s="237">
        <v>0</v>
      </c>
      <c r="J284" s="192">
        <v>0</v>
      </c>
      <c r="K284" s="242">
        <f t="shared" si="138"/>
        <v>0</v>
      </c>
      <c r="L284" s="237">
        <v>0</v>
      </c>
      <c r="M284" s="237">
        <v>0</v>
      </c>
      <c r="N284" s="237">
        <v>0</v>
      </c>
      <c r="O284" s="331">
        <v>0</v>
      </c>
      <c r="P284" s="237">
        <f t="shared" ref="P284" si="143">Q284+R284+S284</f>
        <v>0</v>
      </c>
      <c r="Q284" s="237">
        <v>0</v>
      </c>
      <c r="R284" s="237">
        <v>0</v>
      </c>
      <c r="S284" s="333">
        <v>0</v>
      </c>
      <c r="T284" s="331">
        <v>4.59</v>
      </c>
      <c r="U284" s="237">
        <f t="shared" si="139"/>
        <v>823</v>
      </c>
      <c r="V284" s="237">
        <v>0</v>
      </c>
      <c r="W284" s="237">
        <v>0</v>
      </c>
      <c r="X284" s="237">
        <f>1133-310</f>
        <v>823</v>
      </c>
      <c r="Y284" s="331">
        <v>0</v>
      </c>
      <c r="Z284" s="237">
        <f t="shared" si="136"/>
        <v>0</v>
      </c>
      <c r="AA284" s="237">
        <v>0</v>
      </c>
      <c r="AB284" s="237">
        <v>0</v>
      </c>
      <c r="AC284" s="333">
        <v>0</v>
      </c>
      <c r="AD284" s="210"/>
      <c r="AE284" s="221"/>
      <c r="AF284" s="221"/>
    </row>
    <row r="285" spans="1:32" s="13" customFormat="1" ht="28.15" customHeight="1" outlineLevel="1" x14ac:dyDescent="0.2">
      <c r="A285" s="235" t="s">
        <v>1301</v>
      </c>
      <c r="B285" s="236" t="s">
        <v>81</v>
      </c>
      <c r="C285" s="334">
        <f t="shared" ref="C285:J285" si="144">SUM(C286:C286)</f>
        <v>5.6</v>
      </c>
      <c r="D285" s="234">
        <f t="shared" si="144"/>
        <v>1856</v>
      </c>
      <c r="E285" s="334">
        <f t="shared" si="144"/>
        <v>0</v>
      </c>
      <c r="F285" s="234">
        <f t="shared" si="144"/>
        <v>0</v>
      </c>
      <c r="G285" s="234">
        <f t="shared" si="144"/>
        <v>0</v>
      </c>
      <c r="H285" s="234">
        <f t="shared" si="144"/>
        <v>0</v>
      </c>
      <c r="I285" s="234">
        <f t="shared" si="144"/>
        <v>0</v>
      </c>
      <c r="J285" s="334">
        <f t="shared" si="144"/>
        <v>2.8</v>
      </c>
      <c r="K285" s="234">
        <f>SUM(L285:N285)</f>
        <v>1380</v>
      </c>
      <c r="L285" s="234">
        <f>SUM(L286:L286)</f>
        <v>0</v>
      </c>
      <c r="M285" s="234">
        <f>SUM(M286:M286)</f>
        <v>0</v>
      </c>
      <c r="N285" s="234">
        <f>SUM(N286:N286)</f>
        <v>1380</v>
      </c>
      <c r="O285" s="334">
        <f>SUM(O286:O286)</f>
        <v>2.8</v>
      </c>
      <c r="P285" s="232">
        <f t="shared" si="131"/>
        <v>476</v>
      </c>
      <c r="Q285" s="234">
        <f>SUM(Q286:Q286)</f>
        <v>0</v>
      </c>
      <c r="R285" s="234">
        <f>SUM(R286:R286)</f>
        <v>0</v>
      </c>
      <c r="S285" s="234">
        <f>SUM(S286:S286)</f>
        <v>476</v>
      </c>
      <c r="T285" s="334">
        <f>SUM(T286:T286)</f>
        <v>0</v>
      </c>
      <c r="U285" s="232">
        <f t="shared" si="139"/>
        <v>0</v>
      </c>
      <c r="V285" s="232">
        <f>SUM(V286:V286)</f>
        <v>0</v>
      </c>
      <c r="W285" s="232">
        <f>SUM(W286:W286)</f>
        <v>0</v>
      </c>
      <c r="X285" s="232">
        <f>SUM(X286:X286)</f>
        <v>0</v>
      </c>
      <c r="Y285" s="334">
        <f>SUM(Y286:Y286)</f>
        <v>0</v>
      </c>
      <c r="Z285" s="232">
        <f t="shared" si="136"/>
        <v>0</v>
      </c>
      <c r="AA285" s="234">
        <f>SUM(V286:V286)</f>
        <v>0</v>
      </c>
      <c r="AB285" s="234">
        <f>SUM(W286:W286)</f>
        <v>0</v>
      </c>
      <c r="AC285" s="234">
        <f>SUM(AC286:AC286)</f>
        <v>0</v>
      </c>
      <c r="AD285" s="210"/>
      <c r="AE285" s="221"/>
      <c r="AF285" s="221"/>
    </row>
    <row r="286" spans="1:32" s="13" customFormat="1" ht="27.75" customHeight="1" outlineLevel="1" x14ac:dyDescent="0.2">
      <c r="A286" s="224" t="s">
        <v>1302</v>
      </c>
      <c r="B286" s="104" t="s">
        <v>524</v>
      </c>
      <c r="C286" s="331">
        <f>E286+J286+O286+T286+Y286</f>
        <v>5.6</v>
      </c>
      <c r="D286" s="237">
        <f t="shared" si="141"/>
        <v>1856</v>
      </c>
      <c r="E286" s="192">
        <v>0</v>
      </c>
      <c r="F286" s="242">
        <f t="shared" si="142"/>
        <v>0</v>
      </c>
      <c r="G286" s="237">
        <v>0</v>
      </c>
      <c r="H286" s="237">
        <v>0</v>
      </c>
      <c r="I286" s="237">
        <v>0</v>
      </c>
      <c r="J286" s="192">
        <v>2.8</v>
      </c>
      <c r="K286" s="242">
        <f t="shared" ref="K286" si="145">L286+M286+N286</f>
        <v>1380</v>
      </c>
      <c r="L286" s="237">
        <v>0</v>
      </c>
      <c r="M286" s="237">
        <v>0</v>
      </c>
      <c r="N286" s="237">
        <v>1380</v>
      </c>
      <c r="O286" s="331">
        <v>2.8</v>
      </c>
      <c r="P286" s="237">
        <f t="shared" ref="P286:P289" si="146">Q286+R286+S286</f>
        <v>476</v>
      </c>
      <c r="Q286" s="237">
        <v>0</v>
      </c>
      <c r="R286" s="237">
        <v>0</v>
      </c>
      <c r="S286" s="333">
        <f>724-248</f>
        <v>476</v>
      </c>
      <c r="T286" s="331">
        <v>0</v>
      </c>
      <c r="U286" s="237">
        <v>0</v>
      </c>
      <c r="V286" s="237">
        <v>0</v>
      </c>
      <c r="W286" s="237">
        <v>0</v>
      </c>
      <c r="X286" s="333">
        <v>0</v>
      </c>
      <c r="Y286" s="331">
        <v>0</v>
      </c>
      <c r="Z286" s="237">
        <f>AA286+AB286+AC286</f>
        <v>0</v>
      </c>
      <c r="AA286" s="237">
        <v>0</v>
      </c>
      <c r="AB286" s="237">
        <v>0</v>
      </c>
      <c r="AC286" s="333">
        <v>0</v>
      </c>
      <c r="AD286" s="210"/>
      <c r="AE286" s="221"/>
      <c r="AF286" s="221"/>
    </row>
    <row r="287" spans="1:32" s="13" customFormat="1" ht="34.15" customHeight="1" outlineLevel="1" x14ac:dyDescent="0.2">
      <c r="A287" s="235" t="s">
        <v>1396</v>
      </c>
      <c r="B287" s="236" t="s">
        <v>84</v>
      </c>
      <c r="C287" s="235">
        <f>E287+J287+O287+T287+Y287</f>
        <v>0</v>
      </c>
      <c r="D287" s="233">
        <f>F287+K287+P287+U287+Z287</f>
        <v>0</v>
      </c>
      <c r="E287" s="235">
        <v>0</v>
      </c>
      <c r="F287" s="233">
        <f>SUM(G287:I287)</f>
        <v>0</v>
      </c>
      <c r="G287" s="233">
        <v>0</v>
      </c>
      <c r="H287" s="233">
        <v>0</v>
      </c>
      <c r="I287" s="233">
        <v>0</v>
      </c>
      <c r="J287" s="235">
        <v>0</v>
      </c>
      <c r="K287" s="233">
        <f>SUM(L287:N287)</f>
        <v>0</v>
      </c>
      <c r="L287" s="233">
        <v>0</v>
      </c>
      <c r="M287" s="233">
        <v>0</v>
      </c>
      <c r="N287" s="233">
        <v>0</v>
      </c>
      <c r="O287" s="235">
        <v>0</v>
      </c>
      <c r="P287" s="232">
        <f t="shared" si="146"/>
        <v>0</v>
      </c>
      <c r="Q287" s="233">
        <v>0</v>
      </c>
      <c r="R287" s="233">
        <v>0</v>
      </c>
      <c r="S287" s="233">
        <v>0</v>
      </c>
      <c r="T287" s="334">
        <v>0</v>
      </c>
      <c r="U287" s="232">
        <v>0</v>
      </c>
      <c r="V287" s="232">
        <v>0</v>
      </c>
      <c r="W287" s="232">
        <v>0</v>
      </c>
      <c r="X287" s="232">
        <v>0</v>
      </c>
      <c r="Y287" s="235">
        <v>0</v>
      </c>
      <c r="Z287" s="232">
        <f>AA287+AB287+AC287</f>
        <v>0</v>
      </c>
      <c r="AA287" s="233">
        <v>0</v>
      </c>
      <c r="AB287" s="233">
        <v>0</v>
      </c>
      <c r="AC287" s="233">
        <v>0</v>
      </c>
      <c r="AD287" s="210"/>
      <c r="AE287" s="221"/>
      <c r="AF287" s="221"/>
    </row>
    <row r="288" spans="1:32" s="13" customFormat="1" ht="32.25" customHeight="1" x14ac:dyDescent="0.2">
      <c r="A288" s="208"/>
      <c r="B288" s="245" t="s">
        <v>78</v>
      </c>
      <c r="C288" s="334">
        <f t="shared" ref="C288:J288" si="147">SUM(C287,C285,C283,C282)</f>
        <v>10.19</v>
      </c>
      <c r="D288" s="246">
        <f t="shared" si="147"/>
        <v>2679</v>
      </c>
      <c r="E288" s="334">
        <f t="shared" si="147"/>
        <v>0</v>
      </c>
      <c r="F288" s="246">
        <f t="shared" si="147"/>
        <v>0</v>
      </c>
      <c r="G288" s="246">
        <f t="shared" si="147"/>
        <v>0</v>
      </c>
      <c r="H288" s="246">
        <f t="shared" si="147"/>
        <v>0</v>
      </c>
      <c r="I288" s="246">
        <f t="shared" si="147"/>
        <v>0</v>
      </c>
      <c r="J288" s="334">
        <f t="shared" si="147"/>
        <v>2.8</v>
      </c>
      <c r="K288" s="246">
        <f>SUM(L288:N288)</f>
        <v>1380</v>
      </c>
      <c r="L288" s="246">
        <f>SUM(L287,L285,L283,L282)</f>
        <v>0</v>
      </c>
      <c r="M288" s="246">
        <f>SUM(M287,M285,M283,M282)</f>
        <v>0</v>
      </c>
      <c r="N288" s="246">
        <f>SUM(N287,N285,N283,N282)</f>
        <v>1380</v>
      </c>
      <c r="O288" s="334">
        <f>SUM(O287,,O283,O282,O285)</f>
        <v>2.8</v>
      </c>
      <c r="P288" s="246">
        <f t="shared" si="146"/>
        <v>476</v>
      </c>
      <c r="Q288" s="246">
        <f>SUM(Q287,Q285,Q283,Q282)</f>
        <v>0</v>
      </c>
      <c r="R288" s="246">
        <f>SUM(R287,R285,R283,R282)</f>
        <v>0</v>
      </c>
      <c r="S288" s="246">
        <f>SUM(S287,S285,S283,S282)</f>
        <v>476</v>
      </c>
      <c r="T288" s="334">
        <f>SUM(T287,T285,T283,T282)</f>
        <v>4.59</v>
      </c>
      <c r="U288" s="232">
        <f>V288+W288+X288</f>
        <v>823</v>
      </c>
      <c r="V288" s="232">
        <v>0</v>
      </c>
      <c r="W288" s="232">
        <v>0</v>
      </c>
      <c r="X288" s="232">
        <f>SUM(X287,X285,X283,X282)</f>
        <v>823</v>
      </c>
      <c r="Y288" s="334">
        <f>SUM(Y287,Y285,Y283,Y282)</f>
        <v>0</v>
      </c>
      <c r="Z288" s="246">
        <f>AA288+AB288+AC288</f>
        <v>0</v>
      </c>
      <c r="AA288" s="246">
        <f>SUM(AA287,AA285,AA283,AA282)</f>
        <v>0</v>
      </c>
      <c r="AB288" s="246">
        <f>SUM(AB287,AB285,AB283,AB282)</f>
        <v>0</v>
      </c>
      <c r="AC288" s="246">
        <f>SUM(AC287,AC285,AC283,AC282)</f>
        <v>0</v>
      </c>
      <c r="AD288" s="210"/>
      <c r="AE288" s="221"/>
      <c r="AF288" s="221"/>
    </row>
    <row r="289" spans="1:32" s="13" customFormat="1" ht="127.5" hidden="1" customHeight="1" x14ac:dyDescent="0.2">
      <c r="A289" s="208"/>
      <c r="B289" s="104" t="s">
        <v>77</v>
      </c>
      <c r="C289" s="331">
        <f>E289+J289+O289+T289+Y289</f>
        <v>0</v>
      </c>
      <c r="D289" s="237">
        <f>F289+K289+P289+U289+Z289</f>
        <v>0</v>
      </c>
      <c r="E289" s="202"/>
      <c r="F289" s="242">
        <f>G289+H289+I289</f>
        <v>0</v>
      </c>
      <c r="G289" s="241"/>
      <c r="H289" s="241"/>
      <c r="I289" s="241"/>
      <c r="J289" s="202"/>
      <c r="K289" s="242">
        <f>SUM(L289:N289)</f>
        <v>0</v>
      </c>
      <c r="L289" s="241"/>
      <c r="M289" s="241"/>
      <c r="N289" s="241"/>
      <c r="O289" s="208">
        <v>0</v>
      </c>
      <c r="P289" s="242">
        <f t="shared" si="146"/>
        <v>0</v>
      </c>
      <c r="Q289" s="241"/>
      <c r="R289" s="241"/>
      <c r="S289" s="242">
        <v>0</v>
      </c>
      <c r="T289" s="208">
        <v>0</v>
      </c>
      <c r="U289" s="242">
        <f>V289+W289+X289</f>
        <v>0</v>
      </c>
      <c r="V289" s="241"/>
      <c r="W289" s="241"/>
      <c r="X289" s="242">
        <v>0</v>
      </c>
      <c r="Y289" s="208">
        <v>0</v>
      </c>
      <c r="Z289" s="242">
        <f t="shared" ref="Z289" si="148">AA289+AB289+AC289</f>
        <v>0</v>
      </c>
      <c r="AA289" s="237">
        <v>0</v>
      </c>
      <c r="AB289" s="237">
        <v>0</v>
      </c>
      <c r="AC289" s="242">
        <v>0</v>
      </c>
      <c r="AD289" s="210"/>
      <c r="AE289" s="221"/>
      <c r="AF289" s="221"/>
    </row>
    <row r="290" spans="1:32" s="13" customFormat="1" ht="66.75" customHeight="1" x14ac:dyDescent="0.2">
      <c r="A290" s="247"/>
      <c r="B290" s="222" t="s">
        <v>489</v>
      </c>
      <c r="C290" s="202">
        <f t="shared" ref="C290:U290" si="149">C280+C288</f>
        <v>43.55</v>
      </c>
      <c r="D290" s="203">
        <f t="shared" si="149"/>
        <v>10871</v>
      </c>
      <c r="E290" s="202">
        <f t="shared" si="149"/>
        <v>13.8</v>
      </c>
      <c r="F290" s="203">
        <f t="shared" si="149"/>
        <v>2746</v>
      </c>
      <c r="G290" s="203">
        <f t="shared" si="149"/>
        <v>0</v>
      </c>
      <c r="H290" s="203">
        <f t="shared" si="149"/>
        <v>0</v>
      </c>
      <c r="I290" s="203">
        <f t="shared" si="149"/>
        <v>2746</v>
      </c>
      <c r="J290" s="202">
        <f t="shared" si="149"/>
        <v>2.8</v>
      </c>
      <c r="K290" s="203">
        <f t="shared" si="149"/>
        <v>1380</v>
      </c>
      <c r="L290" s="203">
        <f t="shared" si="149"/>
        <v>0</v>
      </c>
      <c r="M290" s="203">
        <f t="shared" si="149"/>
        <v>0</v>
      </c>
      <c r="N290" s="203">
        <f t="shared" si="149"/>
        <v>1380</v>
      </c>
      <c r="O290" s="202">
        <f t="shared" si="149"/>
        <v>9.7800000000000011</v>
      </c>
      <c r="P290" s="203">
        <f t="shared" si="149"/>
        <v>1686</v>
      </c>
      <c r="Q290" s="203">
        <f t="shared" si="149"/>
        <v>0</v>
      </c>
      <c r="R290" s="203">
        <f t="shared" si="149"/>
        <v>0</v>
      </c>
      <c r="S290" s="203">
        <f t="shared" si="149"/>
        <v>1686</v>
      </c>
      <c r="T290" s="202">
        <f t="shared" si="149"/>
        <v>8.59</v>
      </c>
      <c r="U290" s="203">
        <f t="shared" si="149"/>
        <v>1539</v>
      </c>
      <c r="V290" s="203">
        <f>V280+AA288</f>
        <v>0</v>
      </c>
      <c r="W290" s="203">
        <f>W280+AB288</f>
        <v>0</v>
      </c>
      <c r="X290" s="203">
        <f t="shared" ref="X290:AC290" si="150">X280+X288</f>
        <v>1539</v>
      </c>
      <c r="Y290" s="202">
        <f t="shared" si="150"/>
        <v>10</v>
      </c>
      <c r="Z290" s="203">
        <f t="shared" si="150"/>
        <v>3520</v>
      </c>
      <c r="AA290" s="203">
        <f t="shared" si="150"/>
        <v>0</v>
      </c>
      <c r="AB290" s="203">
        <f t="shared" si="150"/>
        <v>0</v>
      </c>
      <c r="AC290" s="203">
        <f t="shared" si="150"/>
        <v>3520</v>
      </c>
      <c r="AD290" s="210"/>
      <c r="AE290" s="221"/>
      <c r="AF290" s="221"/>
    </row>
    <row r="291" spans="1:32" s="13" customFormat="1" ht="36.75" customHeight="1" x14ac:dyDescent="0.2">
      <c r="A291" s="223" t="s">
        <v>439</v>
      </c>
      <c r="B291" s="419" t="s">
        <v>1074</v>
      </c>
      <c r="C291" s="420"/>
      <c r="D291" s="420"/>
      <c r="E291" s="420"/>
      <c r="F291" s="420"/>
      <c r="G291" s="420"/>
      <c r="H291" s="420"/>
      <c r="I291" s="420"/>
      <c r="J291" s="420"/>
      <c r="K291" s="420"/>
      <c r="L291" s="420"/>
      <c r="M291" s="420"/>
      <c r="N291" s="420"/>
      <c r="O291" s="420"/>
      <c r="P291" s="420"/>
      <c r="Q291" s="420"/>
      <c r="R291" s="420"/>
      <c r="S291" s="420"/>
      <c r="T291" s="420"/>
      <c r="U291" s="420"/>
      <c r="V291" s="420"/>
      <c r="W291" s="420"/>
      <c r="X291" s="420"/>
      <c r="Y291" s="420"/>
      <c r="Z291" s="420"/>
      <c r="AA291" s="420"/>
      <c r="AB291" s="420"/>
      <c r="AC291" s="421"/>
      <c r="AD291" s="210"/>
      <c r="AE291" s="221"/>
      <c r="AF291" s="221"/>
    </row>
    <row r="292" spans="1:32" s="13" customFormat="1" ht="39.75" customHeight="1" x14ac:dyDescent="0.2">
      <c r="A292" s="208" t="s">
        <v>490</v>
      </c>
      <c r="B292" s="248" t="s">
        <v>305</v>
      </c>
      <c r="C292" s="192">
        <f>E292+J292+O292+T292+Y292</f>
        <v>0</v>
      </c>
      <c r="D292" s="171">
        <f>F292+K292+P292+U292+Z292</f>
        <v>646482</v>
      </c>
      <c r="E292" s="228">
        <v>0</v>
      </c>
      <c r="F292" s="193">
        <f>G292+H292+I292</f>
        <v>155462</v>
      </c>
      <c r="G292" s="193">
        <v>0</v>
      </c>
      <c r="H292" s="193">
        <v>148000</v>
      </c>
      <c r="I292" s="193">
        <v>7462</v>
      </c>
      <c r="J292" s="192">
        <v>0</v>
      </c>
      <c r="K292" s="193">
        <f>SUM(L292:N292)</f>
        <v>212314</v>
      </c>
      <c r="L292" s="193">
        <v>0</v>
      </c>
      <c r="M292" s="193">
        <v>200000</v>
      </c>
      <c r="N292" s="193">
        <v>12314</v>
      </c>
      <c r="O292" s="192">
        <v>0</v>
      </c>
      <c r="P292" s="193">
        <f>Q292+R292+S292</f>
        <v>212314</v>
      </c>
      <c r="Q292" s="237">
        <v>0</v>
      </c>
      <c r="R292" s="193">
        <v>200000</v>
      </c>
      <c r="S292" s="193">
        <v>12314</v>
      </c>
      <c r="T292" s="192">
        <v>0</v>
      </c>
      <c r="U292" s="249">
        <f>V292+W292+X292</f>
        <v>66392</v>
      </c>
      <c r="V292" s="249">
        <v>0</v>
      </c>
      <c r="W292" s="249">
        <f>200000+64400-200000</f>
        <v>64400</v>
      </c>
      <c r="X292" s="250">
        <f>6186+1992-6186</f>
        <v>1992</v>
      </c>
      <c r="Y292" s="192">
        <v>0</v>
      </c>
      <c r="Z292" s="237">
        <f>AA292+AB292+AC292</f>
        <v>0</v>
      </c>
      <c r="AA292" s="237">
        <v>0</v>
      </c>
      <c r="AB292" s="237">
        <v>0</v>
      </c>
      <c r="AC292" s="237">
        <v>0</v>
      </c>
      <c r="AD292" s="210"/>
      <c r="AE292" s="221"/>
      <c r="AF292" s="221"/>
    </row>
    <row r="293" spans="1:32" s="13" customFormat="1" ht="88.5" customHeight="1" x14ac:dyDescent="0.2">
      <c r="A293" s="247"/>
      <c r="B293" s="222" t="s">
        <v>1389</v>
      </c>
      <c r="C293" s="202">
        <f t="shared" ref="C293:AC293" si="151">C292</f>
        <v>0</v>
      </c>
      <c r="D293" s="180">
        <f t="shared" si="151"/>
        <v>646482</v>
      </c>
      <c r="E293" s="202">
        <f t="shared" si="151"/>
        <v>0</v>
      </c>
      <c r="F293" s="180">
        <f t="shared" si="151"/>
        <v>155462</v>
      </c>
      <c r="G293" s="180">
        <f t="shared" si="151"/>
        <v>0</v>
      </c>
      <c r="H293" s="180">
        <f t="shared" si="151"/>
        <v>148000</v>
      </c>
      <c r="I293" s="180">
        <f t="shared" si="151"/>
        <v>7462</v>
      </c>
      <c r="J293" s="202">
        <f t="shared" si="151"/>
        <v>0</v>
      </c>
      <c r="K293" s="203">
        <f t="shared" si="151"/>
        <v>212314</v>
      </c>
      <c r="L293" s="203">
        <f t="shared" si="151"/>
        <v>0</v>
      </c>
      <c r="M293" s="203">
        <f t="shared" si="151"/>
        <v>200000</v>
      </c>
      <c r="N293" s="203">
        <f t="shared" si="151"/>
        <v>12314</v>
      </c>
      <c r="O293" s="202">
        <f t="shared" si="151"/>
        <v>0</v>
      </c>
      <c r="P293" s="180">
        <f t="shared" si="151"/>
        <v>212314</v>
      </c>
      <c r="Q293" s="180">
        <f t="shared" si="151"/>
        <v>0</v>
      </c>
      <c r="R293" s="180">
        <f t="shared" si="151"/>
        <v>200000</v>
      </c>
      <c r="S293" s="180">
        <f t="shared" si="151"/>
        <v>12314</v>
      </c>
      <c r="T293" s="202">
        <f t="shared" si="151"/>
        <v>0</v>
      </c>
      <c r="U293" s="180">
        <f t="shared" si="151"/>
        <v>66392</v>
      </c>
      <c r="V293" s="180">
        <f t="shared" si="151"/>
        <v>0</v>
      </c>
      <c r="W293" s="180">
        <f t="shared" si="151"/>
        <v>64400</v>
      </c>
      <c r="X293" s="180">
        <f t="shared" si="151"/>
        <v>1992</v>
      </c>
      <c r="Y293" s="202">
        <f t="shared" si="151"/>
        <v>0</v>
      </c>
      <c r="Z293" s="180">
        <f t="shared" si="151"/>
        <v>0</v>
      </c>
      <c r="AA293" s="180">
        <f t="shared" si="151"/>
        <v>0</v>
      </c>
      <c r="AB293" s="180">
        <f t="shared" si="151"/>
        <v>0</v>
      </c>
      <c r="AC293" s="180">
        <f t="shared" si="151"/>
        <v>0</v>
      </c>
      <c r="AD293" s="210"/>
      <c r="AE293" s="221"/>
      <c r="AF293" s="221"/>
    </row>
    <row r="294" spans="1:32" s="13" customFormat="1" ht="25.5" customHeight="1" x14ac:dyDescent="0.2">
      <c r="A294" s="223" t="s">
        <v>1385</v>
      </c>
      <c r="B294" s="419" t="s">
        <v>1386</v>
      </c>
      <c r="C294" s="420"/>
      <c r="D294" s="420"/>
      <c r="E294" s="420"/>
      <c r="F294" s="420"/>
      <c r="G294" s="420"/>
      <c r="H294" s="420"/>
      <c r="I294" s="420"/>
      <c r="J294" s="420"/>
      <c r="K294" s="420"/>
      <c r="L294" s="420"/>
      <c r="M294" s="420"/>
      <c r="N294" s="420"/>
      <c r="O294" s="420"/>
      <c r="P294" s="420"/>
      <c r="Q294" s="420"/>
      <c r="R294" s="420"/>
      <c r="S294" s="420"/>
      <c r="T294" s="420"/>
      <c r="U294" s="420"/>
      <c r="V294" s="420"/>
      <c r="W294" s="420"/>
      <c r="X294" s="420"/>
      <c r="Y294" s="420"/>
      <c r="Z294" s="420"/>
      <c r="AA294" s="420"/>
      <c r="AB294" s="420"/>
      <c r="AC294" s="421"/>
      <c r="AD294" s="210"/>
      <c r="AE294" s="221"/>
      <c r="AF294" s="221"/>
    </row>
    <row r="295" spans="1:32" s="13" customFormat="1" ht="88.5" customHeight="1" x14ac:dyDescent="0.2">
      <c r="A295" s="208" t="s">
        <v>1387</v>
      </c>
      <c r="B295" s="248" t="s">
        <v>1388</v>
      </c>
      <c r="C295" s="192">
        <f>E295+J295+O295+T295+Y295</f>
        <v>0</v>
      </c>
      <c r="D295" s="171">
        <f>F295+K295+P295+U295+Z295</f>
        <v>35000</v>
      </c>
      <c r="E295" s="228">
        <v>0</v>
      </c>
      <c r="F295" s="193">
        <v>0</v>
      </c>
      <c r="G295" s="193">
        <v>0</v>
      </c>
      <c r="H295" s="193">
        <v>0</v>
      </c>
      <c r="I295" s="193">
        <v>0</v>
      </c>
      <c r="J295" s="192">
        <v>0</v>
      </c>
      <c r="K295" s="193">
        <f>SUM(L295:N295)</f>
        <v>0</v>
      </c>
      <c r="L295" s="193">
        <v>0</v>
      </c>
      <c r="M295" s="193">
        <v>0</v>
      </c>
      <c r="N295" s="193">
        <v>0</v>
      </c>
      <c r="O295" s="192">
        <v>0</v>
      </c>
      <c r="P295" s="193">
        <f>Q295+R295+S295</f>
        <v>0</v>
      </c>
      <c r="Q295" s="237">
        <v>0</v>
      </c>
      <c r="R295" s="193">
        <v>0</v>
      </c>
      <c r="S295" s="193">
        <v>0</v>
      </c>
      <c r="T295" s="192">
        <v>0</v>
      </c>
      <c r="U295" s="249">
        <f>V295+W295+X295</f>
        <v>0</v>
      </c>
      <c r="V295" s="249">
        <v>0</v>
      </c>
      <c r="W295" s="249">
        <v>0</v>
      </c>
      <c r="X295" s="250">
        <v>0</v>
      </c>
      <c r="Y295" s="192">
        <v>0</v>
      </c>
      <c r="Z295" s="237">
        <f>AA295+AB295+AC295</f>
        <v>35000</v>
      </c>
      <c r="AA295" s="237">
        <v>0</v>
      </c>
      <c r="AB295" s="237">
        <v>0</v>
      </c>
      <c r="AC295" s="237">
        <v>35000</v>
      </c>
      <c r="AD295" s="210"/>
      <c r="AE295" s="221"/>
      <c r="AF295" s="221"/>
    </row>
    <row r="296" spans="1:32" s="13" customFormat="1" ht="105.75" customHeight="1" x14ac:dyDescent="0.2">
      <c r="A296" s="247"/>
      <c r="B296" s="222" t="s">
        <v>1390</v>
      </c>
      <c r="C296" s="202">
        <f t="shared" ref="C296:AC296" si="152">C295</f>
        <v>0</v>
      </c>
      <c r="D296" s="180">
        <f t="shared" si="152"/>
        <v>35000</v>
      </c>
      <c r="E296" s="202">
        <f t="shared" si="152"/>
        <v>0</v>
      </c>
      <c r="F296" s="180">
        <f t="shared" si="152"/>
        <v>0</v>
      </c>
      <c r="G296" s="180">
        <f t="shared" si="152"/>
        <v>0</v>
      </c>
      <c r="H296" s="180">
        <f t="shared" si="152"/>
        <v>0</v>
      </c>
      <c r="I296" s="180">
        <f t="shared" si="152"/>
        <v>0</v>
      </c>
      <c r="J296" s="202">
        <f t="shared" si="152"/>
        <v>0</v>
      </c>
      <c r="K296" s="203">
        <f t="shared" si="152"/>
        <v>0</v>
      </c>
      <c r="L296" s="203">
        <f t="shared" si="152"/>
        <v>0</v>
      </c>
      <c r="M296" s="203">
        <f t="shared" si="152"/>
        <v>0</v>
      </c>
      <c r="N296" s="203">
        <f t="shared" si="152"/>
        <v>0</v>
      </c>
      <c r="O296" s="202">
        <f t="shared" si="152"/>
        <v>0</v>
      </c>
      <c r="P296" s="180">
        <f t="shared" si="152"/>
        <v>0</v>
      </c>
      <c r="Q296" s="180">
        <f t="shared" si="152"/>
        <v>0</v>
      </c>
      <c r="R296" s="180">
        <f t="shared" si="152"/>
        <v>0</v>
      </c>
      <c r="S296" s="180">
        <f t="shared" si="152"/>
        <v>0</v>
      </c>
      <c r="T296" s="202">
        <f t="shared" si="152"/>
        <v>0</v>
      </c>
      <c r="U296" s="180">
        <f t="shared" si="152"/>
        <v>0</v>
      </c>
      <c r="V296" s="180">
        <f t="shared" si="152"/>
        <v>0</v>
      </c>
      <c r="W296" s="180">
        <f t="shared" si="152"/>
        <v>0</v>
      </c>
      <c r="X296" s="180">
        <f t="shared" si="152"/>
        <v>0</v>
      </c>
      <c r="Y296" s="202">
        <f t="shared" si="152"/>
        <v>0</v>
      </c>
      <c r="Z296" s="180">
        <f t="shared" si="152"/>
        <v>35000</v>
      </c>
      <c r="AA296" s="180">
        <f t="shared" si="152"/>
        <v>0</v>
      </c>
      <c r="AB296" s="180">
        <f t="shared" si="152"/>
        <v>0</v>
      </c>
      <c r="AC296" s="180">
        <f t="shared" si="152"/>
        <v>35000</v>
      </c>
      <c r="AD296" s="210"/>
      <c r="AE296" s="221"/>
      <c r="AF296" s="221"/>
    </row>
    <row r="297" spans="1:32" s="13" customFormat="1" ht="42.75" customHeight="1" x14ac:dyDescent="0.2">
      <c r="A297" s="433" t="s">
        <v>369</v>
      </c>
      <c r="B297" s="433"/>
      <c r="C297" s="433"/>
      <c r="D297" s="167">
        <f>D299-D298</f>
        <v>8817234.5</v>
      </c>
      <c r="E297" s="199">
        <f>E299-E298</f>
        <v>405.98999999999995</v>
      </c>
      <c r="F297" s="167">
        <f>F299-F298</f>
        <v>1584835</v>
      </c>
      <c r="G297" s="167">
        <f t="shared" ref="G297:AB297" si="153">G299-G298</f>
        <v>126793</v>
      </c>
      <c r="H297" s="167">
        <f t="shared" si="153"/>
        <v>1349108</v>
      </c>
      <c r="I297" s="167">
        <f t="shared" si="153"/>
        <v>108934</v>
      </c>
      <c r="J297" s="199">
        <f t="shared" si="153"/>
        <v>492.97</v>
      </c>
      <c r="K297" s="167">
        <f>K299-K298</f>
        <v>1550012</v>
      </c>
      <c r="L297" s="167">
        <f t="shared" si="153"/>
        <v>0</v>
      </c>
      <c r="M297" s="167">
        <f t="shared" si="153"/>
        <v>1290861</v>
      </c>
      <c r="N297" s="167">
        <f t="shared" si="153"/>
        <v>259151</v>
      </c>
      <c r="O297" s="199">
        <f t="shared" si="153"/>
        <v>432.65300000000002</v>
      </c>
      <c r="P297" s="167">
        <f>P299-P298</f>
        <v>2080681</v>
      </c>
      <c r="Q297" s="167">
        <f t="shared" si="153"/>
        <v>0</v>
      </c>
      <c r="R297" s="167">
        <f t="shared" si="153"/>
        <v>1779113</v>
      </c>
      <c r="S297" s="167">
        <f>S299-S298</f>
        <v>301568</v>
      </c>
      <c r="T297" s="199">
        <f t="shared" si="153"/>
        <v>223.51800000000003</v>
      </c>
      <c r="U297" s="167">
        <f>U299-U298</f>
        <v>1797668.5</v>
      </c>
      <c r="V297" s="167">
        <f t="shared" si="153"/>
        <v>0</v>
      </c>
      <c r="W297" s="167">
        <f t="shared" si="153"/>
        <v>1487792</v>
      </c>
      <c r="X297" s="167">
        <f>X299-X298</f>
        <v>309876.5</v>
      </c>
      <c r="Y297" s="199">
        <f t="shared" si="153"/>
        <v>72.131999999999991</v>
      </c>
      <c r="Z297" s="167">
        <f>Z299-Z298</f>
        <v>1804038</v>
      </c>
      <c r="AA297" s="167">
        <f t="shared" si="153"/>
        <v>0</v>
      </c>
      <c r="AB297" s="167">
        <f t="shared" si="153"/>
        <v>1502668</v>
      </c>
      <c r="AC297" s="167">
        <f>AC299-AC298</f>
        <v>301370</v>
      </c>
      <c r="AD297" s="210"/>
      <c r="AE297" s="221"/>
      <c r="AF297" s="221"/>
    </row>
    <row r="298" spans="1:32" s="10" customFormat="1" ht="26.25" customHeight="1" x14ac:dyDescent="0.2">
      <c r="A298" s="434" t="s">
        <v>373</v>
      </c>
      <c r="B298" s="434"/>
      <c r="C298" s="434"/>
      <c r="D298" s="203">
        <f>F298+K298+P298+U298+Z298</f>
        <v>35654</v>
      </c>
      <c r="E298" s="202">
        <v>0</v>
      </c>
      <c r="F298" s="203">
        <f>G298+H298+I298</f>
        <v>988</v>
      </c>
      <c r="G298" s="203">
        <v>0</v>
      </c>
      <c r="H298" s="203">
        <v>0</v>
      </c>
      <c r="I298" s="203">
        <v>988</v>
      </c>
      <c r="J298" s="202">
        <v>0</v>
      </c>
      <c r="K298" s="203">
        <f>L298+M298+N298</f>
        <v>1584</v>
      </c>
      <c r="L298" s="203">
        <v>0</v>
      </c>
      <c r="M298" s="203">
        <v>0</v>
      </c>
      <c r="N298" s="203">
        <v>1584</v>
      </c>
      <c r="O298" s="202">
        <v>0</v>
      </c>
      <c r="P298" s="203">
        <f>Q298+R298+S298</f>
        <v>0</v>
      </c>
      <c r="Q298" s="203">
        <v>0</v>
      </c>
      <c r="R298" s="203">
        <v>0</v>
      </c>
      <c r="S298" s="203">
        <v>0</v>
      </c>
      <c r="T298" s="202">
        <v>0</v>
      </c>
      <c r="U298" s="203">
        <f>V298+W298+X298</f>
        <v>0</v>
      </c>
      <c r="V298" s="203">
        <v>0</v>
      </c>
      <c r="W298" s="203">
        <v>0</v>
      </c>
      <c r="X298" s="203">
        <v>0</v>
      </c>
      <c r="Y298" s="202">
        <v>0</v>
      </c>
      <c r="Z298" s="203">
        <f>AA298+AB298+AC298</f>
        <v>33082</v>
      </c>
      <c r="AA298" s="203">
        <v>0</v>
      </c>
      <c r="AB298" s="203">
        <v>0</v>
      </c>
      <c r="AC298" s="203">
        <f>23106+9976</f>
        <v>33082</v>
      </c>
      <c r="AD298" s="196"/>
      <c r="AE298" s="196"/>
      <c r="AF298" s="189"/>
    </row>
    <row r="299" spans="1:32" ht="47.25" customHeight="1" x14ac:dyDescent="0.2">
      <c r="A299" s="435" t="s">
        <v>368</v>
      </c>
      <c r="B299" s="435"/>
      <c r="C299" s="435"/>
      <c r="D299" s="167">
        <f>D33+D44+D75+D97+D262+D266+D290+D293+D298+D296</f>
        <v>8852888.5</v>
      </c>
      <c r="E299" s="199">
        <f t="shared" ref="E299:Y299" si="154">E33+E44+E75+E97+E262+E266+E290+E293+E298</f>
        <v>405.98999999999995</v>
      </c>
      <c r="F299" s="167">
        <f t="shared" si="154"/>
        <v>1585823</v>
      </c>
      <c r="G299" s="167">
        <f t="shared" si="154"/>
        <v>126793</v>
      </c>
      <c r="H299" s="167">
        <f t="shared" si="154"/>
        <v>1349108</v>
      </c>
      <c r="I299" s="167">
        <f t="shared" si="154"/>
        <v>109922</v>
      </c>
      <c r="J299" s="199">
        <f t="shared" si="154"/>
        <v>492.97</v>
      </c>
      <c r="K299" s="167">
        <f t="shared" si="154"/>
        <v>1551596</v>
      </c>
      <c r="L299" s="167">
        <f t="shared" si="154"/>
        <v>0</v>
      </c>
      <c r="M299" s="167">
        <f t="shared" si="154"/>
        <v>1290861</v>
      </c>
      <c r="N299" s="167">
        <f t="shared" si="154"/>
        <v>260735</v>
      </c>
      <c r="O299" s="199">
        <f t="shared" si="154"/>
        <v>432.65300000000002</v>
      </c>
      <c r="P299" s="167">
        <f t="shared" si="154"/>
        <v>2080681</v>
      </c>
      <c r="Q299" s="167">
        <f t="shared" si="154"/>
        <v>0</v>
      </c>
      <c r="R299" s="167">
        <f t="shared" si="154"/>
        <v>1779113</v>
      </c>
      <c r="S299" s="167">
        <f t="shared" si="154"/>
        <v>301568</v>
      </c>
      <c r="T299" s="199">
        <f t="shared" si="154"/>
        <v>223.51800000000003</v>
      </c>
      <c r="U299" s="167">
        <f t="shared" si="154"/>
        <v>1797668.5</v>
      </c>
      <c r="V299" s="167">
        <f t="shared" si="154"/>
        <v>0</v>
      </c>
      <c r="W299" s="167">
        <f t="shared" si="154"/>
        <v>1487792</v>
      </c>
      <c r="X299" s="167">
        <f t="shared" si="154"/>
        <v>309876.5</v>
      </c>
      <c r="Y299" s="199">
        <f t="shared" si="154"/>
        <v>72.131999999999991</v>
      </c>
      <c r="Z299" s="167">
        <f>Z33+Z44+Z75+Z97+Z262+Z266+Z290+Z293+Z296+Z298</f>
        <v>1837120</v>
      </c>
      <c r="AA299" s="167">
        <f>AA33+AA44+AA75+AA97+AA262+AA266+AA290+AA293+AA298</f>
        <v>0</v>
      </c>
      <c r="AB299" s="167">
        <f>AB33+AB44+AB75+AB97+AB262+AB266+AB290+AB293+AB298</f>
        <v>1502668</v>
      </c>
      <c r="AC299" s="167">
        <f>AC33+AC44+AC75+AC97+AC262+AC266+AC290+AC293+AC296+AC298</f>
        <v>334452</v>
      </c>
      <c r="AD299" s="28"/>
      <c r="AE299" s="28"/>
      <c r="AF299" s="28"/>
    </row>
    <row r="300" spans="1:32" ht="24.75" customHeight="1" x14ac:dyDescent="0.2">
      <c r="A300" s="24"/>
      <c r="B300" s="24"/>
      <c r="C300" s="24"/>
      <c r="D300" s="25"/>
      <c r="E300" s="26"/>
      <c r="F300" s="25"/>
      <c r="G300" s="25"/>
      <c r="H300" s="25"/>
      <c r="I300" s="25"/>
      <c r="J300" s="26"/>
      <c r="K300" s="25"/>
      <c r="L300" s="25"/>
      <c r="M300" s="25"/>
      <c r="N300" s="25"/>
      <c r="O300" s="26"/>
      <c r="P300" s="25"/>
      <c r="Q300" s="25"/>
      <c r="R300" s="25"/>
      <c r="S300" s="25"/>
      <c r="T300" s="26"/>
      <c r="U300" s="25"/>
      <c r="V300" s="25"/>
      <c r="W300" s="25"/>
      <c r="X300" s="25"/>
      <c r="Y300" s="26"/>
      <c r="Z300" s="25"/>
      <c r="AA300" s="25"/>
      <c r="AB300" s="25"/>
      <c r="AC300" s="25"/>
    </row>
    <row r="301" spans="1:32" ht="24.75" customHeight="1" x14ac:dyDescent="0.2">
      <c r="A301" s="24"/>
      <c r="B301" s="27" t="s">
        <v>614</v>
      </c>
      <c r="C301" s="24"/>
      <c r="D301" s="25"/>
      <c r="E301" s="26"/>
      <c r="F301" s="25"/>
      <c r="G301" s="25"/>
      <c r="H301" s="25"/>
      <c r="I301" s="25"/>
      <c r="J301" s="26"/>
      <c r="K301" s="25"/>
      <c r="L301" s="25"/>
      <c r="M301" s="25"/>
      <c r="N301" s="25"/>
      <c r="O301" s="26"/>
      <c r="P301" s="25"/>
      <c r="Q301" s="25"/>
      <c r="R301" s="25"/>
      <c r="S301" s="25"/>
      <c r="T301" s="26"/>
      <c r="U301" s="25"/>
      <c r="V301" s="25"/>
      <c r="W301" s="25"/>
      <c r="X301" s="25"/>
      <c r="Y301" s="26"/>
      <c r="Z301" s="25"/>
      <c r="AA301" s="25"/>
      <c r="AB301" s="25"/>
      <c r="AC301" s="25"/>
    </row>
    <row r="302" spans="1:32" ht="18.75" customHeight="1" x14ac:dyDescent="0.2">
      <c r="B302" t="s">
        <v>1426</v>
      </c>
      <c r="C302" s="418" t="s">
        <v>1484</v>
      </c>
      <c r="D302" s="418"/>
      <c r="E302" s="418"/>
      <c r="F302" s="418"/>
      <c r="G302" s="418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  <c r="T302" s="418"/>
      <c r="U302" s="418"/>
      <c r="V302" s="418"/>
      <c r="W302" s="418"/>
      <c r="X302" s="418"/>
      <c r="Y302" s="418"/>
      <c r="Z302" s="418"/>
      <c r="AA302" s="418"/>
      <c r="AB302" s="418"/>
      <c r="AC302" s="418"/>
      <c r="AD302" s="418"/>
    </row>
    <row r="303" spans="1:32" ht="37.5" customHeight="1" x14ac:dyDescent="0.2"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</row>
    <row r="304" spans="1:32" x14ac:dyDescent="0.2">
      <c r="M304" s="18"/>
      <c r="N304" s="18"/>
      <c r="O304" s="19"/>
      <c r="P304" s="20"/>
      <c r="Q304" s="20"/>
    </row>
  </sheetData>
  <mergeCells count="29">
    <mergeCell ref="Z2:AC2"/>
    <mergeCell ref="Z1:AC1"/>
    <mergeCell ref="T5:X5"/>
    <mergeCell ref="B4:B6"/>
    <mergeCell ref="O5:S5"/>
    <mergeCell ref="E5:I5"/>
    <mergeCell ref="Y5:AC5"/>
    <mergeCell ref="C4:C6"/>
    <mergeCell ref="A3:AC3"/>
    <mergeCell ref="J5:N5"/>
    <mergeCell ref="E4:AC4"/>
    <mergeCell ref="D4:D6"/>
    <mergeCell ref="A4:A6"/>
    <mergeCell ref="C302:AD302"/>
    <mergeCell ref="A8:AC8"/>
    <mergeCell ref="B9:AC9"/>
    <mergeCell ref="B291:AC291"/>
    <mergeCell ref="B45:AC45"/>
    <mergeCell ref="B76:AC76"/>
    <mergeCell ref="B98:AC98"/>
    <mergeCell ref="B263:AC263"/>
    <mergeCell ref="B267:AC267"/>
    <mergeCell ref="A208:AC208"/>
    <mergeCell ref="B10:AC10"/>
    <mergeCell ref="B34:AC34"/>
    <mergeCell ref="A297:C297"/>
    <mergeCell ref="A298:C298"/>
    <mergeCell ref="A299:C299"/>
    <mergeCell ref="B294:AC294"/>
  </mergeCells>
  <phoneticPr fontId="3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45" firstPageNumber="20" fitToHeight="0" orientation="landscape" useFirstPageNumber="1" r:id="rId1"/>
  <headerFooter alignWithMargins="0">
    <oddHeader>&amp;C&amp;P</oddHeader>
  </headerFooter>
  <rowBreaks count="18" manualBreakCount="18">
    <brk id="16" max="28" man="1"/>
    <brk id="30" max="28" man="1"/>
    <brk id="44" max="28" man="1"/>
    <brk id="53" max="28" man="1"/>
    <brk id="61" max="28" man="1"/>
    <brk id="72" max="28" man="1"/>
    <brk id="84" max="28" man="1"/>
    <brk id="93" max="28" man="1"/>
    <brk id="110" max="28" man="1"/>
    <brk id="125" max="28" man="1"/>
    <brk id="141" max="28" man="1"/>
    <brk id="156" max="28" man="1"/>
    <brk id="170" max="28" man="1"/>
    <brk id="184" max="28" man="1"/>
    <brk id="199" max="28" man="1"/>
    <brk id="218" max="28" man="1"/>
    <brk id="245" max="28" man="1"/>
    <brk id="268" max="2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I119"/>
  <sheetViews>
    <sheetView view="pageBreakPreview" topLeftCell="A8" zoomScale="50" zoomScaleNormal="100" zoomScaleSheetLayoutView="50" workbookViewId="0">
      <selection activeCell="Q125" sqref="Q125"/>
    </sheetView>
  </sheetViews>
  <sheetFormatPr defaultColWidth="9.140625" defaultRowHeight="42" customHeight="1" outlineLevelRow="1" x14ac:dyDescent="0.2"/>
  <cols>
    <col min="1" max="1" width="8.140625" style="28" customWidth="1"/>
    <col min="2" max="2" width="23.85546875" style="535" customWidth="1"/>
    <col min="3" max="3" width="19.7109375" style="40" customWidth="1"/>
    <col min="4" max="4" width="10.28515625" style="28" customWidth="1"/>
    <col min="5" max="5" width="14.140625" style="33" customWidth="1"/>
    <col min="6" max="6" width="12.85546875" style="28" customWidth="1"/>
    <col min="7" max="7" width="13.85546875" style="28" customWidth="1"/>
    <col min="8" max="8" width="13.5703125" style="28" customWidth="1"/>
    <col min="9" max="9" width="8.85546875" style="28" customWidth="1"/>
    <col min="10" max="10" width="13.85546875" style="33" customWidth="1"/>
    <col min="11" max="11" width="13.7109375" style="28" customWidth="1"/>
    <col min="12" max="12" width="13" style="28" customWidth="1"/>
    <col min="13" max="13" width="9.140625" style="28" customWidth="1"/>
    <col min="14" max="14" width="8.42578125" style="28" customWidth="1"/>
    <col min="15" max="15" width="13.85546875" style="33" customWidth="1"/>
    <col min="16" max="16" width="11.85546875" style="28" customWidth="1"/>
    <col min="17" max="17" width="15.140625" style="28" customWidth="1"/>
    <col min="18" max="18" width="8.5703125" style="28" customWidth="1"/>
    <col min="19" max="19" width="8.42578125" style="28" customWidth="1"/>
    <col min="20" max="20" width="14.42578125" style="33" customWidth="1"/>
    <col min="21" max="21" width="14.42578125" style="28" customWidth="1"/>
    <col min="22" max="22" width="16" style="28" customWidth="1"/>
    <col min="23" max="23" width="8.5703125" style="28" customWidth="1"/>
    <col min="24" max="24" width="8.42578125" style="28" customWidth="1"/>
    <col min="25" max="25" width="13.85546875" style="33" customWidth="1"/>
    <col min="26" max="26" width="14.140625" style="28" customWidth="1"/>
    <col min="27" max="27" width="13.85546875" style="28" customWidth="1"/>
    <col min="28" max="28" width="8.5703125" style="28" customWidth="1"/>
    <col min="29" max="29" width="7.7109375" style="28" customWidth="1"/>
    <col min="30" max="30" width="15.7109375" style="43" customWidth="1"/>
    <col min="31" max="31" width="16.28515625" style="28" bestFit="1" customWidth="1"/>
    <col min="32" max="32" width="14.7109375" style="28" customWidth="1"/>
    <col min="33" max="33" width="16.28515625" style="28" customWidth="1"/>
    <col min="34" max="34" width="9.28515625" style="28" bestFit="1" customWidth="1"/>
    <col min="35" max="16384" width="9.140625" style="28"/>
  </cols>
  <sheetData>
    <row r="1" spans="1:30" s="34" customFormat="1" ht="82.9" customHeight="1" x14ac:dyDescent="0.25">
      <c r="A1" s="109"/>
      <c r="B1" s="251"/>
      <c r="C1" s="252"/>
      <c r="D1" s="253"/>
      <c r="E1" s="110"/>
      <c r="J1" s="111"/>
      <c r="K1" s="35"/>
      <c r="L1" s="35"/>
      <c r="M1" s="35"/>
      <c r="N1" s="35"/>
      <c r="O1" s="28"/>
      <c r="P1" s="28"/>
      <c r="Q1" s="112"/>
      <c r="R1" s="28"/>
      <c r="S1" s="28"/>
      <c r="T1" s="28"/>
      <c r="U1" s="28"/>
      <c r="V1" s="28"/>
      <c r="W1" s="28"/>
      <c r="X1" s="28"/>
      <c r="Y1" s="33"/>
      <c r="Z1" s="28"/>
      <c r="AA1" s="410" t="s">
        <v>1379</v>
      </c>
      <c r="AB1" s="410"/>
      <c r="AC1" s="410"/>
      <c r="AD1" s="410"/>
    </row>
    <row r="2" spans="1:30" s="34" customFormat="1" ht="138" customHeight="1" x14ac:dyDescent="0.25">
      <c r="A2" s="109"/>
      <c r="B2" s="251"/>
      <c r="C2" s="252"/>
      <c r="D2" s="253"/>
      <c r="E2" s="110"/>
      <c r="J2" s="111"/>
      <c r="K2" s="35"/>
      <c r="L2" s="35"/>
      <c r="M2" s="35"/>
      <c r="N2" s="35"/>
      <c r="O2" s="28"/>
      <c r="P2" s="28"/>
      <c r="Q2" s="112"/>
      <c r="R2" s="28"/>
      <c r="S2" s="28"/>
      <c r="T2" s="28"/>
      <c r="U2" s="28"/>
      <c r="V2" s="28"/>
      <c r="W2" s="28"/>
      <c r="X2" s="28"/>
      <c r="Y2" s="33"/>
      <c r="Z2" s="28"/>
      <c r="AA2" s="409" t="s">
        <v>424</v>
      </c>
      <c r="AB2" s="409"/>
      <c r="AC2" s="409"/>
      <c r="AD2" s="409"/>
    </row>
    <row r="3" spans="1:30" ht="47.25" customHeight="1" x14ac:dyDescent="0.4">
      <c r="A3" s="45"/>
      <c r="B3" s="468" t="s">
        <v>1309</v>
      </c>
      <c r="C3" s="468"/>
      <c r="D3" s="468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</row>
    <row r="4" spans="1:30" ht="42" customHeight="1" x14ac:dyDescent="0.2">
      <c r="A4" s="404" t="s">
        <v>68</v>
      </c>
      <c r="B4" s="363" t="s">
        <v>67</v>
      </c>
      <c r="C4" s="363" t="s">
        <v>66</v>
      </c>
      <c r="D4" s="363" t="s">
        <v>74</v>
      </c>
      <c r="E4" s="456" t="s">
        <v>65</v>
      </c>
      <c r="F4" s="456"/>
      <c r="G4" s="456"/>
      <c r="H4" s="456"/>
      <c r="I4" s="456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13" t="s">
        <v>64</v>
      </c>
    </row>
    <row r="5" spans="1:30" ht="42" customHeight="1" x14ac:dyDescent="0.2">
      <c r="A5" s="404"/>
      <c r="B5" s="461"/>
      <c r="C5" s="363"/>
      <c r="D5" s="455"/>
      <c r="E5" s="467" t="s">
        <v>63</v>
      </c>
      <c r="F5" s="467"/>
      <c r="G5" s="467"/>
      <c r="H5" s="467"/>
      <c r="I5" s="467"/>
      <c r="J5" s="467" t="s">
        <v>62</v>
      </c>
      <c r="K5" s="467"/>
      <c r="L5" s="467"/>
      <c r="M5" s="467"/>
      <c r="N5" s="467"/>
      <c r="O5" s="467" t="s">
        <v>61</v>
      </c>
      <c r="P5" s="467"/>
      <c r="Q5" s="467"/>
      <c r="R5" s="467"/>
      <c r="S5" s="467"/>
      <c r="T5" s="467" t="s">
        <v>60</v>
      </c>
      <c r="U5" s="467"/>
      <c r="V5" s="467"/>
      <c r="W5" s="467"/>
      <c r="X5" s="467"/>
      <c r="Y5" s="467" t="s">
        <v>59</v>
      </c>
      <c r="Z5" s="467"/>
      <c r="AA5" s="467"/>
      <c r="AB5" s="467"/>
      <c r="AC5" s="467"/>
      <c r="AD5" s="413"/>
    </row>
    <row r="6" spans="1:30" ht="57.6" customHeight="1" x14ac:dyDescent="0.2">
      <c r="A6" s="404"/>
      <c r="B6" s="461"/>
      <c r="C6" s="363"/>
      <c r="D6" s="455"/>
      <c r="E6" s="46" t="s">
        <v>58</v>
      </c>
      <c r="F6" s="338" t="s">
        <v>87</v>
      </c>
      <c r="G6" s="338" t="s">
        <v>88</v>
      </c>
      <c r="H6" s="338" t="s">
        <v>56</v>
      </c>
      <c r="I6" s="338" t="s">
        <v>69</v>
      </c>
      <c r="J6" s="46" t="s">
        <v>58</v>
      </c>
      <c r="K6" s="338" t="s">
        <v>87</v>
      </c>
      <c r="L6" s="338" t="s">
        <v>88</v>
      </c>
      <c r="M6" s="338" t="s">
        <v>70</v>
      </c>
      <c r="N6" s="338" t="s">
        <v>69</v>
      </c>
      <c r="O6" s="46" t="s">
        <v>58</v>
      </c>
      <c r="P6" s="338" t="s">
        <v>87</v>
      </c>
      <c r="Q6" s="338" t="s">
        <v>88</v>
      </c>
      <c r="R6" s="338" t="s">
        <v>70</v>
      </c>
      <c r="S6" s="338" t="s">
        <v>69</v>
      </c>
      <c r="T6" s="46" t="s">
        <v>58</v>
      </c>
      <c r="U6" s="338" t="s">
        <v>87</v>
      </c>
      <c r="V6" s="338" t="s">
        <v>88</v>
      </c>
      <c r="W6" s="338" t="s">
        <v>70</v>
      </c>
      <c r="X6" s="338" t="s">
        <v>69</v>
      </c>
      <c r="Y6" s="46" t="s">
        <v>58</v>
      </c>
      <c r="Z6" s="338" t="s">
        <v>87</v>
      </c>
      <c r="AA6" s="338" t="s">
        <v>88</v>
      </c>
      <c r="AB6" s="338" t="s">
        <v>70</v>
      </c>
      <c r="AC6" s="338" t="s">
        <v>69</v>
      </c>
      <c r="AD6" s="413"/>
    </row>
    <row r="7" spans="1:30" s="254" customFormat="1" ht="25.15" customHeight="1" x14ac:dyDescent="0.25">
      <c r="A7" s="114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>
        <v>19</v>
      </c>
      <c r="T7" s="114">
        <v>20</v>
      </c>
      <c r="U7" s="114">
        <v>21</v>
      </c>
      <c r="V7" s="114">
        <v>22</v>
      </c>
      <c r="W7" s="114">
        <v>23</v>
      </c>
      <c r="X7" s="114">
        <v>24</v>
      </c>
      <c r="Y7" s="114">
        <v>25</v>
      </c>
      <c r="Z7" s="114">
        <v>26</v>
      </c>
      <c r="AA7" s="114">
        <v>27</v>
      </c>
      <c r="AB7" s="114">
        <v>28</v>
      </c>
      <c r="AC7" s="114">
        <v>29</v>
      </c>
      <c r="AD7" s="114">
        <v>30</v>
      </c>
    </row>
    <row r="8" spans="1:30" s="254" customFormat="1" ht="33" customHeight="1" x14ac:dyDescent="0.25">
      <c r="A8" s="470" t="s">
        <v>1075</v>
      </c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70"/>
      <c r="U8" s="470"/>
      <c r="V8" s="470"/>
      <c r="W8" s="470"/>
      <c r="X8" s="470"/>
      <c r="Y8" s="470"/>
      <c r="Z8" s="470"/>
      <c r="AA8" s="470"/>
      <c r="AB8" s="470"/>
      <c r="AC8" s="470"/>
      <c r="AD8" s="470"/>
    </row>
    <row r="9" spans="1:30" s="254" customFormat="1" ht="34.9" customHeight="1" x14ac:dyDescent="0.25">
      <c r="A9" s="255" t="s">
        <v>433</v>
      </c>
      <c r="B9" s="446" t="s">
        <v>1076</v>
      </c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  <c r="Y9" s="447"/>
      <c r="Z9" s="447"/>
      <c r="AA9" s="447"/>
      <c r="AB9" s="447"/>
      <c r="AC9" s="447"/>
      <c r="AD9" s="450"/>
    </row>
    <row r="10" spans="1:30" s="34" customFormat="1" ht="30" customHeight="1" x14ac:dyDescent="0.2">
      <c r="A10" s="458" t="s">
        <v>288</v>
      </c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8"/>
      <c r="AC10" s="458"/>
      <c r="AD10" s="458"/>
    </row>
    <row r="11" spans="1:30" s="34" customFormat="1" ht="34.9" customHeight="1" outlineLevel="1" x14ac:dyDescent="0.2">
      <c r="A11" s="471" t="s">
        <v>647</v>
      </c>
      <c r="B11" s="471"/>
      <c r="C11" s="471"/>
      <c r="D11" s="471"/>
      <c r="E11" s="471"/>
      <c r="F11" s="471"/>
      <c r="G11" s="471"/>
      <c r="H11" s="471"/>
      <c r="I11" s="471"/>
      <c r="J11" s="471"/>
      <c r="K11" s="471"/>
      <c r="L11" s="471"/>
      <c r="M11" s="471"/>
      <c r="N11" s="471"/>
      <c r="O11" s="471"/>
      <c r="P11" s="471"/>
      <c r="Q11" s="471"/>
      <c r="R11" s="471"/>
      <c r="S11" s="471"/>
      <c r="T11" s="471"/>
      <c r="U11" s="471"/>
      <c r="V11" s="471"/>
      <c r="W11" s="471"/>
      <c r="X11" s="471"/>
      <c r="Y11" s="471"/>
      <c r="Z11" s="471"/>
      <c r="AA11" s="471"/>
      <c r="AB11" s="471"/>
      <c r="AC11" s="471"/>
      <c r="AD11" s="471"/>
    </row>
    <row r="12" spans="1:30" s="34" customFormat="1" ht="38.25" customHeight="1" outlineLevel="1" x14ac:dyDescent="0.2">
      <c r="A12" s="319" t="s">
        <v>1</v>
      </c>
      <c r="B12" s="448" t="s">
        <v>432</v>
      </c>
      <c r="C12" s="449"/>
      <c r="D12" s="449"/>
      <c r="E12" s="449"/>
      <c r="F12" s="449"/>
      <c r="G12" s="449"/>
      <c r="H12" s="449"/>
      <c r="I12" s="449"/>
      <c r="J12" s="449"/>
      <c r="K12" s="449"/>
      <c r="L12" s="449"/>
      <c r="M12" s="449"/>
      <c r="N12" s="449"/>
      <c r="O12" s="449"/>
      <c r="P12" s="449"/>
      <c r="Q12" s="449"/>
      <c r="R12" s="449"/>
      <c r="S12" s="449"/>
      <c r="T12" s="449"/>
      <c r="U12" s="449"/>
      <c r="V12" s="449"/>
      <c r="W12" s="449"/>
      <c r="X12" s="449"/>
      <c r="Y12" s="449"/>
      <c r="Z12" s="449"/>
      <c r="AA12" s="449"/>
      <c r="AB12" s="449"/>
      <c r="AC12" s="449"/>
      <c r="AD12" s="454"/>
    </row>
    <row r="13" spans="1:30" s="40" customFormat="1" ht="88.15" customHeight="1" outlineLevel="1" x14ac:dyDescent="0.2">
      <c r="A13" s="256" t="s">
        <v>7</v>
      </c>
      <c r="B13" s="324" t="s">
        <v>196</v>
      </c>
      <c r="C13" s="338" t="s">
        <v>46</v>
      </c>
      <c r="D13" s="257" t="s">
        <v>43</v>
      </c>
      <c r="E13" s="341">
        <f t="shared" ref="E13:E21" si="0">F13+G13+H13+I13</f>
        <v>67429</v>
      </c>
      <c r="F13" s="340">
        <f>67429</f>
        <v>67429</v>
      </c>
      <c r="G13" s="340">
        <v>0</v>
      </c>
      <c r="H13" s="340">
        <v>0</v>
      </c>
      <c r="I13" s="340">
        <v>0</v>
      </c>
      <c r="J13" s="341">
        <f t="shared" ref="J13:J21" si="1">K13+L13+M13+N13</f>
        <v>19781</v>
      </c>
      <c r="K13" s="340">
        <f>6885+12896</f>
        <v>19781</v>
      </c>
      <c r="L13" s="340">
        <v>0</v>
      </c>
      <c r="M13" s="340">
        <v>0</v>
      </c>
      <c r="N13" s="340">
        <v>0</v>
      </c>
      <c r="O13" s="341">
        <f t="shared" ref="O13:O20" si="2">SUM(P13:S13)</f>
        <v>757</v>
      </c>
      <c r="P13" s="340">
        <f>30758-12896-17501-30+426</f>
        <v>757</v>
      </c>
      <c r="Q13" s="340">
        <v>0</v>
      </c>
      <c r="R13" s="340">
        <v>0</v>
      </c>
      <c r="S13" s="340">
        <v>0</v>
      </c>
      <c r="T13" s="341">
        <f t="shared" ref="T13:T20" si="3">SUM(U13:X13)</f>
        <v>20213</v>
      </c>
      <c r="U13" s="340">
        <f>30758-22399-1128-23+13546-541</f>
        <v>20213</v>
      </c>
      <c r="V13" s="340">
        <v>0</v>
      </c>
      <c r="W13" s="340">
        <v>0</v>
      </c>
      <c r="X13" s="340">
        <v>0</v>
      </c>
      <c r="Y13" s="341">
        <f t="shared" ref="Y13:Y20" si="4">SUM(Z13:AC13)</f>
        <v>80060</v>
      </c>
      <c r="Z13" s="340">
        <f>34182+3431+38092+4355</f>
        <v>80060</v>
      </c>
      <c r="AA13" s="340">
        <v>0</v>
      </c>
      <c r="AB13" s="340">
        <v>0</v>
      </c>
      <c r="AC13" s="340">
        <v>0</v>
      </c>
      <c r="AD13" s="341">
        <f t="shared" ref="AD13:AD19" si="5">E13+J13+O13+T13+Y13</f>
        <v>188240</v>
      </c>
    </row>
    <row r="14" spans="1:30" s="40" customFormat="1" ht="117" customHeight="1" outlineLevel="1" x14ac:dyDescent="0.2">
      <c r="A14" s="336" t="s">
        <v>14</v>
      </c>
      <c r="B14" s="324" t="s">
        <v>344</v>
      </c>
      <c r="C14" s="338" t="s">
        <v>46</v>
      </c>
      <c r="D14" s="258" t="s">
        <v>624</v>
      </c>
      <c r="E14" s="341">
        <f t="shared" si="0"/>
        <v>1235</v>
      </c>
      <c r="F14" s="340">
        <v>1235</v>
      </c>
      <c r="G14" s="340">
        <v>0</v>
      </c>
      <c r="H14" s="340">
        <v>0</v>
      </c>
      <c r="I14" s="340">
        <v>0</v>
      </c>
      <c r="J14" s="341">
        <f t="shared" si="1"/>
        <v>741</v>
      </c>
      <c r="K14" s="340">
        <v>741</v>
      </c>
      <c r="L14" s="340">
        <v>0</v>
      </c>
      <c r="M14" s="340">
        <v>0</v>
      </c>
      <c r="N14" s="340">
        <v>0</v>
      </c>
      <c r="O14" s="341">
        <f t="shared" si="2"/>
        <v>115</v>
      </c>
      <c r="P14" s="340">
        <f>0+115</f>
        <v>115</v>
      </c>
      <c r="Q14" s="340">
        <v>0</v>
      </c>
      <c r="R14" s="340">
        <v>0</v>
      </c>
      <c r="S14" s="340">
        <v>0</v>
      </c>
      <c r="T14" s="341">
        <f t="shared" si="3"/>
        <v>1174</v>
      </c>
      <c r="U14" s="340">
        <f>23+119+71+882+79</f>
        <v>1174</v>
      </c>
      <c r="V14" s="340">
        <v>0</v>
      </c>
      <c r="W14" s="340">
        <v>0</v>
      </c>
      <c r="X14" s="340">
        <v>0</v>
      </c>
      <c r="Y14" s="341">
        <f t="shared" si="4"/>
        <v>11</v>
      </c>
      <c r="Z14" s="340">
        <v>11</v>
      </c>
      <c r="AA14" s="340">
        <v>0</v>
      </c>
      <c r="AB14" s="340">
        <v>0</v>
      </c>
      <c r="AC14" s="340">
        <v>0</v>
      </c>
      <c r="AD14" s="341">
        <f t="shared" si="5"/>
        <v>3276</v>
      </c>
    </row>
    <row r="15" spans="1:30" ht="99" customHeight="1" outlineLevel="1" x14ac:dyDescent="0.2">
      <c r="A15" s="336" t="s">
        <v>25</v>
      </c>
      <c r="B15" s="324" t="s">
        <v>54</v>
      </c>
      <c r="C15" s="338" t="s">
        <v>46</v>
      </c>
      <c r="D15" s="259" t="s">
        <v>43</v>
      </c>
      <c r="E15" s="341">
        <f t="shared" si="0"/>
        <v>1644</v>
      </c>
      <c r="F15" s="340">
        <v>1644</v>
      </c>
      <c r="G15" s="340">
        <v>0</v>
      </c>
      <c r="H15" s="340">
        <v>0</v>
      </c>
      <c r="I15" s="340">
        <v>0</v>
      </c>
      <c r="J15" s="341">
        <f t="shared" si="1"/>
        <v>1472</v>
      </c>
      <c r="K15" s="340">
        <v>1472</v>
      </c>
      <c r="L15" s="340">
        <v>0</v>
      </c>
      <c r="M15" s="340">
        <v>0</v>
      </c>
      <c r="N15" s="340">
        <v>0</v>
      </c>
      <c r="O15" s="341">
        <f t="shared" si="2"/>
        <v>4212</v>
      </c>
      <c r="P15" s="340">
        <f>1368-668+1946+117-708+676+1409+418+253+200-396-403</f>
        <v>4212</v>
      </c>
      <c r="Q15" s="340">
        <v>0</v>
      </c>
      <c r="R15" s="340">
        <v>0</v>
      </c>
      <c r="S15" s="340">
        <v>0</v>
      </c>
      <c r="T15" s="341">
        <f t="shared" si="3"/>
        <v>8783</v>
      </c>
      <c r="U15" s="340">
        <f>1368+3232-3797+8055+17-92</f>
        <v>8783</v>
      </c>
      <c r="V15" s="340">
        <v>0</v>
      </c>
      <c r="W15" s="340">
        <v>0</v>
      </c>
      <c r="X15" s="340">
        <v>0</v>
      </c>
      <c r="Y15" s="341">
        <f t="shared" si="4"/>
        <v>6804</v>
      </c>
      <c r="Z15" s="340">
        <f>4463-3099+5440</f>
        <v>6804</v>
      </c>
      <c r="AA15" s="340">
        <v>0</v>
      </c>
      <c r="AB15" s="340">
        <v>0</v>
      </c>
      <c r="AC15" s="340">
        <v>0</v>
      </c>
      <c r="AD15" s="341">
        <f t="shared" si="5"/>
        <v>22915</v>
      </c>
    </row>
    <row r="16" spans="1:30" ht="94.9" customHeight="1" outlineLevel="1" x14ac:dyDescent="0.2">
      <c r="A16" s="336" t="s">
        <v>440</v>
      </c>
      <c r="B16" s="324" t="s">
        <v>301</v>
      </c>
      <c r="C16" s="338" t="s">
        <v>53</v>
      </c>
      <c r="D16" s="258" t="s">
        <v>43</v>
      </c>
      <c r="E16" s="341">
        <f t="shared" si="0"/>
        <v>1020</v>
      </c>
      <c r="F16" s="340">
        <v>1020</v>
      </c>
      <c r="G16" s="340">
        <v>0</v>
      </c>
      <c r="H16" s="340">
        <v>0</v>
      </c>
      <c r="I16" s="340">
        <v>0</v>
      </c>
      <c r="J16" s="341">
        <f t="shared" si="1"/>
        <v>1570</v>
      </c>
      <c r="K16" s="340">
        <f>1286+283+1</f>
        <v>1570</v>
      </c>
      <c r="L16" s="340">
        <v>0</v>
      </c>
      <c r="M16" s="340">
        <v>0</v>
      </c>
      <c r="N16" s="340">
        <v>0</v>
      </c>
      <c r="O16" s="341">
        <f t="shared" si="2"/>
        <v>838</v>
      </c>
      <c r="P16" s="340">
        <f>94+838-94</f>
        <v>838</v>
      </c>
      <c r="Q16" s="340">
        <v>0</v>
      </c>
      <c r="R16" s="340">
        <v>0</v>
      </c>
      <c r="S16" s="340">
        <v>0</v>
      </c>
      <c r="T16" s="341">
        <f t="shared" si="3"/>
        <v>6082</v>
      </c>
      <c r="U16" s="340">
        <f>14338+5164-14339+283+1848-289-180-606-137</f>
        <v>6082</v>
      </c>
      <c r="V16" s="340">
        <v>0</v>
      </c>
      <c r="W16" s="340">
        <v>0</v>
      </c>
      <c r="X16" s="340">
        <v>0</v>
      </c>
      <c r="Y16" s="341">
        <f t="shared" si="4"/>
        <v>5068</v>
      </c>
      <c r="Z16" s="340">
        <f>632+230+3086+1169-332+283</f>
        <v>5068</v>
      </c>
      <c r="AA16" s="340">
        <v>0</v>
      </c>
      <c r="AB16" s="340">
        <v>0</v>
      </c>
      <c r="AC16" s="340">
        <v>0</v>
      </c>
      <c r="AD16" s="341">
        <f t="shared" si="5"/>
        <v>14578</v>
      </c>
    </row>
    <row r="17" spans="1:30" ht="96" customHeight="1" outlineLevel="1" x14ac:dyDescent="0.2">
      <c r="A17" s="464" t="s">
        <v>441</v>
      </c>
      <c r="B17" s="459" t="s">
        <v>52</v>
      </c>
      <c r="C17" s="462" t="s">
        <v>46</v>
      </c>
      <c r="D17" s="259" t="s">
        <v>43</v>
      </c>
      <c r="E17" s="341">
        <f t="shared" si="0"/>
        <v>8411</v>
      </c>
      <c r="F17" s="340">
        <v>8411</v>
      </c>
      <c r="G17" s="340">
        <v>0</v>
      </c>
      <c r="H17" s="340">
        <v>0</v>
      </c>
      <c r="I17" s="340">
        <v>0</v>
      </c>
      <c r="J17" s="260">
        <f t="shared" si="1"/>
        <v>3081</v>
      </c>
      <c r="K17" s="261">
        <f>7310-5219+841+153-4</f>
        <v>3081</v>
      </c>
      <c r="L17" s="340">
        <v>0</v>
      </c>
      <c r="M17" s="340">
        <v>0</v>
      </c>
      <c r="N17" s="340">
        <v>0</v>
      </c>
      <c r="O17" s="341">
        <f t="shared" si="2"/>
        <v>4934</v>
      </c>
      <c r="P17" s="340">
        <f>8219-6307+105+772-157-71+3259-1234+348</f>
        <v>4934</v>
      </c>
      <c r="Q17" s="340">
        <v>0</v>
      </c>
      <c r="R17" s="340">
        <v>0</v>
      </c>
      <c r="S17" s="340">
        <v>0</v>
      </c>
      <c r="T17" s="341">
        <f t="shared" si="3"/>
        <v>10726</v>
      </c>
      <c r="U17" s="340">
        <f>4085+4159+70+1617+1168-373</f>
        <v>10726</v>
      </c>
      <c r="V17" s="340">
        <v>0</v>
      </c>
      <c r="W17" s="340">
        <v>0</v>
      </c>
      <c r="X17" s="340">
        <v>0</v>
      </c>
      <c r="Y17" s="341">
        <f>SUM(Z17:AC17)</f>
        <v>16516</v>
      </c>
      <c r="Z17" s="340">
        <f>9782+15692-1169-17210-11+9432</f>
        <v>16516</v>
      </c>
      <c r="AA17" s="340">
        <v>0</v>
      </c>
      <c r="AB17" s="340">
        <v>0</v>
      </c>
      <c r="AC17" s="340">
        <v>0</v>
      </c>
      <c r="AD17" s="341">
        <f t="shared" si="5"/>
        <v>43668</v>
      </c>
    </row>
    <row r="18" spans="1:30" ht="96" customHeight="1" outlineLevel="1" x14ac:dyDescent="0.2">
      <c r="A18" s="465"/>
      <c r="B18" s="460"/>
      <c r="C18" s="463"/>
      <c r="D18" s="259" t="s">
        <v>558</v>
      </c>
      <c r="E18" s="341">
        <v>0</v>
      </c>
      <c r="F18" s="340">
        <v>0</v>
      </c>
      <c r="G18" s="340">
        <v>0</v>
      </c>
      <c r="H18" s="340">
        <v>0</v>
      </c>
      <c r="I18" s="340">
        <v>0</v>
      </c>
      <c r="J18" s="260">
        <v>0</v>
      </c>
      <c r="K18" s="261">
        <v>0</v>
      </c>
      <c r="L18" s="340">
        <v>0</v>
      </c>
      <c r="M18" s="340">
        <v>0</v>
      </c>
      <c r="N18" s="340">
        <v>0</v>
      </c>
      <c r="O18" s="341">
        <f t="shared" si="2"/>
        <v>3417</v>
      </c>
      <c r="P18" s="340">
        <f>3417</f>
        <v>3417</v>
      </c>
      <c r="Q18" s="340">
        <v>0</v>
      </c>
      <c r="R18" s="340">
        <v>0</v>
      </c>
      <c r="S18" s="340">
        <v>0</v>
      </c>
      <c r="T18" s="341">
        <v>0</v>
      </c>
      <c r="U18" s="340">
        <v>0</v>
      </c>
      <c r="V18" s="340">
        <v>0</v>
      </c>
      <c r="W18" s="340">
        <v>0</v>
      </c>
      <c r="X18" s="340">
        <v>0</v>
      </c>
      <c r="Y18" s="341">
        <v>0</v>
      </c>
      <c r="Z18" s="340">
        <v>0</v>
      </c>
      <c r="AA18" s="340">
        <v>0</v>
      </c>
      <c r="AB18" s="340">
        <v>0</v>
      </c>
      <c r="AC18" s="340">
        <v>0</v>
      </c>
      <c r="AD18" s="341">
        <f t="shared" si="5"/>
        <v>3417</v>
      </c>
    </row>
    <row r="19" spans="1:30" ht="135.75" customHeight="1" outlineLevel="1" x14ac:dyDescent="0.2">
      <c r="A19" s="336" t="s">
        <v>442</v>
      </c>
      <c r="B19" s="324" t="s">
        <v>303</v>
      </c>
      <c r="C19" s="338" t="s">
        <v>46</v>
      </c>
      <c r="D19" s="258" t="s">
        <v>43</v>
      </c>
      <c r="E19" s="341">
        <f t="shared" si="0"/>
        <v>817</v>
      </c>
      <c r="F19" s="340">
        <v>817</v>
      </c>
      <c r="G19" s="340">
        <v>0</v>
      </c>
      <c r="H19" s="340">
        <v>0</v>
      </c>
      <c r="I19" s="340">
        <v>0</v>
      </c>
      <c r="J19" s="341">
        <f t="shared" si="1"/>
        <v>2512</v>
      </c>
      <c r="K19" s="340">
        <f>1695+817</f>
        <v>2512</v>
      </c>
      <c r="L19" s="340">
        <v>0</v>
      </c>
      <c r="M19" s="340">
        <v>0</v>
      </c>
      <c r="N19" s="340">
        <v>0</v>
      </c>
      <c r="O19" s="341">
        <f t="shared" si="2"/>
        <v>4617</v>
      </c>
      <c r="P19" s="340">
        <f>615+578+1853+2512-486-423-32</f>
        <v>4617</v>
      </c>
      <c r="Q19" s="340">
        <v>0</v>
      </c>
      <c r="R19" s="340">
        <v>0</v>
      </c>
      <c r="S19" s="340">
        <v>0</v>
      </c>
      <c r="T19" s="341">
        <f t="shared" si="3"/>
        <v>8504</v>
      </c>
      <c r="U19" s="340">
        <f>3573+4915+817-119-71-20-355-79-104-53</f>
        <v>8504</v>
      </c>
      <c r="V19" s="340">
        <v>0</v>
      </c>
      <c r="W19" s="340">
        <v>0</v>
      </c>
      <c r="X19" s="340">
        <v>0</v>
      </c>
      <c r="Y19" s="341">
        <f t="shared" si="4"/>
        <v>15923</v>
      </c>
      <c r="Z19" s="340">
        <f>3719-3719+10355+5568</f>
        <v>15923</v>
      </c>
      <c r="AA19" s="340">
        <v>0</v>
      </c>
      <c r="AB19" s="340">
        <v>0</v>
      </c>
      <c r="AC19" s="340">
        <v>0</v>
      </c>
      <c r="AD19" s="341">
        <f t="shared" si="5"/>
        <v>32373</v>
      </c>
    </row>
    <row r="20" spans="1:30" ht="135.75" customHeight="1" outlineLevel="1" x14ac:dyDescent="0.2">
      <c r="A20" s="336" t="s">
        <v>443</v>
      </c>
      <c r="B20" s="324" t="s">
        <v>353</v>
      </c>
      <c r="C20" s="338" t="s">
        <v>604</v>
      </c>
      <c r="D20" s="258" t="s">
        <v>501</v>
      </c>
      <c r="E20" s="341">
        <f t="shared" si="0"/>
        <v>0</v>
      </c>
      <c r="F20" s="340">
        <v>0</v>
      </c>
      <c r="G20" s="340">
        <v>0</v>
      </c>
      <c r="H20" s="340">
        <v>0</v>
      </c>
      <c r="I20" s="340">
        <v>0</v>
      </c>
      <c r="J20" s="341">
        <f t="shared" si="1"/>
        <v>0</v>
      </c>
      <c r="K20" s="340">
        <f>8629-8629</f>
        <v>0</v>
      </c>
      <c r="L20" s="340">
        <v>0</v>
      </c>
      <c r="M20" s="340">
        <v>0</v>
      </c>
      <c r="N20" s="340">
        <v>0</v>
      </c>
      <c r="O20" s="341">
        <f t="shared" si="2"/>
        <v>10733</v>
      </c>
      <c r="P20" s="340">
        <v>10733</v>
      </c>
      <c r="Q20" s="340">
        <v>0</v>
      </c>
      <c r="R20" s="340">
        <v>0</v>
      </c>
      <c r="S20" s="340">
        <v>0</v>
      </c>
      <c r="T20" s="341">
        <f t="shared" si="3"/>
        <v>0</v>
      </c>
      <c r="U20" s="340">
        <v>0</v>
      </c>
      <c r="V20" s="340">
        <v>0</v>
      </c>
      <c r="W20" s="340">
        <v>0</v>
      </c>
      <c r="X20" s="340">
        <v>0</v>
      </c>
      <c r="Y20" s="341">
        <f t="shared" si="4"/>
        <v>0</v>
      </c>
      <c r="Z20" s="340">
        <v>0</v>
      </c>
      <c r="AA20" s="340">
        <v>0</v>
      </c>
      <c r="AB20" s="340">
        <v>0</v>
      </c>
      <c r="AC20" s="340">
        <v>0</v>
      </c>
      <c r="AD20" s="341">
        <f>E20+J20+O20+T20+Y20</f>
        <v>10733</v>
      </c>
    </row>
    <row r="21" spans="1:30" ht="132" customHeight="1" outlineLevel="1" x14ac:dyDescent="0.2">
      <c r="A21" s="336" t="s">
        <v>533</v>
      </c>
      <c r="B21" s="262" t="s">
        <v>538</v>
      </c>
      <c r="C21" s="338" t="s">
        <v>46</v>
      </c>
      <c r="D21" s="263" t="s">
        <v>501</v>
      </c>
      <c r="E21" s="341">
        <f t="shared" si="0"/>
        <v>0</v>
      </c>
      <c r="F21" s="340">
        <v>0</v>
      </c>
      <c r="G21" s="340">
        <v>0</v>
      </c>
      <c r="H21" s="340">
        <v>0</v>
      </c>
      <c r="I21" s="340">
        <v>0</v>
      </c>
      <c r="J21" s="341">
        <f t="shared" si="1"/>
        <v>0</v>
      </c>
      <c r="K21" s="340">
        <f>8629-8629</f>
        <v>0</v>
      </c>
      <c r="L21" s="340">
        <v>0</v>
      </c>
      <c r="M21" s="340">
        <v>0</v>
      </c>
      <c r="N21" s="340">
        <v>0</v>
      </c>
      <c r="O21" s="341">
        <f>SUM(P21:S21)</f>
        <v>296</v>
      </c>
      <c r="P21" s="340">
        <f>486-190</f>
        <v>296</v>
      </c>
      <c r="Q21" s="340">
        <v>0</v>
      </c>
      <c r="R21" s="340">
        <v>0</v>
      </c>
      <c r="S21" s="340">
        <v>0</v>
      </c>
      <c r="T21" s="341">
        <f>SUM(U21:X21)</f>
        <v>0</v>
      </c>
      <c r="U21" s="340">
        <v>0</v>
      </c>
      <c r="V21" s="340">
        <v>0</v>
      </c>
      <c r="W21" s="340">
        <v>0</v>
      </c>
      <c r="X21" s="340">
        <v>0</v>
      </c>
      <c r="Y21" s="341">
        <f>SUM(Z21:AC21)</f>
        <v>0</v>
      </c>
      <c r="Z21" s="340">
        <v>0</v>
      </c>
      <c r="AA21" s="340">
        <v>0</v>
      </c>
      <c r="AB21" s="340">
        <v>0</v>
      </c>
      <c r="AC21" s="340">
        <v>0</v>
      </c>
      <c r="AD21" s="341">
        <f>E21+J21+O21+T21+Y21</f>
        <v>296</v>
      </c>
    </row>
    <row r="22" spans="1:30" ht="132" customHeight="1" outlineLevel="1" x14ac:dyDescent="0.2">
      <c r="A22" s="336" t="s">
        <v>570</v>
      </c>
      <c r="B22" s="264" t="s">
        <v>591</v>
      </c>
      <c r="C22" s="338" t="s">
        <v>46</v>
      </c>
      <c r="D22" s="263" t="s">
        <v>586</v>
      </c>
      <c r="E22" s="341">
        <v>0</v>
      </c>
      <c r="F22" s="340">
        <v>0</v>
      </c>
      <c r="G22" s="340">
        <v>0</v>
      </c>
      <c r="H22" s="340">
        <v>0</v>
      </c>
      <c r="I22" s="340">
        <v>0</v>
      </c>
      <c r="J22" s="341">
        <v>0</v>
      </c>
      <c r="K22" s="340">
        <v>0</v>
      </c>
      <c r="L22" s="340">
        <v>0</v>
      </c>
      <c r="M22" s="340">
        <v>0</v>
      </c>
      <c r="N22" s="340">
        <v>0</v>
      </c>
      <c r="O22" s="341">
        <v>0</v>
      </c>
      <c r="P22" s="340">
        <v>0</v>
      </c>
      <c r="Q22" s="340">
        <v>0</v>
      </c>
      <c r="R22" s="340">
        <v>0</v>
      </c>
      <c r="S22" s="340">
        <v>0</v>
      </c>
      <c r="T22" s="341">
        <f>SUM(U22:X22)</f>
        <v>993</v>
      </c>
      <c r="U22" s="340">
        <v>993</v>
      </c>
      <c r="V22" s="340">
        <v>0</v>
      </c>
      <c r="W22" s="340">
        <v>0</v>
      </c>
      <c r="X22" s="340">
        <v>0</v>
      </c>
      <c r="Y22" s="341">
        <f>SUM(Z22:AC22)</f>
        <v>1000</v>
      </c>
      <c r="Z22" s="340">
        <v>1000</v>
      </c>
      <c r="AA22" s="340">
        <v>0</v>
      </c>
      <c r="AB22" s="340">
        <v>0</v>
      </c>
      <c r="AC22" s="340">
        <v>0</v>
      </c>
      <c r="AD22" s="341">
        <f>E22+J22+O22+T22+Y22</f>
        <v>1993</v>
      </c>
    </row>
    <row r="23" spans="1:30" ht="132" customHeight="1" outlineLevel="1" x14ac:dyDescent="0.2">
      <c r="A23" s="336" t="s">
        <v>1312</v>
      </c>
      <c r="B23" s="264" t="s">
        <v>1369</v>
      </c>
      <c r="C23" s="338" t="s">
        <v>46</v>
      </c>
      <c r="D23" s="263" t="s">
        <v>1313</v>
      </c>
      <c r="E23" s="341">
        <v>0</v>
      </c>
      <c r="F23" s="340">
        <v>0</v>
      </c>
      <c r="G23" s="340">
        <v>0</v>
      </c>
      <c r="H23" s="340">
        <v>0</v>
      </c>
      <c r="I23" s="340">
        <v>0</v>
      </c>
      <c r="J23" s="341">
        <v>0</v>
      </c>
      <c r="K23" s="340">
        <v>0</v>
      </c>
      <c r="L23" s="340">
        <v>0</v>
      </c>
      <c r="M23" s="340">
        <v>0</v>
      </c>
      <c r="N23" s="340">
        <v>0</v>
      </c>
      <c r="O23" s="341">
        <v>0</v>
      </c>
      <c r="P23" s="340">
        <v>0</v>
      </c>
      <c r="Q23" s="340">
        <v>0</v>
      </c>
      <c r="R23" s="340">
        <v>0</v>
      </c>
      <c r="S23" s="340">
        <v>0</v>
      </c>
      <c r="T23" s="341">
        <f>SUM(U23:X23)</f>
        <v>5751</v>
      </c>
      <c r="U23" s="340">
        <f>626+5125</f>
        <v>5751</v>
      </c>
      <c r="V23" s="340">
        <v>0</v>
      </c>
      <c r="W23" s="340">
        <v>0</v>
      </c>
      <c r="X23" s="340">
        <v>0</v>
      </c>
      <c r="Y23" s="341">
        <f>SUM(Z23:AC23)</f>
        <v>0</v>
      </c>
      <c r="Z23" s="340">
        <v>0</v>
      </c>
      <c r="AA23" s="340">
        <v>0</v>
      </c>
      <c r="AB23" s="340">
        <v>0</v>
      </c>
      <c r="AC23" s="340">
        <v>0</v>
      </c>
      <c r="AD23" s="341">
        <f>E23+J23+O23+T23+Y23</f>
        <v>5751</v>
      </c>
    </row>
    <row r="24" spans="1:30" ht="40.9" customHeight="1" outlineLevel="1" x14ac:dyDescent="0.2">
      <c r="A24" s="255" t="s">
        <v>9</v>
      </c>
      <c r="B24" s="446" t="s">
        <v>444</v>
      </c>
      <c r="C24" s="447"/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  <c r="P24" s="447"/>
      <c r="Q24" s="447"/>
      <c r="R24" s="447"/>
      <c r="S24" s="447"/>
      <c r="T24" s="447"/>
      <c r="U24" s="447"/>
      <c r="V24" s="447"/>
      <c r="W24" s="447"/>
      <c r="X24" s="447"/>
      <c r="Y24" s="447"/>
      <c r="Z24" s="447"/>
      <c r="AA24" s="447"/>
      <c r="AB24" s="447"/>
      <c r="AC24" s="447"/>
      <c r="AD24" s="450"/>
    </row>
    <row r="25" spans="1:30" ht="118.9" customHeight="1" outlineLevel="1" x14ac:dyDescent="0.2">
      <c r="A25" s="256" t="s">
        <v>10</v>
      </c>
      <c r="B25" s="324" t="s">
        <v>213</v>
      </c>
      <c r="C25" s="338" t="s">
        <v>605</v>
      </c>
      <c r="D25" s="257" t="s">
        <v>219</v>
      </c>
      <c r="E25" s="341">
        <f>SUM(F25:I25)</f>
        <v>51269</v>
      </c>
      <c r="F25" s="340">
        <f>46195+1408+1630+2036</f>
        <v>51269</v>
      </c>
      <c r="G25" s="340">
        <v>0</v>
      </c>
      <c r="H25" s="340">
        <v>0</v>
      </c>
      <c r="I25" s="340">
        <v>0</v>
      </c>
      <c r="J25" s="341">
        <f>SUM(K25:N25)</f>
        <v>13924</v>
      </c>
      <c r="K25" s="340">
        <f>11888+2036</f>
        <v>13924</v>
      </c>
      <c r="L25" s="340">
        <v>0</v>
      </c>
      <c r="M25" s="340">
        <v>0</v>
      </c>
      <c r="N25" s="340">
        <v>0</v>
      </c>
      <c r="O25" s="341">
        <f t="shared" ref="O25:O34" si="6">SUM(P25:S25)</f>
        <v>35262</v>
      </c>
      <c r="P25" s="340">
        <f>11888+2036+1353+2370+4401+11012+1873+329</f>
        <v>35262</v>
      </c>
      <c r="Q25" s="340">
        <v>0</v>
      </c>
      <c r="R25" s="340">
        <v>0</v>
      </c>
      <c r="S25" s="340">
        <v>0</v>
      </c>
      <c r="T25" s="341">
        <f t="shared" ref="T25:T33" si="7">SUM(U25:X25)</f>
        <v>45752</v>
      </c>
      <c r="U25" s="340">
        <f>13924-11424+9529+1838+109+31404-2310+2310-477-227+743+596-390+127</f>
        <v>45752</v>
      </c>
      <c r="V25" s="340">
        <v>0</v>
      </c>
      <c r="W25" s="340">
        <v>0</v>
      </c>
      <c r="X25" s="340">
        <v>0</v>
      </c>
      <c r="Y25" s="341">
        <f t="shared" ref="Y25:Y33" si="8">SUM(Z25:AC25)</f>
        <v>13139</v>
      </c>
      <c r="Z25" s="340">
        <f>29000+781-27281-2+8271+164+2206</f>
        <v>13139</v>
      </c>
      <c r="AA25" s="340">
        <v>0</v>
      </c>
      <c r="AB25" s="340">
        <v>0</v>
      </c>
      <c r="AC25" s="340">
        <v>0</v>
      </c>
      <c r="AD25" s="341">
        <f t="shared" ref="AD25:AD35" si="9">E25+J25+O25+T25+Y25</f>
        <v>159346</v>
      </c>
    </row>
    <row r="26" spans="1:30" ht="126" customHeight="1" outlineLevel="1" x14ac:dyDescent="0.2">
      <c r="A26" s="309" t="s">
        <v>11</v>
      </c>
      <c r="B26" s="324" t="s">
        <v>51</v>
      </c>
      <c r="C26" s="338" t="s">
        <v>46</v>
      </c>
      <c r="D26" s="257" t="s">
        <v>554</v>
      </c>
      <c r="E26" s="341">
        <f>F26+G26+H26+I26</f>
        <v>0</v>
      </c>
      <c r="F26" s="340">
        <v>0</v>
      </c>
      <c r="G26" s="340">
        <v>0</v>
      </c>
      <c r="H26" s="340">
        <v>0</v>
      </c>
      <c r="I26" s="340">
        <v>0</v>
      </c>
      <c r="J26" s="341">
        <f>K26+L26</f>
        <v>0</v>
      </c>
      <c r="K26" s="340">
        <v>0</v>
      </c>
      <c r="L26" s="340">
        <v>0</v>
      </c>
      <c r="M26" s="340">
        <v>0</v>
      </c>
      <c r="N26" s="340">
        <v>0</v>
      </c>
      <c r="O26" s="341">
        <f t="shared" si="6"/>
        <v>0</v>
      </c>
      <c r="P26" s="340">
        <f>1417-578-583-29-214-13</f>
        <v>0</v>
      </c>
      <c r="Q26" s="340">
        <v>0</v>
      </c>
      <c r="R26" s="340">
        <v>0</v>
      </c>
      <c r="S26" s="340">
        <v>0</v>
      </c>
      <c r="T26" s="341">
        <f t="shared" si="7"/>
        <v>821</v>
      </c>
      <c r="U26" s="340">
        <f>1417+3469-4281-10+271-22-23</f>
        <v>821</v>
      </c>
      <c r="V26" s="340">
        <v>0</v>
      </c>
      <c r="W26" s="340">
        <v>0</v>
      </c>
      <c r="X26" s="340">
        <v>0</v>
      </c>
      <c r="Y26" s="341">
        <f t="shared" si="8"/>
        <v>2247</v>
      </c>
      <c r="Z26" s="340">
        <f>256-69+2060</f>
        <v>2247</v>
      </c>
      <c r="AA26" s="340">
        <v>0</v>
      </c>
      <c r="AB26" s="340">
        <v>0</v>
      </c>
      <c r="AC26" s="340">
        <v>0</v>
      </c>
      <c r="AD26" s="341">
        <f t="shared" si="9"/>
        <v>3068</v>
      </c>
    </row>
    <row r="27" spans="1:30" ht="223.5" customHeight="1" outlineLevel="1" x14ac:dyDescent="0.2">
      <c r="A27" s="336" t="s">
        <v>16</v>
      </c>
      <c r="B27" s="324" t="s">
        <v>197</v>
      </c>
      <c r="C27" s="338" t="s">
        <v>1423</v>
      </c>
      <c r="D27" s="257" t="s">
        <v>499</v>
      </c>
      <c r="E27" s="341">
        <f>F27+G27+H27+I27</f>
        <v>5379</v>
      </c>
      <c r="F27" s="340">
        <v>5379</v>
      </c>
      <c r="G27" s="340">
        <v>0</v>
      </c>
      <c r="H27" s="340">
        <v>0</v>
      </c>
      <c r="I27" s="340">
        <v>0</v>
      </c>
      <c r="J27" s="260">
        <f>K27+L27+M27+N27</f>
        <v>8539</v>
      </c>
      <c r="K27" s="261">
        <f>5209+3483-153</f>
        <v>8539</v>
      </c>
      <c r="L27" s="340">
        <v>0</v>
      </c>
      <c r="M27" s="340">
        <v>0</v>
      </c>
      <c r="N27" s="340">
        <v>0</v>
      </c>
      <c r="O27" s="341">
        <f t="shared" si="6"/>
        <v>1149</v>
      </c>
      <c r="P27" s="340">
        <f>12265-10932-82-20-82</f>
        <v>1149</v>
      </c>
      <c r="Q27" s="340">
        <v>0</v>
      </c>
      <c r="R27" s="340">
        <v>0</v>
      </c>
      <c r="S27" s="340">
        <v>0</v>
      </c>
      <c r="T27" s="341">
        <f t="shared" si="7"/>
        <v>0</v>
      </c>
      <c r="U27" s="340">
        <f>12265-12265+18810-8428-6805-3577</f>
        <v>0</v>
      </c>
      <c r="V27" s="340">
        <v>0</v>
      </c>
      <c r="W27" s="340">
        <v>0</v>
      </c>
      <c r="X27" s="340">
        <v>0</v>
      </c>
      <c r="Y27" s="341">
        <f t="shared" si="8"/>
        <v>4698</v>
      </c>
      <c r="Z27" s="340">
        <v>4698</v>
      </c>
      <c r="AA27" s="340">
        <v>0</v>
      </c>
      <c r="AB27" s="340">
        <v>0</v>
      </c>
      <c r="AC27" s="340">
        <v>0</v>
      </c>
      <c r="AD27" s="341">
        <f t="shared" si="9"/>
        <v>19765</v>
      </c>
    </row>
    <row r="28" spans="1:30" ht="109.5" customHeight="1" outlineLevel="1" x14ac:dyDescent="0.2">
      <c r="A28" s="336" t="s">
        <v>445</v>
      </c>
      <c r="B28" s="324" t="s">
        <v>218</v>
      </c>
      <c r="C28" s="338" t="s">
        <v>46</v>
      </c>
      <c r="D28" s="257" t="s">
        <v>549</v>
      </c>
      <c r="E28" s="341">
        <v>0</v>
      </c>
      <c r="F28" s="340">
        <v>0</v>
      </c>
      <c r="G28" s="340">
        <v>0</v>
      </c>
      <c r="H28" s="340">
        <v>0</v>
      </c>
      <c r="I28" s="340">
        <v>0</v>
      </c>
      <c r="J28" s="341">
        <f>K28+L28</f>
        <v>65</v>
      </c>
      <c r="K28" s="340">
        <v>65</v>
      </c>
      <c r="L28" s="340">
        <v>0</v>
      </c>
      <c r="M28" s="340">
        <v>0</v>
      </c>
      <c r="N28" s="340">
        <v>0</v>
      </c>
      <c r="O28" s="341">
        <f t="shared" si="6"/>
        <v>1041</v>
      </c>
      <c r="P28" s="340">
        <f>1076-35</f>
        <v>1041</v>
      </c>
      <c r="Q28" s="340">
        <v>0</v>
      </c>
      <c r="R28" s="340">
        <v>0</v>
      </c>
      <c r="S28" s="340">
        <v>0</v>
      </c>
      <c r="T28" s="341">
        <f t="shared" si="7"/>
        <v>0</v>
      </c>
      <c r="U28" s="340">
        <f>1752-1752</f>
        <v>0</v>
      </c>
      <c r="V28" s="340">
        <v>0</v>
      </c>
      <c r="W28" s="340">
        <v>0</v>
      </c>
      <c r="X28" s="340">
        <v>0</v>
      </c>
      <c r="Y28" s="341">
        <f t="shared" si="8"/>
        <v>0</v>
      </c>
      <c r="Z28" s="340">
        <f>2170-2170</f>
        <v>0</v>
      </c>
      <c r="AA28" s="340">
        <v>0</v>
      </c>
      <c r="AB28" s="340">
        <v>0</v>
      </c>
      <c r="AC28" s="340">
        <v>0</v>
      </c>
      <c r="AD28" s="341">
        <f t="shared" si="9"/>
        <v>1106</v>
      </c>
    </row>
    <row r="29" spans="1:30" ht="82.9" customHeight="1" outlineLevel="1" x14ac:dyDescent="0.2">
      <c r="A29" s="336" t="s">
        <v>446</v>
      </c>
      <c r="B29" s="324" t="s">
        <v>201</v>
      </c>
      <c r="C29" s="338" t="s">
        <v>46</v>
      </c>
      <c r="D29" s="257" t="s">
        <v>499</v>
      </c>
      <c r="E29" s="341">
        <f>F29+G29+H29+I29</f>
        <v>3478</v>
      </c>
      <c r="F29" s="340">
        <v>3478</v>
      </c>
      <c r="G29" s="340">
        <v>0</v>
      </c>
      <c r="H29" s="340">
        <v>0</v>
      </c>
      <c r="I29" s="340">
        <v>0</v>
      </c>
      <c r="J29" s="341">
        <f>K29+L29+M29+N29</f>
        <v>797</v>
      </c>
      <c r="K29" s="340">
        <f>4667-3870</f>
        <v>797</v>
      </c>
      <c r="L29" s="340">
        <v>0</v>
      </c>
      <c r="M29" s="340">
        <v>0</v>
      </c>
      <c r="N29" s="340">
        <v>0</v>
      </c>
      <c r="O29" s="341">
        <f t="shared" si="6"/>
        <v>2723</v>
      </c>
      <c r="P29" s="340">
        <f>57-57+2619+104</f>
        <v>2723</v>
      </c>
      <c r="Q29" s="340">
        <v>0</v>
      </c>
      <c r="R29" s="340">
        <v>0</v>
      </c>
      <c r="S29" s="340">
        <v>0</v>
      </c>
      <c r="T29" s="341">
        <f t="shared" si="7"/>
        <v>0</v>
      </c>
      <c r="U29" s="340">
        <v>0</v>
      </c>
      <c r="V29" s="340">
        <v>0</v>
      </c>
      <c r="W29" s="340">
        <v>0</v>
      </c>
      <c r="X29" s="340">
        <v>0</v>
      </c>
      <c r="Y29" s="341">
        <f t="shared" si="8"/>
        <v>0</v>
      </c>
      <c r="Z29" s="340">
        <v>0</v>
      </c>
      <c r="AA29" s="340">
        <v>0</v>
      </c>
      <c r="AB29" s="340">
        <v>0</v>
      </c>
      <c r="AC29" s="340">
        <v>0</v>
      </c>
      <c r="AD29" s="341">
        <f t="shared" si="9"/>
        <v>6998</v>
      </c>
    </row>
    <row r="30" spans="1:30" ht="94.9" customHeight="1" outlineLevel="1" x14ac:dyDescent="0.2">
      <c r="A30" s="336" t="s">
        <v>447</v>
      </c>
      <c r="B30" s="324" t="s">
        <v>215</v>
      </c>
      <c r="C30" s="338" t="s">
        <v>606</v>
      </c>
      <c r="D30" s="324" t="s">
        <v>43</v>
      </c>
      <c r="E30" s="341">
        <f>F30</f>
        <v>1700</v>
      </c>
      <c r="F30" s="340">
        <v>1700</v>
      </c>
      <c r="G30" s="340">
        <v>0</v>
      </c>
      <c r="H30" s="340">
        <v>0</v>
      </c>
      <c r="I30" s="340">
        <v>0</v>
      </c>
      <c r="J30" s="341">
        <f>K30</f>
        <v>2742</v>
      </c>
      <c r="K30" s="340">
        <f>2000+147+411+184</f>
        <v>2742</v>
      </c>
      <c r="L30" s="340">
        <v>0</v>
      </c>
      <c r="M30" s="340">
        <v>0</v>
      </c>
      <c r="N30" s="340">
        <v>0</v>
      </c>
      <c r="O30" s="341">
        <f t="shared" si="6"/>
        <v>2996</v>
      </c>
      <c r="P30" s="340">
        <f>2000+996</f>
        <v>2996</v>
      </c>
      <c r="Q30" s="340">
        <v>0</v>
      </c>
      <c r="R30" s="340">
        <v>0</v>
      </c>
      <c r="S30" s="340">
        <v>0</v>
      </c>
      <c r="T30" s="341">
        <f t="shared" si="7"/>
        <v>5529</v>
      </c>
      <c r="U30" s="340">
        <f>2000+3529+1838-1838</f>
        <v>5529</v>
      </c>
      <c r="V30" s="340">
        <v>0</v>
      </c>
      <c r="W30" s="340">
        <v>0</v>
      </c>
      <c r="X30" s="340">
        <v>0</v>
      </c>
      <c r="Y30" s="341">
        <f t="shared" si="8"/>
        <v>0</v>
      </c>
      <c r="Z30" s="340">
        <f>4500+1029+2742-8271</f>
        <v>0</v>
      </c>
      <c r="AA30" s="340">
        <v>0</v>
      </c>
      <c r="AB30" s="340">
        <v>0</v>
      </c>
      <c r="AC30" s="340">
        <v>0</v>
      </c>
      <c r="AD30" s="341">
        <f t="shared" si="9"/>
        <v>12967</v>
      </c>
    </row>
    <row r="31" spans="1:30" ht="100.9" customHeight="1" outlineLevel="1" x14ac:dyDescent="0.2">
      <c r="A31" s="336" t="s">
        <v>448</v>
      </c>
      <c r="B31" s="324" t="s">
        <v>1364</v>
      </c>
      <c r="C31" s="338" t="s">
        <v>606</v>
      </c>
      <c r="D31" s="324">
        <v>2024</v>
      </c>
      <c r="E31" s="341">
        <f>SUM(F31:I31)</f>
        <v>0</v>
      </c>
      <c r="F31" s="340">
        <v>0</v>
      </c>
      <c r="G31" s="340">
        <v>0</v>
      </c>
      <c r="H31" s="340">
        <v>0</v>
      </c>
      <c r="I31" s="340">
        <v>0</v>
      </c>
      <c r="J31" s="341">
        <f>SUM(K31:N31)</f>
        <v>0</v>
      </c>
      <c r="K31" s="340">
        <v>0</v>
      </c>
      <c r="L31" s="340">
        <v>0</v>
      </c>
      <c r="M31" s="340">
        <v>0</v>
      </c>
      <c r="N31" s="340">
        <v>0</v>
      </c>
      <c r="O31" s="341">
        <f t="shared" si="6"/>
        <v>0</v>
      </c>
      <c r="P31" s="340">
        <v>0</v>
      </c>
      <c r="Q31" s="340">
        <v>0</v>
      </c>
      <c r="R31" s="340">
        <v>0</v>
      </c>
      <c r="S31" s="340">
        <v>0</v>
      </c>
      <c r="T31" s="341">
        <f t="shared" si="7"/>
        <v>6896</v>
      </c>
      <c r="U31" s="340">
        <f>7370-474</f>
        <v>6896</v>
      </c>
      <c r="V31" s="340">
        <v>0</v>
      </c>
      <c r="W31" s="340">
        <v>0</v>
      </c>
      <c r="X31" s="340">
        <v>0</v>
      </c>
      <c r="Y31" s="341">
        <f t="shared" si="8"/>
        <v>0</v>
      </c>
      <c r="Z31" s="340">
        <f>893-893</f>
        <v>0</v>
      </c>
      <c r="AA31" s="340">
        <v>0</v>
      </c>
      <c r="AB31" s="340">
        <v>0</v>
      </c>
      <c r="AC31" s="340">
        <v>0</v>
      </c>
      <c r="AD31" s="341">
        <f t="shared" si="9"/>
        <v>6896</v>
      </c>
    </row>
    <row r="32" spans="1:30" ht="112.9" customHeight="1" outlineLevel="1" x14ac:dyDescent="0.2">
      <c r="A32" s="336" t="s">
        <v>449</v>
      </c>
      <c r="B32" s="324" t="s">
        <v>49</v>
      </c>
      <c r="C32" s="338" t="s">
        <v>606</v>
      </c>
      <c r="D32" s="259" t="s">
        <v>43</v>
      </c>
      <c r="E32" s="341">
        <f>SUM(F32:I32)</f>
        <v>3594</v>
      </c>
      <c r="F32" s="340">
        <v>3594</v>
      </c>
      <c r="G32" s="340">
        <v>0</v>
      </c>
      <c r="H32" s="340">
        <v>0</v>
      </c>
      <c r="I32" s="340">
        <v>0</v>
      </c>
      <c r="J32" s="341">
        <f>SUM(K32:N32)</f>
        <v>3788</v>
      </c>
      <c r="K32" s="340">
        <f>4176-388</f>
        <v>3788</v>
      </c>
      <c r="L32" s="340">
        <v>0</v>
      </c>
      <c r="M32" s="340">
        <v>0</v>
      </c>
      <c r="N32" s="340">
        <v>0</v>
      </c>
      <c r="O32" s="341">
        <f t="shared" si="6"/>
        <v>5988</v>
      </c>
      <c r="P32" s="340">
        <f>4575-399+1812</f>
        <v>5988</v>
      </c>
      <c r="Q32" s="340">
        <v>0</v>
      </c>
      <c r="R32" s="340">
        <v>0</v>
      </c>
      <c r="S32" s="340">
        <v>0</v>
      </c>
      <c r="T32" s="341">
        <f t="shared" si="7"/>
        <v>4666</v>
      </c>
      <c r="U32" s="340">
        <f>4575-233-4342+5347-1608-95-536-617+2175</f>
        <v>4666</v>
      </c>
      <c r="V32" s="340">
        <v>0</v>
      </c>
      <c r="W32" s="340">
        <v>0</v>
      </c>
      <c r="X32" s="340">
        <v>0</v>
      </c>
      <c r="Y32" s="341">
        <f t="shared" si="8"/>
        <v>5812</v>
      </c>
      <c r="Z32" s="340">
        <f>4176+166-1768+2935+303</f>
        <v>5812</v>
      </c>
      <c r="AA32" s="340">
        <v>0</v>
      </c>
      <c r="AB32" s="340">
        <v>0</v>
      </c>
      <c r="AC32" s="340">
        <v>0</v>
      </c>
      <c r="AD32" s="341">
        <f t="shared" si="9"/>
        <v>23848</v>
      </c>
    </row>
    <row r="33" spans="1:34" ht="202.5" customHeight="1" outlineLevel="1" x14ac:dyDescent="0.2">
      <c r="A33" s="336" t="s">
        <v>450</v>
      </c>
      <c r="B33" s="324" t="s">
        <v>422</v>
      </c>
      <c r="C33" s="338" t="s">
        <v>1397</v>
      </c>
      <c r="D33" s="324" t="s">
        <v>500</v>
      </c>
      <c r="E33" s="341">
        <f>SUM(F33:I33)</f>
        <v>0</v>
      </c>
      <c r="F33" s="340">
        <v>0</v>
      </c>
      <c r="G33" s="340">
        <v>0</v>
      </c>
      <c r="H33" s="340">
        <v>0</v>
      </c>
      <c r="I33" s="340">
        <v>0</v>
      </c>
      <c r="J33" s="341">
        <f>SUM(K33:N33)</f>
        <v>716</v>
      </c>
      <c r="K33" s="340">
        <f>1557-841</f>
        <v>716</v>
      </c>
      <c r="L33" s="340">
        <v>0</v>
      </c>
      <c r="M33" s="340">
        <v>0</v>
      </c>
      <c r="N33" s="340">
        <v>0</v>
      </c>
      <c r="O33" s="341">
        <f t="shared" si="6"/>
        <v>1049</v>
      </c>
      <c r="P33" s="340">
        <f>117+684-117-486+518+687+161+23+130-668</f>
        <v>1049</v>
      </c>
      <c r="Q33" s="340">
        <v>0</v>
      </c>
      <c r="R33" s="340">
        <v>0</v>
      </c>
      <c r="S33" s="340">
        <v>0</v>
      </c>
      <c r="T33" s="341">
        <f t="shared" si="7"/>
        <v>5020</v>
      </c>
      <c r="U33" s="340">
        <f>716-113+4656-408+221-52</f>
        <v>5020</v>
      </c>
      <c r="V33" s="340">
        <v>0</v>
      </c>
      <c r="W33" s="340">
        <v>0</v>
      </c>
      <c r="X33" s="340">
        <v>0</v>
      </c>
      <c r="Y33" s="341">
        <f t="shared" si="8"/>
        <v>1785</v>
      </c>
      <c r="Z33" s="340">
        <f>1785</f>
        <v>1785</v>
      </c>
      <c r="AA33" s="340">
        <v>0</v>
      </c>
      <c r="AB33" s="340">
        <v>0</v>
      </c>
      <c r="AC33" s="340">
        <v>0</v>
      </c>
      <c r="AD33" s="341">
        <f t="shared" si="9"/>
        <v>8570</v>
      </c>
    </row>
    <row r="34" spans="1:34" ht="225" customHeight="1" outlineLevel="1" x14ac:dyDescent="0.2">
      <c r="A34" s="336" t="s">
        <v>451</v>
      </c>
      <c r="B34" s="324" t="s">
        <v>609</v>
      </c>
      <c r="C34" s="338" t="s">
        <v>623</v>
      </c>
      <c r="D34" s="324" t="s">
        <v>500</v>
      </c>
      <c r="E34" s="341">
        <f>F34+G34+H34+I34</f>
        <v>0</v>
      </c>
      <c r="F34" s="340">
        <v>0</v>
      </c>
      <c r="G34" s="340">
        <v>0</v>
      </c>
      <c r="H34" s="340">
        <v>0</v>
      </c>
      <c r="I34" s="340">
        <v>0</v>
      </c>
      <c r="J34" s="341">
        <f>K34+L34+M34+N34</f>
        <v>314</v>
      </c>
      <c r="K34" s="340">
        <v>314</v>
      </c>
      <c r="L34" s="340">
        <v>0</v>
      </c>
      <c r="M34" s="340">
        <v>0</v>
      </c>
      <c r="N34" s="340">
        <v>0</v>
      </c>
      <c r="O34" s="341">
        <f t="shared" si="6"/>
        <v>314</v>
      </c>
      <c r="P34" s="340">
        <v>314</v>
      </c>
      <c r="Q34" s="340">
        <v>0</v>
      </c>
      <c r="R34" s="340">
        <v>0</v>
      </c>
      <c r="S34" s="340">
        <v>0</v>
      </c>
      <c r="T34" s="341">
        <f>SUM(U34:X34)</f>
        <v>3317</v>
      </c>
      <c r="U34" s="340">
        <f>458+2386+1183-458-126-126</f>
        <v>3317</v>
      </c>
      <c r="V34" s="340">
        <v>0</v>
      </c>
      <c r="W34" s="340">
        <v>0</v>
      </c>
      <c r="X34" s="340">
        <v>0</v>
      </c>
      <c r="Y34" s="341">
        <f>SUM(Z34:AC34)</f>
        <v>0</v>
      </c>
      <c r="Z34" s="340">
        <v>0</v>
      </c>
      <c r="AA34" s="340">
        <v>0</v>
      </c>
      <c r="AB34" s="340">
        <v>0</v>
      </c>
      <c r="AC34" s="340">
        <v>0</v>
      </c>
      <c r="AD34" s="341">
        <f t="shared" si="9"/>
        <v>3945</v>
      </c>
    </row>
    <row r="35" spans="1:34" ht="112.9" customHeight="1" outlineLevel="1" x14ac:dyDescent="0.2">
      <c r="A35" s="336" t="s">
        <v>452</v>
      </c>
      <c r="B35" s="324" t="s">
        <v>395</v>
      </c>
      <c r="C35" s="338" t="s">
        <v>46</v>
      </c>
      <c r="D35" s="324" t="s">
        <v>625</v>
      </c>
      <c r="E35" s="341">
        <f>SUM(F35:I35)</f>
        <v>0</v>
      </c>
      <c r="F35" s="340">
        <v>0</v>
      </c>
      <c r="G35" s="340">
        <v>0</v>
      </c>
      <c r="H35" s="340">
        <v>0</v>
      </c>
      <c r="I35" s="340">
        <v>0</v>
      </c>
      <c r="J35" s="341">
        <f>K35+L35+M35+N35</f>
        <v>2279</v>
      </c>
      <c r="K35" s="340">
        <v>2279</v>
      </c>
      <c r="L35" s="340">
        <v>0</v>
      </c>
      <c r="M35" s="340">
        <v>0</v>
      </c>
      <c r="N35" s="340">
        <v>0</v>
      </c>
      <c r="O35" s="341">
        <f>SUM(P35:S35)</f>
        <v>0</v>
      </c>
      <c r="P35" s="340">
        <v>0</v>
      </c>
      <c r="Q35" s="340">
        <v>0</v>
      </c>
      <c r="R35" s="340">
        <v>0</v>
      </c>
      <c r="S35" s="340">
        <v>0</v>
      </c>
      <c r="T35" s="341">
        <f>SUM(U35:X35)</f>
        <v>245</v>
      </c>
      <c r="U35" s="340">
        <f>456-209-2</f>
        <v>245</v>
      </c>
      <c r="V35" s="340">
        <v>0</v>
      </c>
      <c r="W35" s="340">
        <v>0</v>
      </c>
      <c r="X35" s="340">
        <v>0</v>
      </c>
      <c r="Y35" s="341">
        <f>SUM(Z35:AC35)</f>
        <v>3274</v>
      </c>
      <c r="Z35" s="340">
        <f>5500-2226</f>
        <v>3274</v>
      </c>
      <c r="AA35" s="340">
        <v>0</v>
      </c>
      <c r="AB35" s="340">
        <v>0</v>
      </c>
      <c r="AC35" s="340">
        <v>0</v>
      </c>
      <c r="AD35" s="341">
        <f t="shared" si="9"/>
        <v>5798</v>
      </c>
    </row>
    <row r="36" spans="1:34" ht="112.9" customHeight="1" outlineLevel="1" x14ac:dyDescent="0.2">
      <c r="A36" s="336" t="s">
        <v>453</v>
      </c>
      <c r="B36" s="324" t="s">
        <v>399</v>
      </c>
      <c r="C36" s="338" t="s">
        <v>46</v>
      </c>
      <c r="D36" s="324" t="s">
        <v>135</v>
      </c>
      <c r="E36" s="341">
        <f>SUM(F36:I36)</f>
        <v>0</v>
      </c>
      <c r="F36" s="340">
        <v>0</v>
      </c>
      <c r="G36" s="340">
        <v>0</v>
      </c>
      <c r="H36" s="340">
        <v>0</v>
      </c>
      <c r="I36" s="340">
        <v>0</v>
      </c>
      <c r="J36" s="341">
        <f>K36+L36+M36+N36</f>
        <v>6496</v>
      </c>
      <c r="K36" s="340">
        <v>6496</v>
      </c>
      <c r="L36" s="340">
        <v>0</v>
      </c>
      <c r="M36" s="340">
        <v>0</v>
      </c>
      <c r="N36" s="340">
        <v>0</v>
      </c>
      <c r="O36" s="341">
        <f>SUM(P36:S36)</f>
        <v>4570</v>
      </c>
      <c r="P36" s="340">
        <f>3914+214+442</f>
        <v>4570</v>
      </c>
      <c r="Q36" s="340">
        <v>0</v>
      </c>
      <c r="R36" s="340">
        <v>0</v>
      </c>
      <c r="S36" s="340">
        <v>0</v>
      </c>
      <c r="T36" s="341">
        <f>SUM(U36:X36)</f>
        <v>3164</v>
      </c>
      <c r="U36" s="340">
        <f>1403+1255+539-227+227-33</f>
        <v>3164</v>
      </c>
      <c r="V36" s="340">
        <v>0</v>
      </c>
      <c r="W36" s="340">
        <v>0</v>
      </c>
      <c r="X36" s="340">
        <v>0</v>
      </c>
      <c r="Y36" s="341">
        <f>SUM(Z36:AC36)</f>
        <v>0</v>
      </c>
      <c r="Z36" s="340">
        <f>1812-1812</f>
        <v>0</v>
      </c>
      <c r="AA36" s="340">
        <v>0</v>
      </c>
      <c r="AB36" s="340">
        <v>0</v>
      </c>
      <c r="AC36" s="340">
        <v>0</v>
      </c>
      <c r="AD36" s="341">
        <f>E36+J36+O36+T36+Y36</f>
        <v>14230</v>
      </c>
    </row>
    <row r="37" spans="1:34" ht="46.9" customHeight="1" outlineLevel="1" x14ac:dyDescent="0.2">
      <c r="A37" s="255" t="s">
        <v>15</v>
      </c>
      <c r="B37" s="446" t="s">
        <v>431</v>
      </c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  <c r="X37" s="447"/>
      <c r="Y37" s="447"/>
      <c r="Z37" s="447"/>
      <c r="AA37" s="447"/>
      <c r="AB37" s="447"/>
      <c r="AC37" s="447"/>
      <c r="AD37" s="450"/>
    </row>
    <row r="38" spans="1:34" ht="94.9" customHeight="1" outlineLevel="1" x14ac:dyDescent="0.2">
      <c r="A38" s="343" t="s">
        <v>126</v>
      </c>
      <c r="B38" s="342" t="s">
        <v>47</v>
      </c>
      <c r="C38" s="344" t="s">
        <v>606</v>
      </c>
      <c r="D38" s="259" t="s">
        <v>43</v>
      </c>
      <c r="E38" s="265">
        <f>F38+G38+H38+I38</f>
        <v>27036</v>
      </c>
      <c r="F38" s="340">
        <v>27036</v>
      </c>
      <c r="G38" s="340">
        <v>0</v>
      </c>
      <c r="H38" s="340">
        <v>0</v>
      </c>
      <c r="I38" s="340">
        <v>0</v>
      </c>
      <c r="J38" s="341">
        <f>K38+L38+M38+N38</f>
        <v>35037</v>
      </c>
      <c r="K38" s="340">
        <f>34053+19+526+786-411-184+388-1-139</f>
        <v>35037</v>
      </c>
      <c r="L38" s="340">
        <v>0</v>
      </c>
      <c r="M38" s="340">
        <v>0</v>
      </c>
      <c r="N38" s="340">
        <v>0</v>
      </c>
      <c r="O38" s="341">
        <f>SUM(P38:S38)</f>
        <v>44468</v>
      </c>
      <c r="P38" s="340">
        <f>32839+12411+642-2-121+130-1431</f>
        <v>44468</v>
      </c>
      <c r="Q38" s="340">
        <v>0</v>
      </c>
      <c r="R38" s="340">
        <v>0</v>
      </c>
      <c r="S38" s="340">
        <v>0</v>
      </c>
      <c r="T38" s="341">
        <f>SUM(U38:X38)</f>
        <v>71296</v>
      </c>
      <c r="U38" s="340">
        <f>32839+12529+4342+22211+3858+17024-16499-607-170+379+462-5212-571+711</f>
        <v>71296</v>
      </c>
      <c r="V38" s="340">
        <v>0</v>
      </c>
      <c r="W38" s="340">
        <v>0</v>
      </c>
      <c r="X38" s="340">
        <v>0</v>
      </c>
      <c r="Y38" s="341">
        <f>SUM(Z38:AC38)</f>
        <v>79400</v>
      </c>
      <c r="Z38" s="340">
        <f>26539+300+18529+1768+18371+1516+7202+5175</f>
        <v>79400</v>
      </c>
      <c r="AA38" s="340">
        <v>0</v>
      </c>
      <c r="AB38" s="340">
        <v>0</v>
      </c>
      <c r="AC38" s="340">
        <v>0</v>
      </c>
      <c r="AD38" s="341">
        <f>E38+J38+O38+T38+Y38</f>
        <v>257237</v>
      </c>
    </row>
    <row r="39" spans="1:34" ht="94.9" customHeight="1" outlineLevel="1" x14ac:dyDescent="0.2">
      <c r="A39" s="266" t="s">
        <v>1331</v>
      </c>
      <c r="B39" s="446" t="s">
        <v>1345</v>
      </c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50"/>
    </row>
    <row r="40" spans="1:34" ht="156.75" customHeight="1" outlineLevel="1" x14ac:dyDescent="0.2">
      <c r="A40" s="325" t="s">
        <v>1332</v>
      </c>
      <c r="B40" s="324" t="s">
        <v>1340</v>
      </c>
      <c r="C40" s="338" t="s">
        <v>1338</v>
      </c>
      <c r="D40" s="267" t="s">
        <v>554</v>
      </c>
      <c r="E40" s="340" t="s">
        <v>97</v>
      </c>
      <c r="F40" s="340" t="s">
        <v>97</v>
      </c>
      <c r="G40" s="340" t="s">
        <v>97</v>
      </c>
      <c r="H40" s="340" t="s">
        <v>97</v>
      </c>
      <c r="I40" s="340" t="s">
        <v>97</v>
      </c>
      <c r="J40" s="340" t="s">
        <v>97</v>
      </c>
      <c r="K40" s="340" t="s">
        <v>97</v>
      </c>
      <c r="L40" s="340" t="s">
        <v>97</v>
      </c>
      <c r="M40" s="340" t="s">
        <v>97</v>
      </c>
      <c r="N40" s="340" t="s">
        <v>97</v>
      </c>
      <c r="O40" s="340" t="s">
        <v>97</v>
      </c>
      <c r="P40" s="340" t="s">
        <v>97</v>
      </c>
      <c r="Q40" s="340" t="s">
        <v>97</v>
      </c>
      <c r="R40" s="340" t="s">
        <v>97</v>
      </c>
      <c r="S40" s="340" t="s">
        <v>97</v>
      </c>
      <c r="T40" s="341">
        <v>0</v>
      </c>
      <c r="U40" s="340">
        <v>0</v>
      </c>
      <c r="V40" s="340">
        <v>0</v>
      </c>
      <c r="W40" s="340">
        <v>0</v>
      </c>
      <c r="X40" s="340">
        <v>0</v>
      </c>
      <c r="Y40" s="341">
        <v>0</v>
      </c>
      <c r="Z40" s="340">
        <v>0</v>
      </c>
      <c r="AA40" s="340">
        <v>0</v>
      </c>
      <c r="AB40" s="340">
        <v>0</v>
      </c>
      <c r="AC40" s="340">
        <v>0</v>
      </c>
      <c r="AD40" s="341">
        <v>0</v>
      </c>
    </row>
    <row r="41" spans="1:34" ht="262.5" customHeight="1" outlineLevel="1" x14ac:dyDescent="0.2">
      <c r="A41" s="325" t="s">
        <v>1333</v>
      </c>
      <c r="B41" s="324" t="s">
        <v>1368</v>
      </c>
      <c r="C41" s="338" t="s">
        <v>1338</v>
      </c>
      <c r="D41" s="267" t="s">
        <v>554</v>
      </c>
      <c r="E41" s="340" t="s">
        <v>97</v>
      </c>
      <c r="F41" s="340" t="s">
        <v>97</v>
      </c>
      <c r="G41" s="340" t="s">
        <v>97</v>
      </c>
      <c r="H41" s="340" t="s">
        <v>97</v>
      </c>
      <c r="I41" s="340" t="s">
        <v>97</v>
      </c>
      <c r="J41" s="340" t="s">
        <v>97</v>
      </c>
      <c r="K41" s="340" t="s">
        <v>97</v>
      </c>
      <c r="L41" s="340" t="s">
        <v>97</v>
      </c>
      <c r="M41" s="340" t="s">
        <v>97</v>
      </c>
      <c r="N41" s="340" t="s">
        <v>97</v>
      </c>
      <c r="O41" s="340" t="s">
        <v>97</v>
      </c>
      <c r="P41" s="340" t="s">
        <v>97</v>
      </c>
      <c r="Q41" s="340" t="s">
        <v>97</v>
      </c>
      <c r="R41" s="340" t="s">
        <v>97</v>
      </c>
      <c r="S41" s="340" t="s">
        <v>97</v>
      </c>
      <c r="T41" s="341">
        <v>0</v>
      </c>
      <c r="U41" s="340">
        <v>0</v>
      </c>
      <c r="V41" s="340">
        <v>0</v>
      </c>
      <c r="W41" s="340">
        <v>0</v>
      </c>
      <c r="X41" s="340">
        <v>0</v>
      </c>
      <c r="Y41" s="341">
        <v>0</v>
      </c>
      <c r="Z41" s="340">
        <v>0</v>
      </c>
      <c r="AA41" s="340">
        <v>0</v>
      </c>
      <c r="AB41" s="340">
        <v>0</v>
      </c>
      <c r="AC41" s="340">
        <v>0</v>
      </c>
      <c r="AD41" s="341">
        <v>0</v>
      </c>
    </row>
    <row r="42" spans="1:34" ht="135" customHeight="1" outlineLevel="1" x14ac:dyDescent="0.2">
      <c r="A42" s="325" t="s">
        <v>1334</v>
      </c>
      <c r="B42" s="324" t="s">
        <v>1339</v>
      </c>
      <c r="C42" s="338" t="s">
        <v>1338</v>
      </c>
      <c r="D42" s="267" t="s">
        <v>554</v>
      </c>
      <c r="E42" s="340" t="s">
        <v>97</v>
      </c>
      <c r="F42" s="340" t="s">
        <v>97</v>
      </c>
      <c r="G42" s="340" t="s">
        <v>97</v>
      </c>
      <c r="H42" s="340" t="s">
        <v>97</v>
      </c>
      <c r="I42" s="340" t="s">
        <v>97</v>
      </c>
      <c r="J42" s="340" t="s">
        <v>97</v>
      </c>
      <c r="K42" s="340" t="s">
        <v>97</v>
      </c>
      <c r="L42" s="340" t="s">
        <v>97</v>
      </c>
      <c r="M42" s="340" t="s">
        <v>97</v>
      </c>
      <c r="N42" s="340" t="s">
        <v>97</v>
      </c>
      <c r="O42" s="340" t="s">
        <v>97</v>
      </c>
      <c r="P42" s="340" t="s">
        <v>97</v>
      </c>
      <c r="Q42" s="340" t="s">
        <v>97</v>
      </c>
      <c r="R42" s="340" t="s">
        <v>97</v>
      </c>
      <c r="S42" s="340" t="s">
        <v>97</v>
      </c>
      <c r="T42" s="341">
        <v>0</v>
      </c>
      <c r="U42" s="340">
        <v>0</v>
      </c>
      <c r="V42" s="340">
        <v>0</v>
      </c>
      <c r="W42" s="340">
        <v>0</v>
      </c>
      <c r="X42" s="340">
        <v>0</v>
      </c>
      <c r="Y42" s="341">
        <v>0</v>
      </c>
      <c r="Z42" s="340">
        <v>0</v>
      </c>
      <c r="AA42" s="340">
        <v>0</v>
      </c>
      <c r="AB42" s="340">
        <v>0</v>
      </c>
      <c r="AC42" s="340">
        <v>0</v>
      </c>
      <c r="AD42" s="341">
        <v>0</v>
      </c>
    </row>
    <row r="43" spans="1:34" ht="120" customHeight="1" outlineLevel="1" x14ac:dyDescent="0.2">
      <c r="A43" s="325" t="s">
        <v>1335</v>
      </c>
      <c r="B43" s="324" t="s">
        <v>1344</v>
      </c>
      <c r="C43" s="338" t="s">
        <v>1338</v>
      </c>
      <c r="D43" s="267" t="s">
        <v>554</v>
      </c>
      <c r="E43" s="340" t="s">
        <v>97</v>
      </c>
      <c r="F43" s="340" t="s">
        <v>97</v>
      </c>
      <c r="G43" s="340" t="s">
        <v>97</v>
      </c>
      <c r="H43" s="340" t="s">
        <v>97</v>
      </c>
      <c r="I43" s="340" t="s">
        <v>97</v>
      </c>
      <c r="J43" s="340" t="s">
        <v>97</v>
      </c>
      <c r="K43" s="340" t="s">
        <v>97</v>
      </c>
      <c r="L43" s="340" t="s">
        <v>97</v>
      </c>
      <c r="M43" s="340" t="s">
        <v>97</v>
      </c>
      <c r="N43" s="340" t="s">
        <v>97</v>
      </c>
      <c r="O43" s="340" t="s">
        <v>97</v>
      </c>
      <c r="P43" s="340" t="s">
        <v>97</v>
      </c>
      <c r="Q43" s="340" t="s">
        <v>97</v>
      </c>
      <c r="R43" s="340" t="s">
        <v>97</v>
      </c>
      <c r="S43" s="340" t="s">
        <v>97</v>
      </c>
      <c r="T43" s="341">
        <v>0</v>
      </c>
      <c r="U43" s="340">
        <v>0</v>
      </c>
      <c r="V43" s="340">
        <v>0</v>
      </c>
      <c r="W43" s="340">
        <v>0</v>
      </c>
      <c r="X43" s="340">
        <v>0</v>
      </c>
      <c r="Y43" s="341">
        <v>0</v>
      </c>
      <c r="Z43" s="340">
        <v>0</v>
      </c>
      <c r="AA43" s="340">
        <v>0</v>
      </c>
      <c r="AB43" s="340">
        <v>0</v>
      </c>
      <c r="AC43" s="340">
        <v>0</v>
      </c>
      <c r="AD43" s="341">
        <v>0</v>
      </c>
    </row>
    <row r="44" spans="1:34" ht="94.9" customHeight="1" outlineLevel="1" x14ac:dyDescent="0.2">
      <c r="A44" s="325" t="s">
        <v>1336</v>
      </c>
      <c r="B44" s="338" t="s">
        <v>1349</v>
      </c>
      <c r="C44" s="338" t="s">
        <v>1338</v>
      </c>
      <c r="D44" s="267" t="s">
        <v>554</v>
      </c>
      <c r="E44" s="340" t="s">
        <v>97</v>
      </c>
      <c r="F44" s="340" t="s">
        <v>97</v>
      </c>
      <c r="G44" s="340" t="s">
        <v>97</v>
      </c>
      <c r="H44" s="340" t="s">
        <v>97</v>
      </c>
      <c r="I44" s="340" t="s">
        <v>97</v>
      </c>
      <c r="J44" s="340" t="s">
        <v>97</v>
      </c>
      <c r="K44" s="340" t="s">
        <v>97</v>
      </c>
      <c r="L44" s="340" t="s">
        <v>97</v>
      </c>
      <c r="M44" s="340" t="s">
        <v>97</v>
      </c>
      <c r="N44" s="340" t="s">
        <v>97</v>
      </c>
      <c r="O44" s="340" t="s">
        <v>97</v>
      </c>
      <c r="P44" s="340" t="s">
        <v>97</v>
      </c>
      <c r="Q44" s="340" t="s">
        <v>97</v>
      </c>
      <c r="R44" s="340" t="s">
        <v>97</v>
      </c>
      <c r="S44" s="340" t="s">
        <v>97</v>
      </c>
      <c r="T44" s="341">
        <v>0</v>
      </c>
      <c r="U44" s="340">
        <v>0</v>
      </c>
      <c r="V44" s="340">
        <v>0</v>
      </c>
      <c r="W44" s="340">
        <v>0</v>
      </c>
      <c r="X44" s="340">
        <v>0</v>
      </c>
      <c r="Y44" s="341">
        <v>0</v>
      </c>
      <c r="Z44" s="340">
        <v>0</v>
      </c>
      <c r="AA44" s="340">
        <v>0</v>
      </c>
      <c r="AB44" s="340">
        <v>0</v>
      </c>
      <c r="AC44" s="340">
        <v>0</v>
      </c>
      <c r="AD44" s="341">
        <v>0</v>
      </c>
    </row>
    <row r="45" spans="1:34" ht="94.9" customHeight="1" outlineLevel="1" x14ac:dyDescent="0.2">
      <c r="A45" s="325" t="s">
        <v>1337</v>
      </c>
      <c r="B45" s="338" t="s">
        <v>1351</v>
      </c>
      <c r="C45" s="338" t="s">
        <v>1338</v>
      </c>
      <c r="D45" s="267" t="s">
        <v>554</v>
      </c>
      <c r="E45" s="340" t="s">
        <v>97</v>
      </c>
      <c r="F45" s="340" t="s">
        <v>97</v>
      </c>
      <c r="G45" s="340" t="s">
        <v>97</v>
      </c>
      <c r="H45" s="340" t="s">
        <v>97</v>
      </c>
      <c r="I45" s="340" t="s">
        <v>97</v>
      </c>
      <c r="J45" s="340" t="s">
        <v>97</v>
      </c>
      <c r="K45" s="340" t="s">
        <v>97</v>
      </c>
      <c r="L45" s="340" t="s">
        <v>97</v>
      </c>
      <c r="M45" s="340" t="s">
        <v>97</v>
      </c>
      <c r="N45" s="340" t="s">
        <v>97</v>
      </c>
      <c r="O45" s="340" t="s">
        <v>97</v>
      </c>
      <c r="P45" s="340" t="s">
        <v>97</v>
      </c>
      <c r="Q45" s="340" t="s">
        <v>97</v>
      </c>
      <c r="R45" s="340" t="s">
        <v>97</v>
      </c>
      <c r="S45" s="340" t="s">
        <v>97</v>
      </c>
      <c r="T45" s="341">
        <v>0</v>
      </c>
      <c r="U45" s="340">
        <v>0</v>
      </c>
      <c r="V45" s="340">
        <v>0</v>
      </c>
      <c r="W45" s="340">
        <v>0</v>
      </c>
      <c r="X45" s="340">
        <v>0</v>
      </c>
      <c r="Y45" s="341">
        <v>0</v>
      </c>
      <c r="Z45" s="340">
        <v>0</v>
      </c>
      <c r="AA45" s="340">
        <v>0</v>
      </c>
      <c r="AB45" s="340">
        <v>0</v>
      </c>
      <c r="AC45" s="340">
        <v>0</v>
      </c>
      <c r="AD45" s="341">
        <v>0</v>
      </c>
    </row>
    <row r="46" spans="1:34" ht="149.25" customHeight="1" outlineLevel="1" x14ac:dyDescent="0.2">
      <c r="A46" s="325" t="s">
        <v>1353</v>
      </c>
      <c r="B46" s="338" t="s">
        <v>1357</v>
      </c>
      <c r="C46" s="344" t="s">
        <v>1402</v>
      </c>
      <c r="D46" s="267" t="s">
        <v>554</v>
      </c>
      <c r="E46" s="340" t="s">
        <v>97</v>
      </c>
      <c r="F46" s="340" t="s">
        <v>97</v>
      </c>
      <c r="G46" s="340" t="s">
        <v>97</v>
      </c>
      <c r="H46" s="340" t="s">
        <v>97</v>
      </c>
      <c r="I46" s="340" t="s">
        <v>97</v>
      </c>
      <c r="J46" s="340" t="s">
        <v>97</v>
      </c>
      <c r="K46" s="340" t="s">
        <v>97</v>
      </c>
      <c r="L46" s="340" t="s">
        <v>97</v>
      </c>
      <c r="M46" s="340" t="s">
        <v>97</v>
      </c>
      <c r="N46" s="340" t="s">
        <v>97</v>
      </c>
      <c r="O46" s="340" t="s">
        <v>97</v>
      </c>
      <c r="P46" s="340" t="s">
        <v>97</v>
      </c>
      <c r="Q46" s="340" t="s">
        <v>97</v>
      </c>
      <c r="R46" s="340" t="s">
        <v>97</v>
      </c>
      <c r="S46" s="340" t="s">
        <v>97</v>
      </c>
      <c r="T46" s="341">
        <v>0</v>
      </c>
      <c r="U46" s="340">
        <v>0</v>
      </c>
      <c r="V46" s="340">
        <v>0</v>
      </c>
      <c r="W46" s="340">
        <v>0</v>
      </c>
      <c r="X46" s="340">
        <v>0</v>
      </c>
      <c r="Y46" s="341">
        <v>0</v>
      </c>
      <c r="Z46" s="340">
        <v>0</v>
      </c>
      <c r="AA46" s="340">
        <v>0</v>
      </c>
      <c r="AB46" s="340">
        <v>0</v>
      </c>
      <c r="AC46" s="340">
        <v>0</v>
      </c>
      <c r="AD46" s="341">
        <v>0</v>
      </c>
    </row>
    <row r="47" spans="1:34" ht="94.9" customHeight="1" outlineLevel="1" x14ac:dyDescent="0.2">
      <c r="A47" s="325" t="s">
        <v>1354</v>
      </c>
      <c r="B47" s="338" t="s">
        <v>1429</v>
      </c>
      <c r="C47" s="338" t="s">
        <v>1355</v>
      </c>
      <c r="D47" s="267" t="s">
        <v>554</v>
      </c>
      <c r="E47" s="340" t="s">
        <v>97</v>
      </c>
      <c r="F47" s="340" t="s">
        <v>97</v>
      </c>
      <c r="G47" s="340" t="s">
        <v>97</v>
      </c>
      <c r="H47" s="340" t="s">
        <v>97</v>
      </c>
      <c r="I47" s="340" t="s">
        <v>97</v>
      </c>
      <c r="J47" s="340" t="s">
        <v>97</v>
      </c>
      <c r="K47" s="340" t="s">
        <v>97</v>
      </c>
      <c r="L47" s="340" t="s">
        <v>97</v>
      </c>
      <c r="M47" s="340" t="s">
        <v>97</v>
      </c>
      <c r="N47" s="340" t="s">
        <v>97</v>
      </c>
      <c r="O47" s="340" t="s">
        <v>97</v>
      </c>
      <c r="P47" s="340" t="s">
        <v>97</v>
      </c>
      <c r="Q47" s="340" t="s">
        <v>97</v>
      </c>
      <c r="R47" s="340" t="s">
        <v>97</v>
      </c>
      <c r="S47" s="340" t="s">
        <v>97</v>
      </c>
      <c r="T47" s="341">
        <v>0</v>
      </c>
      <c r="U47" s="340">
        <v>0</v>
      </c>
      <c r="V47" s="340">
        <v>0</v>
      </c>
      <c r="W47" s="340">
        <v>0</v>
      </c>
      <c r="X47" s="340">
        <v>0</v>
      </c>
      <c r="Y47" s="341">
        <v>0</v>
      </c>
      <c r="Z47" s="340">
        <v>0</v>
      </c>
      <c r="AA47" s="340">
        <v>0</v>
      </c>
      <c r="AB47" s="340">
        <v>0</v>
      </c>
      <c r="AC47" s="340">
        <v>0</v>
      </c>
      <c r="AD47" s="341">
        <v>0</v>
      </c>
    </row>
    <row r="48" spans="1:34" ht="50.25" customHeight="1" outlineLevel="1" x14ac:dyDescent="0.2">
      <c r="A48" s="472" t="s">
        <v>559</v>
      </c>
      <c r="B48" s="473"/>
      <c r="C48" s="474"/>
      <c r="D48" s="259"/>
      <c r="E48" s="265">
        <f>F48+G48+H48+I48</f>
        <v>173012</v>
      </c>
      <c r="F48" s="340">
        <f>SUM(F13:F38)</f>
        <v>173012</v>
      </c>
      <c r="G48" s="340">
        <f>SUM(G13:G38)</f>
        <v>0</v>
      </c>
      <c r="H48" s="340">
        <f>SUM(H13:H38)</f>
        <v>0</v>
      </c>
      <c r="I48" s="340">
        <f>SUM(I13:I38)</f>
        <v>0</v>
      </c>
      <c r="J48" s="341">
        <f>K48+L48+M48+N48</f>
        <v>103854</v>
      </c>
      <c r="K48" s="340">
        <f>SUM(K13:K38)</f>
        <v>103854</v>
      </c>
      <c r="L48" s="340">
        <f>SUM(L13:L38)</f>
        <v>0</v>
      </c>
      <c r="M48" s="340">
        <f>SUM(M13:M38)</f>
        <v>0</v>
      </c>
      <c r="N48" s="340">
        <f>SUM(N13:N38)</f>
        <v>0</v>
      </c>
      <c r="O48" s="341">
        <f>O50-O49</f>
        <v>126062</v>
      </c>
      <c r="P48" s="340">
        <f>P50-P49</f>
        <v>126062</v>
      </c>
      <c r="Q48" s="340">
        <f t="shared" ref="Q48:S48" si="10">Q50-Q49</f>
        <v>0</v>
      </c>
      <c r="R48" s="340">
        <f t="shared" si="10"/>
        <v>0</v>
      </c>
      <c r="S48" s="340">
        <f t="shared" si="10"/>
        <v>0</v>
      </c>
      <c r="T48" s="341">
        <f t="shared" ref="T48:T49" si="11">SUM(U48:X48)</f>
        <v>208932</v>
      </c>
      <c r="U48" s="340">
        <f>SUM(U13:U38)</f>
        <v>208932</v>
      </c>
      <c r="V48" s="340">
        <v>0</v>
      </c>
      <c r="W48" s="340">
        <v>0</v>
      </c>
      <c r="X48" s="340">
        <v>0</v>
      </c>
      <c r="Y48" s="341">
        <f>SUM(Z48:AC48)</f>
        <v>235737</v>
      </c>
      <c r="Z48" s="340">
        <f>SUM(Z13:Z38)</f>
        <v>235737</v>
      </c>
      <c r="AA48" s="340">
        <v>0</v>
      </c>
      <c r="AB48" s="340">
        <v>0</v>
      </c>
      <c r="AC48" s="340">
        <v>0</v>
      </c>
      <c r="AD48" s="341">
        <f>E48+J48+O48+T48+Y48</f>
        <v>847597</v>
      </c>
      <c r="AE48" s="268">
        <f t="shared" ref="AE48:AE49" si="12">F48+K48+P48+U48+Z48</f>
        <v>847597</v>
      </c>
      <c r="AF48" s="268">
        <f t="shared" ref="AF48:AF49" si="13">G48+L48+Q48+V48+AA48</f>
        <v>0</v>
      </c>
      <c r="AG48" s="268">
        <f t="shared" ref="AG48:AG49" si="14">H48+M48+R48+W48+AB48</f>
        <v>0</v>
      </c>
      <c r="AH48" s="268">
        <f t="shared" ref="AH48:AH49" si="15">I48+N48+S48+X48+AC48</f>
        <v>0</v>
      </c>
    </row>
    <row r="49" spans="1:34" ht="39.75" customHeight="1" outlineLevel="1" x14ac:dyDescent="0.2">
      <c r="A49" s="397" t="s">
        <v>370</v>
      </c>
      <c r="B49" s="398"/>
      <c r="C49" s="475"/>
      <c r="D49" s="259"/>
      <c r="E49" s="269">
        <f>F49+G49+H49+I49</f>
        <v>0</v>
      </c>
      <c r="F49" s="340">
        <v>0</v>
      </c>
      <c r="G49" s="340">
        <v>0</v>
      </c>
      <c r="H49" s="340">
        <v>0</v>
      </c>
      <c r="I49" s="340">
        <v>0</v>
      </c>
      <c r="J49" s="341">
        <f>K49+L49+M49+N49</f>
        <v>0</v>
      </c>
      <c r="K49" s="340">
        <v>0</v>
      </c>
      <c r="L49" s="340">
        <v>0</v>
      </c>
      <c r="M49" s="340">
        <v>0</v>
      </c>
      <c r="N49" s="340">
        <v>0</v>
      </c>
      <c r="O49" s="341">
        <f t="shared" ref="O49" si="16">SUM(P49:S49)</f>
        <v>3417</v>
      </c>
      <c r="P49" s="340">
        <f>P18</f>
        <v>3417</v>
      </c>
      <c r="Q49" s="340">
        <v>0</v>
      </c>
      <c r="R49" s="340">
        <v>0</v>
      </c>
      <c r="S49" s="340">
        <v>0</v>
      </c>
      <c r="T49" s="341">
        <f t="shared" si="11"/>
        <v>0</v>
      </c>
      <c r="U49" s="340">
        <v>0</v>
      </c>
      <c r="V49" s="340">
        <v>0</v>
      </c>
      <c r="W49" s="340">
        <v>0</v>
      </c>
      <c r="X49" s="340">
        <v>0</v>
      </c>
      <c r="Y49" s="341">
        <f>SUM(Z49:AC49)</f>
        <v>0</v>
      </c>
      <c r="Z49" s="340">
        <v>0</v>
      </c>
      <c r="AA49" s="340">
        <v>0</v>
      </c>
      <c r="AB49" s="340">
        <v>0</v>
      </c>
      <c r="AC49" s="340">
        <v>0</v>
      </c>
      <c r="AD49" s="341">
        <f t="shared" ref="AD49" si="17">E49+J49+O49+T49+Y49</f>
        <v>3417</v>
      </c>
      <c r="AE49" s="268">
        <f t="shared" si="12"/>
        <v>3417</v>
      </c>
      <c r="AF49" s="268">
        <f t="shared" si="13"/>
        <v>0</v>
      </c>
      <c r="AG49" s="268">
        <f t="shared" si="14"/>
        <v>0</v>
      </c>
      <c r="AH49" s="268">
        <f t="shared" si="15"/>
        <v>0</v>
      </c>
    </row>
    <row r="50" spans="1:34" ht="61.5" customHeight="1" outlineLevel="1" x14ac:dyDescent="0.2">
      <c r="A50" s="435" t="s">
        <v>560</v>
      </c>
      <c r="B50" s="435"/>
      <c r="C50" s="435"/>
      <c r="D50" s="270"/>
      <c r="E50" s="341">
        <f t="shared" ref="E50:AD50" si="18">SUM(E13:E38)</f>
        <v>173012</v>
      </c>
      <c r="F50" s="341">
        <f t="shared" si="18"/>
        <v>173012</v>
      </c>
      <c r="G50" s="341">
        <f t="shared" si="18"/>
        <v>0</v>
      </c>
      <c r="H50" s="341">
        <f t="shared" si="18"/>
        <v>0</v>
      </c>
      <c r="I50" s="341">
        <f t="shared" si="18"/>
        <v>0</v>
      </c>
      <c r="J50" s="341">
        <f t="shared" si="18"/>
        <v>103854</v>
      </c>
      <c r="K50" s="341">
        <f t="shared" si="18"/>
        <v>103854</v>
      </c>
      <c r="L50" s="341">
        <f t="shared" si="18"/>
        <v>0</v>
      </c>
      <c r="M50" s="341">
        <f t="shared" si="18"/>
        <v>0</v>
      </c>
      <c r="N50" s="341">
        <f t="shared" si="18"/>
        <v>0</v>
      </c>
      <c r="O50" s="341">
        <f t="shared" si="18"/>
        <v>129479</v>
      </c>
      <c r="P50" s="341">
        <f t="shared" si="18"/>
        <v>129479</v>
      </c>
      <c r="Q50" s="341">
        <f t="shared" si="18"/>
        <v>0</v>
      </c>
      <c r="R50" s="341">
        <f t="shared" si="18"/>
        <v>0</v>
      </c>
      <c r="S50" s="341">
        <f t="shared" si="18"/>
        <v>0</v>
      </c>
      <c r="T50" s="341">
        <f t="shared" si="18"/>
        <v>208932</v>
      </c>
      <c r="U50" s="341">
        <f t="shared" si="18"/>
        <v>208932</v>
      </c>
      <c r="V50" s="341">
        <f t="shared" si="18"/>
        <v>0</v>
      </c>
      <c r="W50" s="341">
        <f t="shared" si="18"/>
        <v>0</v>
      </c>
      <c r="X50" s="341">
        <f t="shared" si="18"/>
        <v>0</v>
      </c>
      <c r="Y50" s="341">
        <f t="shared" si="18"/>
        <v>235737</v>
      </c>
      <c r="Z50" s="341">
        <f t="shared" si="18"/>
        <v>235737</v>
      </c>
      <c r="AA50" s="341">
        <f t="shared" si="18"/>
        <v>0</v>
      </c>
      <c r="AB50" s="341">
        <f t="shared" si="18"/>
        <v>0</v>
      </c>
      <c r="AC50" s="341">
        <f t="shared" si="18"/>
        <v>0</v>
      </c>
      <c r="AD50" s="341">
        <f t="shared" si="18"/>
        <v>851014</v>
      </c>
      <c r="AE50" s="268">
        <f>F50+K50+P50+U50+Z50</f>
        <v>851014</v>
      </c>
      <c r="AF50" s="268">
        <f>G50+L50+Q50+V50+AA50</f>
        <v>0</v>
      </c>
      <c r="AG50" s="268">
        <f>H50+M50+R50+W50+AB50</f>
        <v>0</v>
      </c>
      <c r="AH50" s="268">
        <f>I50+N50+S50+X50+AC50</f>
        <v>0</v>
      </c>
    </row>
    <row r="51" spans="1:34" s="36" customFormat="1" ht="55.15" customHeight="1" x14ac:dyDescent="0.2">
      <c r="A51" s="319" t="s">
        <v>434</v>
      </c>
      <c r="B51" s="448" t="s">
        <v>1080</v>
      </c>
      <c r="C51" s="449"/>
      <c r="D51" s="449"/>
      <c r="E51" s="449"/>
      <c r="F51" s="449"/>
      <c r="G51" s="449"/>
      <c r="H51" s="449"/>
      <c r="I51" s="449"/>
      <c r="J51" s="449"/>
      <c r="K51" s="449"/>
      <c r="L51" s="449"/>
      <c r="M51" s="449"/>
      <c r="N51" s="449"/>
      <c r="O51" s="449"/>
      <c r="P51" s="449"/>
      <c r="Q51" s="449"/>
      <c r="R51" s="449"/>
      <c r="S51" s="449"/>
      <c r="T51" s="449"/>
      <c r="U51" s="449"/>
      <c r="V51" s="449"/>
      <c r="W51" s="449"/>
      <c r="X51" s="449"/>
      <c r="Y51" s="449"/>
      <c r="Z51" s="449"/>
      <c r="AA51" s="449"/>
      <c r="AB51" s="449"/>
      <c r="AC51" s="449"/>
      <c r="AD51" s="454"/>
      <c r="AE51" s="28"/>
      <c r="AF51" s="28"/>
      <c r="AG51" s="28"/>
      <c r="AH51" s="28"/>
    </row>
    <row r="52" spans="1:34" ht="42" customHeight="1" x14ac:dyDescent="0.2">
      <c r="A52" s="458" t="s">
        <v>190</v>
      </c>
      <c r="B52" s="458"/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  <c r="AB52" s="458"/>
      <c r="AC52" s="458"/>
      <c r="AD52" s="458"/>
    </row>
    <row r="53" spans="1:34" s="282" customFormat="1" ht="43.15" customHeight="1" outlineLevel="1" x14ac:dyDescent="0.2">
      <c r="A53" s="471" t="s">
        <v>1068</v>
      </c>
      <c r="B53" s="471"/>
      <c r="C53" s="471"/>
      <c r="D53" s="471"/>
      <c r="E53" s="471"/>
      <c r="F53" s="471"/>
      <c r="G53" s="471"/>
      <c r="H53" s="471"/>
      <c r="I53" s="471"/>
      <c r="J53" s="471"/>
      <c r="K53" s="471"/>
      <c r="L53" s="471"/>
      <c r="M53" s="471"/>
      <c r="N53" s="471"/>
      <c r="O53" s="471"/>
      <c r="P53" s="471"/>
      <c r="Q53" s="471"/>
      <c r="R53" s="471"/>
      <c r="S53" s="471"/>
      <c r="T53" s="471"/>
      <c r="U53" s="471"/>
      <c r="V53" s="471"/>
      <c r="W53" s="471"/>
      <c r="X53" s="471"/>
      <c r="Y53" s="471"/>
      <c r="Z53" s="471"/>
      <c r="AA53" s="471"/>
      <c r="AB53" s="471"/>
      <c r="AC53" s="471"/>
      <c r="AD53" s="471"/>
      <c r="AE53" s="28"/>
      <c r="AF53" s="28"/>
      <c r="AG53" s="28"/>
      <c r="AH53" s="28"/>
    </row>
    <row r="54" spans="1:34" s="282" customFormat="1" ht="54" customHeight="1" outlineLevel="1" x14ac:dyDescent="0.2">
      <c r="A54" s="319" t="s">
        <v>2</v>
      </c>
      <c r="B54" s="448" t="s">
        <v>1069</v>
      </c>
      <c r="C54" s="449"/>
      <c r="D54" s="449"/>
      <c r="E54" s="449"/>
      <c r="F54" s="449"/>
      <c r="G54" s="449"/>
      <c r="H54" s="449"/>
      <c r="I54" s="449"/>
      <c r="J54" s="449"/>
      <c r="K54" s="449"/>
      <c r="L54" s="449"/>
      <c r="M54" s="449"/>
      <c r="N54" s="449"/>
      <c r="O54" s="449"/>
      <c r="P54" s="449"/>
      <c r="Q54" s="449"/>
      <c r="R54" s="449"/>
      <c r="S54" s="449"/>
      <c r="T54" s="449"/>
      <c r="U54" s="449"/>
      <c r="V54" s="449"/>
      <c r="W54" s="449"/>
      <c r="X54" s="449"/>
      <c r="Y54" s="449"/>
      <c r="Z54" s="449"/>
      <c r="AA54" s="449"/>
      <c r="AB54" s="449"/>
      <c r="AC54" s="449"/>
      <c r="AD54" s="454"/>
      <c r="AE54" s="28"/>
      <c r="AF54" s="28"/>
      <c r="AG54" s="28"/>
      <c r="AH54" s="28"/>
    </row>
    <row r="55" spans="1:34" ht="290.25" customHeight="1" outlineLevel="1" x14ac:dyDescent="0.2">
      <c r="A55" s="336" t="s">
        <v>8</v>
      </c>
      <c r="B55" s="324" t="s">
        <v>608</v>
      </c>
      <c r="C55" s="338" t="s">
        <v>349</v>
      </c>
      <c r="D55" s="324" t="s">
        <v>43</v>
      </c>
      <c r="E55" s="341">
        <f t="shared" ref="E55:E65" si="19">F55+G55+H55+I55</f>
        <v>321465</v>
      </c>
      <c r="F55" s="271">
        <f>ROUND('2.переченьМРАД'!$I$33,0)</f>
        <v>12402</v>
      </c>
      <c r="G55" s="271">
        <f>ROUND('2.переченьМРАД'!$H$33,0)</f>
        <v>182270</v>
      </c>
      <c r="H55" s="271">
        <f>ROUND('2.переченьМРАД'!G33,0)</f>
        <v>126793</v>
      </c>
      <c r="I55" s="272">
        <v>0</v>
      </c>
      <c r="J55" s="341">
        <f>K55+L55+M55+N55</f>
        <v>8332</v>
      </c>
      <c r="K55" s="271">
        <f>'2.переченьМРАД'!$N$33</f>
        <v>8332</v>
      </c>
      <c r="L55" s="271">
        <f>'2.переченьМРАД'!$M$33</f>
        <v>0</v>
      </c>
      <c r="M55" s="271">
        <f>'2.переченьМРАД'!$L$33</f>
        <v>0</v>
      </c>
      <c r="N55" s="272">
        <v>0</v>
      </c>
      <c r="O55" s="341">
        <f>SUM(P55:S55)</f>
        <v>67626</v>
      </c>
      <c r="P55" s="271">
        <f>'2.переченьМРАД'!$S$33</f>
        <v>3465</v>
      </c>
      <c r="Q55" s="271">
        <f>'2.переченьМРАД'!$R$33</f>
        <v>64161</v>
      </c>
      <c r="R55" s="271">
        <v>0</v>
      </c>
      <c r="S55" s="272">
        <v>0</v>
      </c>
      <c r="T55" s="341">
        <f t="shared" ref="T55:T71" si="20">SUM(U55:X55)</f>
        <v>43044</v>
      </c>
      <c r="U55" s="340">
        <f>ROUND('2.переченьМРАД'!$X$33,0)</f>
        <v>2252</v>
      </c>
      <c r="V55" s="340">
        <f>ROUND('2.переченьМРАД'!$W$33,0)</f>
        <v>40792</v>
      </c>
      <c r="W55" s="340">
        <v>0</v>
      </c>
      <c r="X55" s="340">
        <v>0</v>
      </c>
      <c r="Y55" s="341">
        <f t="shared" ref="Y55:Y67" si="21">SUM(Z55:AC55)</f>
        <v>0</v>
      </c>
      <c r="Z55" s="340">
        <f>'2.переченьМРАД'!$AC$33</f>
        <v>0</v>
      </c>
      <c r="AA55" s="340">
        <f>'2.переченьМРАД'!$AB$33</f>
        <v>0</v>
      </c>
      <c r="AB55" s="340">
        <v>0</v>
      </c>
      <c r="AC55" s="340">
        <v>0</v>
      </c>
      <c r="AD55" s="341">
        <f>E55+J55+O55+T55+Y55</f>
        <v>440467</v>
      </c>
    </row>
    <row r="56" spans="1:34" ht="49.5" customHeight="1" outlineLevel="1" x14ac:dyDescent="0.2">
      <c r="A56" s="464" t="s">
        <v>36</v>
      </c>
      <c r="B56" s="459" t="s">
        <v>598</v>
      </c>
      <c r="C56" s="462" t="s">
        <v>349</v>
      </c>
      <c r="D56" s="324" t="s">
        <v>626</v>
      </c>
      <c r="E56" s="341">
        <f t="shared" si="19"/>
        <v>66560</v>
      </c>
      <c r="F56" s="271">
        <f>'2.переченьМРАД'!$I$44</f>
        <v>4500</v>
      </c>
      <c r="G56" s="271">
        <f>'2.переченьМРАД'!$H$44</f>
        <v>62060</v>
      </c>
      <c r="H56" s="271">
        <f>'2.переченьМРАД'!G34</f>
        <v>0</v>
      </c>
      <c r="I56" s="272">
        <v>0</v>
      </c>
      <c r="J56" s="341">
        <f>K56+L56+M56+N56</f>
        <v>2196</v>
      </c>
      <c r="K56" s="271">
        <f>'2.переченьМРАД'!$N$44</f>
        <v>2196</v>
      </c>
      <c r="L56" s="271">
        <f>'2.переченьМРАД'!$M$44</f>
        <v>0</v>
      </c>
      <c r="M56" s="271">
        <v>0</v>
      </c>
      <c r="N56" s="272">
        <v>0</v>
      </c>
      <c r="O56" s="341">
        <f t="shared" ref="O56:O71" si="22">SUM(P56:S56)</f>
        <v>336779</v>
      </c>
      <c r="P56" s="271">
        <f>'2.переченьМРАД'!$S$44</f>
        <v>28827</v>
      </c>
      <c r="Q56" s="271">
        <f>'2.переченьМРАД'!$R$44</f>
        <v>307952</v>
      </c>
      <c r="R56" s="271">
        <v>0</v>
      </c>
      <c r="S56" s="272">
        <v>0</v>
      </c>
      <c r="T56" s="341">
        <f t="shared" si="20"/>
        <v>1157</v>
      </c>
      <c r="U56" s="340">
        <f>ROUND('2.переченьМРАД'!$X$44,0)</f>
        <v>1157</v>
      </c>
      <c r="V56" s="340">
        <f>ROUND('2.переченьМРАД'!$W$44,0)</f>
        <v>0</v>
      </c>
      <c r="W56" s="340">
        <v>0</v>
      </c>
      <c r="X56" s="340">
        <v>0</v>
      </c>
      <c r="Y56" s="341">
        <f t="shared" si="21"/>
        <v>0</v>
      </c>
      <c r="Z56" s="340">
        <f>'2.переченьМРАД'!$AC$44</f>
        <v>0</v>
      </c>
      <c r="AA56" s="340">
        <f>'2.переченьМРАД'!$AB$44</f>
        <v>0</v>
      </c>
      <c r="AB56" s="340">
        <v>0</v>
      </c>
      <c r="AC56" s="340">
        <v>0</v>
      </c>
      <c r="AD56" s="341">
        <f t="shared" ref="AD56:AD68" si="23">E56+J56+O56+T56+Y56</f>
        <v>406692</v>
      </c>
    </row>
    <row r="57" spans="1:34" ht="133.5" customHeight="1" outlineLevel="1" x14ac:dyDescent="0.2">
      <c r="A57" s="465"/>
      <c r="B57" s="460"/>
      <c r="C57" s="463"/>
      <c r="D57" s="324" t="s">
        <v>1381</v>
      </c>
      <c r="E57" s="341">
        <v>0</v>
      </c>
      <c r="F57" s="271">
        <v>0</v>
      </c>
      <c r="G57" s="271">
        <v>0</v>
      </c>
      <c r="H57" s="271">
        <v>0</v>
      </c>
      <c r="I57" s="272">
        <v>0</v>
      </c>
      <c r="J57" s="341">
        <v>0</v>
      </c>
      <c r="K57" s="271">
        <v>0</v>
      </c>
      <c r="L57" s="271">
        <v>0</v>
      </c>
      <c r="M57" s="271">
        <v>0</v>
      </c>
      <c r="N57" s="272">
        <v>0</v>
      </c>
      <c r="O57" s="341">
        <v>0</v>
      </c>
      <c r="P57" s="271">
        <v>0</v>
      </c>
      <c r="Q57" s="271">
        <v>0</v>
      </c>
      <c r="R57" s="271">
        <v>0</v>
      </c>
      <c r="S57" s="272">
        <v>0</v>
      </c>
      <c r="T57" s="341">
        <v>0</v>
      </c>
      <c r="U57" s="271">
        <v>0</v>
      </c>
      <c r="V57" s="271">
        <v>0</v>
      </c>
      <c r="W57" s="271">
        <v>0</v>
      </c>
      <c r="X57" s="272">
        <v>0</v>
      </c>
      <c r="Y57" s="341">
        <f t="shared" si="21"/>
        <v>23106</v>
      </c>
      <c r="Z57" s="340">
        <v>23106</v>
      </c>
      <c r="AA57" s="340">
        <v>0</v>
      </c>
      <c r="AB57" s="340">
        <v>0</v>
      </c>
      <c r="AC57" s="340">
        <v>0</v>
      </c>
      <c r="AD57" s="341">
        <f t="shared" si="23"/>
        <v>23106</v>
      </c>
    </row>
    <row r="58" spans="1:34" ht="120" customHeight="1" outlineLevel="1" x14ac:dyDescent="0.2">
      <c r="A58" s="461" t="s">
        <v>125</v>
      </c>
      <c r="B58" s="459" t="s">
        <v>384</v>
      </c>
      <c r="C58" s="462" t="s">
        <v>349</v>
      </c>
      <c r="D58" s="324" t="s">
        <v>43</v>
      </c>
      <c r="E58" s="341">
        <f t="shared" si="19"/>
        <v>44356</v>
      </c>
      <c r="F58" s="271">
        <f>'2.переченьМРАД'!$I$75</f>
        <v>28021</v>
      </c>
      <c r="G58" s="271">
        <f>'2.переченьМРАД'!$H$75</f>
        <v>16335</v>
      </c>
      <c r="H58" s="271">
        <f>'2.переченьМРАД'!G35</f>
        <v>0</v>
      </c>
      <c r="I58" s="272">
        <v>0</v>
      </c>
      <c r="J58" s="341">
        <f>K58+L58+M58+N58</f>
        <v>16962</v>
      </c>
      <c r="K58" s="271">
        <f>'2.переченьМРАД'!$N$75</f>
        <v>16962</v>
      </c>
      <c r="L58" s="271">
        <f>'2.переченьМРАД'!$M$75</f>
        <v>0</v>
      </c>
      <c r="M58" s="271">
        <v>0</v>
      </c>
      <c r="N58" s="272">
        <v>0</v>
      </c>
      <c r="O58" s="341">
        <f t="shared" si="22"/>
        <v>15511</v>
      </c>
      <c r="P58" s="271">
        <f>'2.переченьМРАД'!$S$75</f>
        <v>15511</v>
      </c>
      <c r="Q58" s="271">
        <f>'2.переченьМРАД'!$R$75</f>
        <v>0</v>
      </c>
      <c r="R58" s="271">
        <v>0</v>
      </c>
      <c r="S58" s="272">
        <v>0</v>
      </c>
      <c r="T58" s="341">
        <f t="shared" si="20"/>
        <v>36893</v>
      </c>
      <c r="U58" s="340">
        <f>'2.переченьМРАД'!$X$75</f>
        <v>36893</v>
      </c>
      <c r="V58" s="340">
        <f>'2.переченьМРАД'!$W$75</f>
        <v>0</v>
      </c>
      <c r="W58" s="340">
        <v>0</v>
      </c>
      <c r="X58" s="340">
        <v>0</v>
      </c>
      <c r="Y58" s="341">
        <f t="shared" si="21"/>
        <v>24768</v>
      </c>
      <c r="Z58" s="340">
        <f>'2.переченьМРАД'!$AC$75</f>
        <v>24768</v>
      </c>
      <c r="AA58" s="340">
        <f>'2.переченьМРАД'!$AB$75</f>
        <v>0</v>
      </c>
      <c r="AB58" s="340">
        <v>0</v>
      </c>
      <c r="AC58" s="340">
        <v>0</v>
      </c>
      <c r="AD58" s="341">
        <f>E58+J58+O58+T58+Y58</f>
        <v>138490</v>
      </c>
    </row>
    <row r="59" spans="1:34" ht="132.75" customHeight="1" outlineLevel="1" x14ac:dyDescent="0.2">
      <c r="A59" s="461"/>
      <c r="B59" s="460"/>
      <c r="C59" s="463"/>
      <c r="D59" s="324" t="s">
        <v>516</v>
      </c>
      <c r="E59" s="341">
        <f t="shared" si="19"/>
        <v>988</v>
      </c>
      <c r="F59" s="271">
        <v>988</v>
      </c>
      <c r="G59" s="271">
        <v>0</v>
      </c>
      <c r="H59" s="271">
        <v>0</v>
      </c>
      <c r="I59" s="272">
        <v>0</v>
      </c>
      <c r="J59" s="341">
        <f>K59+L59+M59+N59</f>
        <v>1584</v>
      </c>
      <c r="K59" s="271">
        <v>1584</v>
      </c>
      <c r="L59" s="271">
        <v>0</v>
      </c>
      <c r="M59" s="271">
        <v>0</v>
      </c>
      <c r="N59" s="272">
        <v>0</v>
      </c>
      <c r="O59" s="341">
        <f t="shared" si="22"/>
        <v>0</v>
      </c>
      <c r="P59" s="271">
        <v>0</v>
      </c>
      <c r="Q59" s="271">
        <f>'2.переченьМРАД'!$R$75</f>
        <v>0</v>
      </c>
      <c r="R59" s="271">
        <v>0</v>
      </c>
      <c r="S59" s="272">
        <v>0</v>
      </c>
      <c r="T59" s="341">
        <f t="shared" si="20"/>
        <v>0</v>
      </c>
      <c r="U59" s="340">
        <v>0</v>
      </c>
      <c r="V59" s="340">
        <f>'2.переченьМРАД'!$W$75</f>
        <v>0</v>
      </c>
      <c r="W59" s="340">
        <v>0</v>
      </c>
      <c r="X59" s="340">
        <v>0</v>
      </c>
      <c r="Y59" s="341">
        <f t="shared" si="21"/>
        <v>0</v>
      </c>
      <c r="Z59" s="340">
        <v>0</v>
      </c>
      <c r="AA59" s="340">
        <f>'2.переченьМРАД'!$AB$75</f>
        <v>0</v>
      </c>
      <c r="AB59" s="340">
        <v>0</v>
      </c>
      <c r="AC59" s="340">
        <v>0</v>
      </c>
      <c r="AD59" s="341">
        <f>E59+J59+O59+T59+Y59</f>
        <v>2572</v>
      </c>
    </row>
    <row r="60" spans="1:34" ht="175.5" customHeight="1" outlineLevel="1" x14ac:dyDescent="0.2">
      <c r="A60" s="461" t="s">
        <v>435</v>
      </c>
      <c r="B60" s="459" t="s">
        <v>599</v>
      </c>
      <c r="C60" s="466" t="s">
        <v>44</v>
      </c>
      <c r="D60" s="324" t="s">
        <v>43</v>
      </c>
      <c r="E60" s="341">
        <f>F60+G60+H60+I60</f>
        <v>64125</v>
      </c>
      <c r="F60" s="271">
        <f>SUM('2.переченьМРАД'!$I$97,0)</f>
        <v>4013</v>
      </c>
      <c r="G60" s="271">
        <f>SUM('2.переченьМРАД'!$H$97,0)</f>
        <v>60112</v>
      </c>
      <c r="H60" s="271">
        <v>0</v>
      </c>
      <c r="I60" s="272">
        <v>0</v>
      </c>
      <c r="J60" s="341">
        <f t="shared" ref="J60:J67" si="24">K60+L60+M60+N60</f>
        <v>241974</v>
      </c>
      <c r="K60" s="271">
        <f>ROUND('2.переченьМРАД'!$N$97,0)</f>
        <v>27315</v>
      </c>
      <c r="L60" s="271">
        <f>'2.переченьМРАД'!$M$97</f>
        <v>214659</v>
      </c>
      <c r="M60" s="271">
        <v>0</v>
      </c>
      <c r="N60" s="272">
        <v>0</v>
      </c>
      <c r="O60" s="341">
        <f t="shared" si="22"/>
        <v>190226</v>
      </c>
      <c r="P60" s="271">
        <f>'2.переченьМРАД'!$S$97</f>
        <v>15347</v>
      </c>
      <c r="Q60" s="271">
        <f>'2.переченьМРАД'!$R$97</f>
        <v>174879</v>
      </c>
      <c r="R60" s="271">
        <v>0</v>
      </c>
      <c r="S60" s="272">
        <v>0</v>
      </c>
      <c r="T60" s="341">
        <f>SUM(U60:X60)</f>
        <v>109804</v>
      </c>
      <c r="U60" s="340">
        <f>ROUND('2.переченьМРАД'!$X$97,0)</f>
        <v>6804</v>
      </c>
      <c r="V60" s="340">
        <f>'2.переченьМРАД'!$W$97</f>
        <v>103000</v>
      </c>
      <c r="W60" s="340">
        <v>0</v>
      </c>
      <c r="X60" s="340">
        <v>0</v>
      </c>
      <c r="Y60" s="341">
        <f t="shared" si="21"/>
        <v>110282</v>
      </c>
      <c r="Z60" s="340">
        <f>'2.переченьМРАД'!$AC$97</f>
        <v>11742</v>
      </c>
      <c r="AA60" s="340">
        <f>ROUND('2.переченьМРАД'!$AB$97,0)</f>
        <v>98540</v>
      </c>
      <c r="AB60" s="340">
        <v>0</v>
      </c>
      <c r="AC60" s="340">
        <v>0</v>
      </c>
      <c r="AD60" s="341">
        <f>E60+J60+O60+T60+Y60</f>
        <v>716411</v>
      </c>
    </row>
    <row r="61" spans="1:34" ht="152.25" customHeight="1" outlineLevel="1" x14ac:dyDescent="0.2">
      <c r="A61" s="461"/>
      <c r="B61" s="460"/>
      <c r="C61" s="466"/>
      <c r="D61" s="324" t="s">
        <v>1326</v>
      </c>
      <c r="E61" s="341">
        <v>0</v>
      </c>
      <c r="F61" s="271">
        <v>0</v>
      </c>
      <c r="G61" s="271">
        <v>0</v>
      </c>
      <c r="H61" s="271">
        <v>0</v>
      </c>
      <c r="I61" s="272">
        <v>0</v>
      </c>
      <c r="J61" s="341">
        <v>0</v>
      </c>
      <c r="K61" s="271">
        <v>0</v>
      </c>
      <c r="L61" s="271">
        <v>0</v>
      </c>
      <c r="M61" s="271">
        <v>0</v>
      </c>
      <c r="N61" s="272">
        <v>0</v>
      </c>
      <c r="O61" s="341">
        <v>0</v>
      </c>
      <c r="P61" s="271">
        <v>0</v>
      </c>
      <c r="Q61" s="271">
        <v>0</v>
      </c>
      <c r="R61" s="271">
        <v>0</v>
      </c>
      <c r="S61" s="272">
        <v>0</v>
      </c>
      <c r="T61" s="341">
        <f>SUM(U61:X61)</f>
        <v>0</v>
      </c>
      <c r="U61" s="340">
        <f>10002-10002</f>
        <v>0</v>
      </c>
      <c r="V61" s="340">
        <v>0</v>
      </c>
      <c r="W61" s="340">
        <v>0</v>
      </c>
      <c r="X61" s="340">
        <v>0</v>
      </c>
      <c r="Y61" s="341">
        <f t="shared" si="21"/>
        <v>9976</v>
      </c>
      <c r="Z61" s="340">
        <v>9976</v>
      </c>
      <c r="AA61" s="340">
        <v>0</v>
      </c>
      <c r="AB61" s="340">
        <v>0</v>
      </c>
      <c r="AC61" s="340">
        <v>0</v>
      </c>
      <c r="AD61" s="341">
        <f>E61+J61+O61+T61+Y61</f>
        <v>9976</v>
      </c>
    </row>
    <row r="62" spans="1:34" ht="117.75" customHeight="1" outlineLevel="1" x14ac:dyDescent="0.2">
      <c r="A62" s="461"/>
      <c r="B62" s="324" t="s">
        <v>352</v>
      </c>
      <c r="C62" s="466"/>
      <c r="D62" s="324"/>
      <c r="E62" s="341">
        <f t="shared" si="19"/>
        <v>0</v>
      </c>
      <c r="F62" s="271">
        <f>SUM('2.переченьМРАД'!I96:I96)</f>
        <v>0</v>
      </c>
      <c r="G62" s="271">
        <f>SUM('2.переченьМРАД'!H96:H96)</f>
        <v>0</v>
      </c>
      <c r="H62" s="271">
        <f>'2.переченьМРАД'!G97</f>
        <v>0</v>
      </c>
      <c r="I62" s="272">
        <v>0</v>
      </c>
      <c r="J62" s="341">
        <f t="shared" si="24"/>
        <v>0</v>
      </c>
      <c r="K62" s="271">
        <f>SUM('2.переченьМРАД'!N96:N96)</f>
        <v>0</v>
      </c>
      <c r="L62" s="271">
        <f>SUM('2.переченьМРАД'!M96:M96)</f>
        <v>0</v>
      </c>
      <c r="M62" s="271">
        <f>'2.переченьМРАД'!L97</f>
        <v>0</v>
      </c>
      <c r="N62" s="272">
        <v>0</v>
      </c>
      <c r="O62" s="341">
        <f t="shared" si="22"/>
        <v>0</v>
      </c>
      <c r="P62" s="271">
        <f>SUM('2.переченьМРАД'!S96:S96)</f>
        <v>0</v>
      </c>
      <c r="Q62" s="271">
        <f>SUM('2.переченьМРАД'!R96:R96)</f>
        <v>0</v>
      </c>
      <c r="R62" s="271">
        <f>'[1]3.переченьМРАД'!Q96</f>
        <v>0</v>
      </c>
      <c r="S62" s="272">
        <v>0</v>
      </c>
      <c r="T62" s="341">
        <f t="shared" si="20"/>
        <v>0</v>
      </c>
      <c r="U62" s="340">
        <f>SUM('2.переченьМРАД'!X96:X96)</f>
        <v>0</v>
      </c>
      <c r="V62" s="340">
        <f>SUM('2.переченьМРАД'!W96:W96)</f>
        <v>0</v>
      </c>
      <c r="W62" s="340">
        <f>'[1]3.переченьМРАД'!V96</f>
        <v>0</v>
      </c>
      <c r="X62" s="340">
        <v>0</v>
      </c>
      <c r="Y62" s="341">
        <f>SUM(Z62:AC62)</f>
        <v>0</v>
      </c>
      <c r="Z62" s="340">
        <v>0</v>
      </c>
      <c r="AA62" s="340">
        <f>SUM('2.переченьМРАД'!AB96:AB96)</f>
        <v>0</v>
      </c>
      <c r="AB62" s="340">
        <f>'[1]3.переченьМРАД'!AA96</f>
        <v>0</v>
      </c>
      <c r="AC62" s="340">
        <v>0</v>
      </c>
      <c r="AD62" s="341">
        <f t="shared" si="23"/>
        <v>0</v>
      </c>
    </row>
    <row r="63" spans="1:34" ht="191.25" customHeight="1" outlineLevel="1" x14ac:dyDescent="0.2">
      <c r="A63" s="461" t="s">
        <v>436</v>
      </c>
      <c r="B63" s="324" t="s">
        <v>600</v>
      </c>
      <c r="C63" s="466" t="s">
        <v>44</v>
      </c>
      <c r="D63" s="324" t="s">
        <v>43</v>
      </c>
      <c r="E63" s="341">
        <f>F63+G63+H63+I63</f>
        <v>787419</v>
      </c>
      <c r="F63" s="271">
        <f>ROUND('2.переченьМРАД'!$I$262,0)</f>
        <v>42088</v>
      </c>
      <c r="G63" s="271">
        <f>ROUND('2.переченьМРАД'!$H$262,0)</f>
        <v>745331</v>
      </c>
      <c r="H63" s="271">
        <v>0</v>
      </c>
      <c r="I63" s="272">
        <v>0</v>
      </c>
      <c r="J63" s="341">
        <f>K63+L63+M63+N63</f>
        <v>934352</v>
      </c>
      <c r="K63" s="271">
        <f>ROUND('2.переченьМРАД'!$N$262,0)</f>
        <v>58150</v>
      </c>
      <c r="L63" s="271">
        <f>ROUND('2.переченьМРАД'!$M$262,0)</f>
        <v>876202</v>
      </c>
      <c r="M63" s="271">
        <v>0</v>
      </c>
      <c r="N63" s="272">
        <v>0</v>
      </c>
      <c r="O63" s="341">
        <f t="shared" si="22"/>
        <v>1216402</v>
      </c>
      <c r="P63" s="271">
        <f>ROUND('2.переченьМРАД'!$S$262,0)</f>
        <v>184281</v>
      </c>
      <c r="Q63" s="271">
        <f>ROUND('2.переченьМРАД'!$R$262,0)</f>
        <v>1032121</v>
      </c>
      <c r="R63" s="271">
        <v>0</v>
      </c>
      <c r="S63" s="272">
        <v>0</v>
      </c>
      <c r="T63" s="341">
        <f t="shared" si="20"/>
        <v>1427662</v>
      </c>
      <c r="U63" s="340">
        <f>ROUND('2.переченьМРАД'!$X$262,0)</f>
        <v>148062</v>
      </c>
      <c r="V63" s="340">
        <f>ROUND('2.переченьМРАД'!$W$262,0)</f>
        <v>1279600</v>
      </c>
      <c r="W63" s="340">
        <v>0</v>
      </c>
      <c r="X63" s="340">
        <v>0</v>
      </c>
      <c r="Y63" s="341">
        <f t="shared" si="21"/>
        <v>1630468</v>
      </c>
      <c r="Z63" s="340">
        <f>ROUND('2.переченьМРАД'!$AC$262,0)</f>
        <v>226340</v>
      </c>
      <c r="AA63" s="340">
        <f>ROUND('2.переченьМРАД'!$AB$262,0)</f>
        <v>1404128</v>
      </c>
      <c r="AB63" s="340">
        <v>0</v>
      </c>
      <c r="AC63" s="340">
        <v>0</v>
      </c>
      <c r="AD63" s="341">
        <f>E63+J63+O63+T63+Y63</f>
        <v>5996303</v>
      </c>
    </row>
    <row r="64" spans="1:34" ht="146.25" customHeight="1" outlineLevel="1" x14ac:dyDescent="0.2">
      <c r="A64" s="461"/>
      <c r="B64" s="324" t="s">
        <v>1437</v>
      </c>
      <c r="C64" s="466"/>
      <c r="D64" s="324" t="s">
        <v>43</v>
      </c>
      <c r="E64" s="341">
        <f t="shared" si="19"/>
        <v>682680</v>
      </c>
      <c r="F64" s="271">
        <f>SUM('2.переченьМРАД'!I209:I261)</f>
        <v>32769</v>
      </c>
      <c r="G64" s="271">
        <f>SUM('2.переченьМРАД'!H209:H261)</f>
        <v>649911</v>
      </c>
      <c r="H64" s="271">
        <f>SUM('[1]3.переченьМРАД'!G215:G227)</f>
        <v>0</v>
      </c>
      <c r="I64" s="272">
        <v>0</v>
      </c>
      <c r="J64" s="341">
        <f t="shared" si="24"/>
        <v>930249</v>
      </c>
      <c r="K64" s="271">
        <f>SUM('2.переченьМРАД'!N209:N261)</f>
        <v>54047</v>
      </c>
      <c r="L64" s="271">
        <f>SUM('2.переченьМРАД'!M209:M261)</f>
        <v>876202</v>
      </c>
      <c r="M64" s="271">
        <f>SUM('[1]3.переченьМРАД'!L215:L227)</f>
        <v>0</v>
      </c>
      <c r="N64" s="272">
        <v>0</v>
      </c>
      <c r="O64" s="341">
        <f t="shared" si="22"/>
        <v>743100</v>
      </c>
      <c r="P64" s="271">
        <f>SUM('2.переченьМРАД'!S209:S261)</f>
        <v>43100</v>
      </c>
      <c r="Q64" s="271">
        <f>SUM('2.переченьМРАД'!R209:R261)</f>
        <v>700000</v>
      </c>
      <c r="R64" s="271">
        <f>SUM('[1]3.переченьМРАД'!Q215:Q227)</f>
        <v>0</v>
      </c>
      <c r="S64" s="272">
        <v>0</v>
      </c>
      <c r="T64" s="341">
        <f t="shared" si="20"/>
        <v>721650</v>
      </c>
      <c r="U64" s="340">
        <f>SUM('2.переченьМРАД'!X209:X261)</f>
        <v>21650</v>
      </c>
      <c r="V64" s="340">
        <f>SUM('2.переченьМРАД'!W209:W261)</f>
        <v>700000</v>
      </c>
      <c r="W64" s="340">
        <f>SUM('2.переченьМРАД'!V209:V261)</f>
        <v>0</v>
      </c>
      <c r="X64" s="340">
        <v>0</v>
      </c>
      <c r="Y64" s="341">
        <f t="shared" si="21"/>
        <v>754311</v>
      </c>
      <c r="Z64" s="340">
        <f>SUM('2.переченьМРАД'!AC209:AC261)</f>
        <v>54311</v>
      </c>
      <c r="AA64" s="340">
        <f>SUM('2.переченьМРАД'!AB209:AB261)</f>
        <v>700000</v>
      </c>
      <c r="AB64" s="340">
        <f>SUM('[1]3.переченьМРАД'!AA215:AA227)</f>
        <v>0</v>
      </c>
      <c r="AC64" s="340">
        <v>0</v>
      </c>
      <c r="AD64" s="341">
        <f t="shared" si="23"/>
        <v>3831990</v>
      </c>
    </row>
    <row r="65" spans="1:34" ht="156.75" customHeight="1" outlineLevel="1" x14ac:dyDescent="0.2">
      <c r="A65" s="336" t="s">
        <v>437</v>
      </c>
      <c r="B65" s="324" t="s">
        <v>155</v>
      </c>
      <c r="C65" s="338" t="s">
        <v>50</v>
      </c>
      <c r="D65" s="324" t="s">
        <v>43</v>
      </c>
      <c r="E65" s="341">
        <f t="shared" si="19"/>
        <v>142702</v>
      </c>
      <c r="F65" s="271">
        <f>'2.переченьМРАД'!$I$266</f>
        <v>7702</v>
      </c>
      <c r="G65" s="271">
        <f>'2.переченьМРАД'!$H$266</f>
        <v>135000</v>
      </c>
      <c r="H65" s="271">
        <f>'2.переченьМРАД'!G36</f>
        <v>0</v>
      </c>
      <c r="I65" s="272">
        <v>0</v>
      </c>
      <c r="J65" s="341">
        <f t="shared" si="24"/>
        <v>132502</v>
      </c>
      <c r="K65" s="271">
        <f>'2.переченьМРАД'!$N$266</f>
        <v>132502</v>
      </c>
      <c r="L65" s="271">
        <f>'2.переченьМРАД'!$M$266</f>
        <v>0</v>
      </c>
      <c r="M65" s="271">
        <v>0</v>
      </c>
      <c r="N65" s="272">
        <v>0</v>
      </c>
      <c r="O65" s="341">
        <f t="shared" si="22"/>
        <v>40137</v>
      </c>
      <c r="P65" s="271">
        <f>'2.переченьМРАД'!$S$266</f>
        <v>40137</v>
      </c>
      <c r="Q65" s="271">
        <f>'2.переченьМРАД'!$R$266</f>
        <v>0</v>
      </c>
      <c r="R65" s="271">
        <v>0</v>
      </c>
      <c r="S65" s="272">
        <v>0</v>
      </c>
      <c r="T65" s="341">
        <f t="shared" si="20"/>
        <v>111178</v>
      </c>
      <c r="U65" s="340">
        <f>ROUND('2.переченьМРАД'!$X$266,0)</f>
        <v>111178</v>
      </c>
      <c r="V65" s="340">
        <f>ROUND('2.переченьМРАД'!$W$266,0)</f>
        <v>0</v>
      </c>
      <c r="W65" s="340">
        <v>0</v>
      </c>
      <c r="X65" s="340">
        <v>0</v>
      </c>
      <c r="Y65" s="341">
        <f t="shared" si="21"/>
        <v>0</v>
      </c>
      <c r="Z65" s="340">
        <f>ROUND('2.переченьМРАД'!$AC$266,0)</f>
        <v>0</v>
      </c>
      <c r="AA65" s="340">
        <f>ROUND('2.переченьМРАД'!$AB$266,0)</f>
        <v>0</v>
      </c>
      <c r="AB65" s="340">
        <v>0</v>
      </c>
      <c r="AC65" s="340">
        <v>0</v>
      </c>
      <c r="AD65" s="341">
        <f t="shared" si="23"/>
        <v>426519</v>
      </c>
    </row>
    <row r="66" spans="1:34" s="36" customFormat="1" ht="310.5" customHeight="1" outlineLevel="1" x14ac:dyDescent="0.2">
      <c r="A66" s="336" t="s">
        <v>438</v>
      </c>
      <c r="B66" s="324" t="s">
        <v>157</v>
      </c>
      <c r="C66" s="338" t="s">
        <v>50</v>
      </c>
      <c r="D66" s="324" t="s">
        <v>43</v>
      </c>
      <c r="E66" s="341">
        <f>F66+G66+H66+I66</f>
        <v>2746</v>
      </c>
      <c r="F66" s="271">
        <v>2746</v>
      </c>
      <c r="G66" s="271">
        <f>'2.переченьМРАД'!$H$290</f>
        <v>0</v>
      </c>
      <c r="H66" s="271">
        <f>'2.переченьМРАД'!G290</f>
        <v>0</v>
      </c>
      <c r="I66" s="272">
        <v>0</v>
      </c>
      <c r="J66" s="341">
        <f t="shared" si="24"/>
        <v>1380</v>
      </c>
      <c r="K66" s="271">
        <f>'2.переченьМРАД'!N290</f>
        <v>1380</v>
      </c>
      <c r="L66" s="271">
        <f>'[2]2.переченьМРАД'!$M$510</f>
        <v>0</v>
      </c>
      <c r="M66" s="271">
        <v>0</v>
      </c>
      <c r="N66" s="272">
        <v>0</v>
      </c>
      <c r="O66" s="341">
        <f t="shared" si="22"/>
        <v>1686</v>
      </c>
      <c r="P66" s="271">
        <f>'2.переченьМРАД'!S290</f>
        <v>1686</v>
      </c>
      <c r="Q66" s="271">
        <f>'[2]2.переченьМРАД'!$R$510</f>
        <v>0</v>
      </c>
      <c r="R66" s="271">
        <v>0</v>
      </c>
      <c r="S66" s="272">
        <v>0</v>
      </c>
      <c r="T66" s="341">
        <f t="shared" si="20"/>
        <v>1539</v>
      </c>
      <c r="U66" s="340">
        <f>'2.переченьМРАД'!X290</f>
        <v>1539</v>
      </c>
      <c r="V66" s="340">
        <f>'2.переченьМРАД'!$W$290</f>
        <v>0</v>
      </c>
      <c r="W66" s="340">
        <v>0</v>
      </c>
      <c r="X66" s="340">
        <v>0</v>
      </c>
      <c r="Y66" s="341">
        <f t="shared" si="21"/>
        <v>3520</v>
      </c>
      <c r="Z66" s="340">
        <f>ROUND('2.переченьМРАД'!$AC$290,0)</f>
        <v>3520</v>
      </c>
      <c r="AA66" s="340">
        <f>'2.переченьМРАД'!$AB$290</f>
        <v>0</v>
      </c>
      <c r="AB66" s="340">
        <v>0</v>
      </c>
      <c r="AC66" s="340">
        <v>0</v>
      </c>
      <c r="AD66" s="341">
        <f>E66+J66+O66+T66+Y66</f>
        <v>10871</v>
      </c>
      <c r="AE66" s="273"/>
      <c r="AF66" s="273"/>
      <c r="AG66" s="273"/>
      <c r="AH66" s="274"/>
    </row>
    <row r="67" spans="1:34" s="36" customFormat="1" ht="162" customHeight="1" outlineLevel="1" x14ac:dyDescent="0.2">
      <c r="A67" s="324" t="s">
        <v>439</v>
      </c>
      <c r="B67" s="324" t="s">
        <v>601</v>
      </c>
      <c r="C67" s="338" t="s">
        <v>50</v>
      </c>
      <c r="D67" s="324" t="s">
        <v>624</v>
      </c>
      <c r="E67" s="341">
        <f>F67+G67+H67+I67</f>
        <v>155462</v>
      </c>
      <c r="F67" s="271">
        <f>'2.переченьМРАД'!I292</f>
        <v>7462</v>
      </c>
      <c r="G67" s="271">
        <f>'2.переченьМРАД'!H292</f>
        <v>148000</v>
      </c>
      <c r="H67" s="271">
        <f>'2.переченьМРАД'!G292</f>
        <v>0</v>
      </c>
      <c r="I67" s="272">
        <v>0</v>
      </c>
      <c r="J67" s="341">
        <f t="shared" si="24"/>
        <v>212314</v>
      </c>
      <c r="K67" s="271">
        <f>'2.переченьМРАД'!N293</f>
        <v>12314</v>
      </c>
      <c r="L67" s="271">
        <f>'2.переченьМРАД'!M293</f>
        <v>200000</v>
      </c>
      <c r="M67" s="271">
        <f>'2.переченьМРАД'!L292</f>
        <v>0</v>
      </c>
      <c r="N67" s="272">
        <v>0</v>
      </c>
      <c r="O67" s="341">
        <f t="shared" si="22"/>
        <v>212314</v>
      </c>
      <c r="P67" s="271">
        <f>'2.переченьМРАД'!S292</f>
        <v>12314</v>
      </c>
      <c r="Q67" s="271">
        <f>'2.переченьМРАД'!R292</f>
        <v>200000</v>
      </c>
      <c r="R67" s="271">
        <f>'2.переченьМРАД'!Q292</f>
        <v>0</v>
      </c>
      <c r="S67" s="272">
        <v>0</v>
      </c>
      <c r="T67" s="341">
        <f t="shared" si="20"/>
        <v>66392</v>
      </c>
      <c r="U67" s="340">
        <f>'2.переченьМРАД'!X292</f>
        <v>1992</v>
      </c>
      <c r="V67" s="340">
        <f>'2.переченьМРАД'!W292</f>
        <v>64400</v>
      </c>
      <c r="W67" s="340">
        <f>'2.переченьМРАД'!V292</f>
        <v>0</v>
      </c>
      <c r="X67" s="340">
        <v>0</v>
      </c>
      <c r="Y67" s="341">
        <f t="shared" si="21"/>
        <v>0</v>
      </c>
      <c r="Z67" s="340">
        <f>'2.переченьМРАД'!AC292</f>
        <v>0</v>
      </c>
      <c r="AA67" s="340">
        <f>'2.переченьМРАД'!AB292</f>
        <v>0</v>
      </c>
      <c r="AB67" s="340">
        <f>'2.переченьМРАД'!AA292</f>
        <v>0</v>
      </c>
      <c r="AC67" s="340">
        <v>0</v>
      </c>
      <c r="AD67" s="341">
        <f t="shared" si="23"/>
        <v>646482</v>
      </c>
      <c r="AE67" s="273"/>
      <c r="AF67" s="273"/>
      <c r="AG67" s="273"/>
      <c r="AH67" s="274"/>
    </row>
    <row r="68" spans="1:34" s="36" customFormat="1" ht="162" customHeight="1" outlineLevel="1" x14ac:dyDescent="0.2">
      <c r="A68" s="323" t="s">
        <v>1385</v>
      </c>
      <c r="B68" s="338" t="s">
        <v>1391</v>
      </c>
      <c r="C68" s="338" t="s">
        <v>50</v>
      </c>
      <c r="D68" s="324">
        <v>2025</v>
      </c>
      <c r="E68" s="341">
        <v>0</v>
      </c>
      <c r="F68" s="271">
        <v>0</v>
      </c>
      <c r="G68" s="271">
        <v>0</v>
      </c>
      <c r="H68" s="271">
        <v>0</v>
      </c>
      <c r="I68" s="272">
        <v>0</v>
      </c>
      <c r="J68" s="341">
        <v>0</v>
      </c>
      <c r="K68" s="271">
        <v>0</v>
      </c>
      <c r="L68" s="271">
        <v>0</v>
      </c>
      <c r="M68" s="271">
        <v>0</v>
      </c>
      <c r="N68" s="272">
        <v>0</v>
      </c>
      <c r="O68" s="341">
        <v>0</v>
      </c>
      <c r="P68" s="271">
        <v>0</v>
      </c>
      <c r="Q68" s="271">
        <v>0</v>
      </c>
      <c r="R68" s="271">
        <v>0</v>
      </c>
      <c r="S68" s="272">
        <v>0</v>
      </c>
      <c r="T68" s="341">
        <v>0</v>
      </c>
      <c r="U68" s="340">
        <v>0</v>
      </c>
      <c r="V68" s="340">
        <v>0</v>
      </c>
      <c r="W68" s="340">
        <v>0</v>
      </c>
      <c r="X68" s="340">
        <v>0</v>
      </c>
      <c r="Y68" s="341">
        <f>'2.переченьМРАД'!Z296</f>
        <v>35000</v>
      </c>
      <c r="Z68" s="340">
        <f>'2.переченьМРАД'!AC296</f>
        <v>35000</v>
      </c>
      <c r="AA68" s="340">
        <v>0</v>
      </c>
      <c r="AB68" s="340">
        <v>0</v>
      </c>
      <c r="AC68" s="340"/>
      <c r="AD68" s="341">
        <f t="shared" si="23"/>
        <v>35000</v>
      </c>
      <c r="AE68" s="273"/>
      <c r="AF68" s="273"/>
      <c r="AG68" s="273"/>
      <c r="AH68" s="274"/>
    </row>
    <row r="69" spans="1:34" s="532" customFormat="1" ht="51" customHeight="1" outlineLevel="1" x14ac:dyDescent="0.25">
      <c r="A69" s="435" t="s">
        <v>369</v>
      </c>
      <c r="B69" s="435"/>
      <c r="C69" s="435"/>
      <c r="D69" s="332"/>
      <c r="E69" s="341">
        <f>F69+G69+H69+I69</f>
        <v>1584835</v>
      </c>
      <c r="F69" s="275">
        <f>F71-F70</f>
        <v>108934</v>
      </c>
      <c r="G69" s="275">
        <f>G71-G70</f>
        <v>1349108</v>
      </c>
      <c r="H69" s="275">
        <f>H71-H70</f>
        <v>126793</v>
      </c>
      <c r="I69" s="275">
        <f>I71-I59</f>
        <v>0</v>
      </c>
      <c r="J69" s="341">
        <f>K69+L69+M69+N69</f>
        <v>1550012</v>
      </c>
      <c r="K69" s="275">
        <f>K71-K70</f>
        <v>259151</v>
      </c>
      <c r="L69" s="275">
        <f>L71-L70</f>
        <v>1290861</v>
      </c>
      <c r="M69" s="275">
        <f>M71-M70</f>
        <v>0</v>
      </c>
      <c r="N69" s="275">
        <f>N71-N70</f>
        <v>0</v>
      </c>
      <c r="O69" s="275">
        <f t="shared" si="22"/>
        <v>2080681</v>
      </c>
      <c r="P69" s="275">
        <f>P71-P70</f>
        <v>301568</v>
      </c>
      <c r="Q69" s="275">
        <f>Q71-Q70</f>
        <v>1779113</v>
      </c>
      <c r="R69" s="275">
        <f>R71-R70</f>
        <v>0</v>
      </c>
      <c r="S69" s="275">
        <f>S71-S70</f>
        <v>0</v>
      </c>
      <c r="T69" s="341">
        <f>SUM(U69:X69)</f>
        <v>1797669</v>
      </c>
      <c r="U69" s="341">
        <f>U71-U70</f>
        <v>309877</v>
      </c>
      <c r="V69" s="341">
        <f>V71-V70</f>
        <v>1487792</v>
      </c>
      <c r="W69" s="341">
        <f>W71-W70</f>
        <v>0</v>
      </c>
      <c r="X69" s="341">
        <f>X71-X70</f>
        <v>0</v>
      </c>
      <c r="Y69" s="341">
        <f>SUM(Z69:AC69)</f>
        <v>1804038</v>
      </c>
      <c r="Z69" s="341">
        <f>Z71-Z70</f>
        <v>301370</v>
      </c>
      <c r="AA69" s="341">
        <f>AA71-AA70</f>
        <v>1502668</v>
      </c>
      <c r="AB69" s="341">
        <f>AB71-AB70</f>
        <v>0</v>
      </c>
      <c r="AC69" s="341">
        <f>AC71-AC70</f>
        <v>0</v>
      </c>
      <c r="AD69" s="341">
        <f>E69+J69+O69+T69+Y69</f>
        <v>8817235</v>
      </c>
      <c r="AE69" s="355">
        <f t="shared" ref="AE69:AE70" si="25">F69+K69+P69+U69+Z69</f>
        <v>1280900</v>
      </c>
      <c r="AF69" s="355">
        <f t="shared" ref="AF69:AF70" si="26">G69+L69+Q69+V69+AA69</f>
        <v>7409542</v>
      </c>
      <c r="AG69" s="355">
        <f t="shared" ref="AG69:AG70" si="27">H69+M69+R69+W69+AB69</f>
        <v>126793</v>
      </c>
      <c r="AH69" s="355">
        <f t="shared" ref="AH69:AH70" si="28">I69+N69+S69+X69+AC69</f>
        <v>0</v>
      </c>
    </row>
    <row r="70" spans="1:34" s="532" customFormat="1" ht="40.5" customHeight="1" outlineLevel="1" x14ac:dyDescent="0.25">
      <c r="A70" s="435" t="s">
        <v>370</v>
      </c>
      <c r="B70" s="435"/>
      <c r="C70" s="435"/>
      <c r="D70" s="332"/>
      <c r="E70" s="341">
        <f>F70+G70+H70+I70</f>
        <v>988</v>
      </c>
      <c r="F70" s="275">
        <f>F59</f>
        <v>988</v>
      </c>
      <c r="G70" s="275">
        <f>G59</f>
        <v>0</v>
      </c>
      <c r="H70" s="275">
        <f>H59</f>
        <v>0</v>
      </c>
      <c r="I70" s="275">
        <f>I59</f>
        <v>0</v>
      </c>
      <c r="J70" s="341">
        <f>K70+L70+M70+N70</f>
        <v>1584</v>
      </c>
      <c r="K70" s="275">
        <f>K59</f>
        <v>1584</v>
      </c>
      <c r="L70" s="275">
        <f>L59</f>
        <v>0</v>
      </c>
      <c r="M70" s="275">
        <f>M59</f>
        <v>0</v>
      </c>
      <c r="N70" s="276">
        <f>N59</f>
        <v>0</v>
      </c>
      <c r="O70" s="341">
        <f t="shared" si="22"/>
        <v>0</v>
      </c>
      <c r="P70" s="275">
        <f>P59</f>
        <v>0</v>
      </c>
      <c r="Q70" s="275">
        <f>Q59</f>
        <v>0</v>
      </c>
      <c r="R70" s="275">
        <f>R59</f>
        <v>0</v>
      </c>
      <c r="S70" s="276">
        <f>S59</f>
        <v>0</v>
      </c>
      <c r="T70" s="341">
        <f t="shared" si="20"/>
        <v>0</v>
      </c>
      <c r="U70" s="341">
        <f>U59+U61</f>
        <v>0</v>
      </c>
      <c r="V70" s="341">
        <f>V59</f>
        <v>0</v>
      </c>
      <c r="W70" s="341">
        <f>W59</f>
        <v>0</v>
      </c>
      <c r="X70" s="341">
        <f>X59</f>
        <v>0</v>
      </c>
      <c r="Y70" s="341">
        <f>Z70+AA70+AB70+AC70</f>
        <v>33082</v>
      </c>
      <c r="Z70" s="341">
        <f>Z57+Z61</f>
        <v>33082</v>
      </c>
      <c r="AA70" s="341">
        <f>AA59</f>
        <v>0</v>
      </c>
      <c r="AB70" s="341">
        <f>AB59</f>
        <v>0</v>
      </c>
      <c r="AC70" s="341">
        <f>AC59</f>
        <v>0</v>
      </c>
      <c r="AD70" s="341">
        <f>E70+J70+O70+T70+Y70</f>
        <v>35654</v>
      </c>
      <c r="AE70" s="355">
        <f t="shared" si="25"/>
        <v>35654</v>
      </c>
      <c r="AF70" s="355">
        <f t="shared" si="26"/>
        <v>0</v>
      </c>
      <c r="AG70" s="355">
        <f t="shared" si="27"/>
        <v>0</v>
      </c>
      <c r="AH70" s="355">
        <f t="shared" si="28"/>
        <v>0</v>
      </c>
    </row>
    <row r="71" spans="1:34" ht="42" customHeight="1" x14ac:dyDescent="0.2">
      <c r="A71" s="435" t="s">
        <v>368</v>
      </c>
      <c r="B71" s="435"/>
      <c r="C71" s="435"/>
      <c r="D71" s="309"/>
      <c r="E71" s="341">
        <f t="shared" ref="E71:N71" si="29">SUM(E55:E67)-E64-E62</f>
        <v>1585823</v>
      </c>
      <c r="F71" s="341">
        <f t="shared" si="29"/>
        <v>109922</v>
      </c>
      <c r="G71" s="341">
        <f t="shared" si="29"/>
        <v>1349108</v>
      </c>
      <c r="H71" s="341">
        <f t="shared" si="29"/>
        <v>126793</v>
      </c>
      <c r="I71" s="341">
        <f t="shared" si="29"/>
        <v>0</v>
      </c>
      <c r="J71" s="341">
        <f t="shared" si="29"/>
        <v>1551596</v>
      </c>
      <c r="K71" s="341">
        <f t="shared" si="29"/>
        <v>260735</v>
      </c>
      <c r="L71" s="341">
        <f t="shared" si="29"/>
        <v>1290861</v>
      </c>
      <c r="M71" s="341">
        <f t="shared" si="29"/>
        <v>0</v>
      </c>
      <c r="N71" s="341">
        <f t="shared" si="29"/>
        <v>0</v>
      </c>
      <c r="O71" s="341">
        <f t="shared" si="22"/>
        <v>2080681</v>
      </c>
      <c r="P71" s="341">
        <f>SUM(P55:P67)-P64-P62</f>
        <v>301568</v>
      </c>
      <c r="Q71" s="341">
        <f>SUM(Q55:Q67)-Q64-Q62</f>
        <v>1779113</v>
      </c>
      <c r="R71" s="341">
        <f>SUM(R55:R67)-R64-R62</f>
        <v>0</v>
      </c>
      <c r="S71" s="341">
        <f>SUM(S55:S67)-S64-S62</f>
        <v>0</v>
      </c>
      <c r="T71" s="341">
        <f t="shared" si="20"/>
        <v>1797669</v>
      </c>
      <c r="U71" s="341">
        <f>SUM(U55:U67)-U64-U62</f>
        <v>309877</v>
      </c>
      <c r="V71" s="341">
        <f>SUM(V55:V67)-V64-V62</f>
        <v>1487792</v>
      </c>
      <c r="W71" s="341">
        <f>SUM(W55:W67)-W64-W62</f>
        <v>0</v>
      </c>
      <c r="X71" s="341">
        <f>SUM(X55:X67)-X64-X62</f>
        <v>0</v>
      </c>
      <c r="Y71" s="341">
        <f>SUM(Y55:Y68)-Y64-Y62</f>
        <v>1837120</v>
      </c>
      <c r="Z71" s="341">
        <f>SUM(Z55:Z68)-Z64-Z62</f>
        <v>334452</v>
      </c>
      <c r="AA71" s="341">
        <f>SUM(AA55:AA67)-AA64-AA62</f>
        <v>1502668</v>
      </c>
      <c r="AB71" s="341">
        <f>SUM(AB55:AB67)-AB64-AB62</f>
        <v>0</v>
      </c>
      <c r="AC71" s="341">
        <f>SUM(AC55:AC67)-AC64-AC62</f>
        <v>0</v>
      </c>
      <c r="AD71" s="341">
        <f>SUM(AD55:AD68)-AD64-AD62</f>
        <v>8852889</v>
      </c>
      <c r="AE71" s="355">
        <f>F71+K71+P71+U71+Z71</f>
        <v>1316554</v>
      </c>
      <c r="AF71" s="355">
        <f>G71+L71+Q71+V71+AA71</f>
        <v>7409542</v>
      </c>
      <c r="AG71" s="355">
        <f>H71+M71+R71+W71+AB71</f>
        <v>126793</v>
      </c>
      <c r="AH71" s="355">
        <f>I71+N71+S71+X71+AC71</f>
        <v>0</v>
      </c>
    </row>
    <row r="72" spans="1:34" ht="42" customHeight="1" x14ac:dyDescent="0.2">
      <c r="A72" s="319" t="s">
        <v>454</v>
      </c>
      <c r="B72" s="448" t="s">
        <v>1081</v>
      </c>
      <c r="C72" s="449"/>
      <c r="D72" s="449"/>
      <c r="E72" s="449"/>
      <c r="F72" s="449"/>
      <c r="G72" s="449"/>
      <c r="H72" s="449"/>
      <c r="I72" s="449"/>
      <c r="J72" s="449"/>
      <c r="K72" s="449"/>
      <c r="L72" s="449"/>
      <c r="M72" s="449"/>
      <c r="N72" s="449"/>
      <c r="O72" s="449"/>
      <c r="P72" s="449"/>
      <c r="Q72" s="449"/>
      <c r="R72" s="449"/>
      <c r="S72" s="449"/>
      <c r="T72" s="449"/>
      <c r="U72" s="449"/>
      <c r="V72" s="449"/>
      <c r="W72" s="449"/>
      <c r="X72" s="449"/>
      <c r="Y72" s="449"/>
      <c r="Z72" s="449"/>
      <c r="AA72" s="449"/>
      <c r="AB72" s="449"/>
      <c r="AC72" s="449"/>
      <c r="AD72" s="449"/>
      <c r="AE72" s="277"/>
      <c r="AF72" s="277"/>
      <c r="AG72" s="277"/>
      <c r="AH72" s="277"/>
    </row>
    <row r="73" spans="1:34" ht="37.9" customHeight="1" x14ac:dyDescent="0.2">
      <c r="A73" s="458" t="s">
        <v>406</v>
      </c>
      <c r="B73" s="458"/>
      <c r="C73" s="458"/>
      <c r="D73" s="458"/>
      <c r="E73" s="458"/>
      <c r="F73" s="458"/>
      <c r="G73" s="458"/>
      <c r="H73" s="458"/>
      <c r="I73" s="458"/>
      <c r="J73" s="458"/>
      <c r="K73" s="458"/>
      <c r="L73" s="458"/>
      <c r="M73" s="458"/>
      <c r="N73" s="458"/>
      <c r="O73" s="458"/>
      <c r="P73" s="458"/>
      <c r="Q73" s="458"/>
      <c r="R73" s="458"/>
      <c r="S73" s="458"/>
      <c r="T73" s="458"/>
      <c r="U73" s="458"/>
      <c r="V73" s="458"/>
      <c r="W73" s="458"/>
      <c r="X73" s="458"/>
      <c r="Y73" s="458"/>
      <c r="Z73" s="458"/>
      <c r="AA73" s="458"/>
      <c r="AB73" s="458"/>
      <c r="AC73" s="458"/>
      <c r="AD73" s="458"/>
    </row>
    <row r="74" spans="1:34" ht="36" customHeight="1" x14ac:dyDescent="0.2">
      <c r="A74" s="451" t="s">
        <v>1079</v>
      </c>
      <c r="B74" s="451"/>
      <c r="C74" s="451"/>
      <c r="D74" s="451"/>
      <c r="E74" s="451"/>
      <c r="F74" s="451"/>
      <c r="G74" s="451"/>
      <c r="H74" s="451"/>
      <c r="I74" s="451"/>
      <c r="J74" s="451"/>
      <c r="K74" s="451"/>
      <c r="L74" s="451"/>
      <c r="M74" s="451"/>
      <c r="N74" s="451"/>
      <c r="O74" s="451"/>
      <c r="P74" s="451"/>
      <c r="Q74" s="451"/>
      <c r="R74" s="451"/>
      <c r="S74" s="451"/>
      <c r="T74" s="451"/>
      <c r="U74" s="451"/>
      <c r="V74" s="451"/>
      <c r="W74" s="451"/>
      <c r="X74" s="451"/>
      <c r="Y74" s="451"/>
      <c r="Z74" s="451"/>
      <c r="AA74" s="451"/>
      <c r="AB74" s="451"/>
      <c r="AC74" s="451"/>
      <c r="AD74" s="451"/>
    </row>
    <row r="75" spans="1:34" ht="36.6" customHeight="1" outlineLevel="1" x14ac:dyDescent="0.2">
      <c r="A75" s="278" t="s">
        <v>38</v>
      </c>
      <c r="B75" s="446" t="s">
        <v>455</v>
      </c>
      <c r="C75" s="447"/>
      <c r="D75" s="447"/>
      <c r="E75" s="447"/>
      <c r="F75" s="447"/>
      <c r="G75" s="447"/>
      <c r="H75" s="447"/>
      <c r="I75" s="447"/>
      <c r="J75" s="447"/>
      <c r="K75" s="447"/>
      <c r="L75" s="447"/>
      <c r="M75" s="447"/>
      <c r="N75" s="447"/>
      <c r="O75" s="447"/>
      <c r="P75" s="447"/>
      <c r="Q75" s="447"/>
      <c r="R75" s="447"/>
      <c r="S75" s="447"/>
      <c r="T75" s="447"/>
      <c r="U75" s="447"/>
      <c r="V75" s="447"/>
      <c r="W75" s="447"/>
      <c r="X75" s="447"/>
      <c r="Y75" s="447"/>
      <c r="Z75" s="447"/>
      <c r="AA75" s="447"/>
      <c r="AB75" s="447"/>
      <c r="AC75" s="447"/>
      <c r="AD75" s="450"/>
    </row>
    <row r="76" spans="1:34" ht="207.75" customHeight="1" outlineLevel="1" x14ac:dyDescent="0.2">
      <c r="A76" s="336" t="s">
        <v>426</v>
      </c>
      <c r="B76" s="309" t="s">
        <v>423</v>
      </c>
      <c r="C76" s="338" t="s">
        <v>48</v>
      </c>
      <c r="D76" s="324" t="s">
        <v>43</v>
      </c>
      <c r="E76" s="341">
        <f>F76+G76+H76+I76</f>
        <v>242392</v>
      </c>
      <c r="F76" s="340">
        <f>390702-125000-25030+1720</f>
        <v>242392</v>
      </c>
      <c r="G76" s="340">
        <v>0</v>
      </c>
      <c r="H76" s="340">
        <v>0</v>
      </c>
      <c r="I76" s="340">
        <v>0</v>
      </c>
      <c r="J76" s="341">
        <f>K76+L76+M76+N76</f>
        <v>221307</v>
      </c>
      <c r="K76" s="340">
        <v>221307</v>
      </c>
      <c r="L76" s="340">
        <v>0</v>
      </c>
      <c r="M76" s="340">
        <v>0</v>
      </c>
      <c r="N76" s="340">
        <v>0</v>
      </c>
      <c r="O76" s="341">
        <f t="shared" ref="O76:O82" si="30">SUM(P76:S76)</f>
        <v>227644</v>
      </c>
      <c r="P76" s="340">
        <f>424611+1857+3174-212314+10316</f>
        <v>227644</v>
      </c>
      <c r="Q76" s="340">
        <v>0</v>
      </c>
      <c r="R76" s="340">
        <v>0</v>
      </c>
      <c r="S76" s="340">
        <v>0</v>
      </c>
      <c r="T76" s="341">
        <f>SUM(U76:X76)</f>
        <v>403216</v>
      </c>
      <c r="U76" s="340">
        <f>426468+20169+22080+910-6186-200000-66392+262+206220-315</f>
        <v>403216</v>
      </c>
      <c r="V76" s="340">
        <v>0</v>
      </c>
      <c r="W76" s="340">
        <v>0</v>
      </c>
      <c r="X76" s="340">
        <v>0</v>
      </c>
      <c r="Y76" s="341">
        <f>SUM(Z76:AC76)</f>
        <v>538530</v>
      </c>
      <c r="Z76" s="340">
        <f>422583+24054+51413+40480</f>
        <v>538530</v>
      </c>
      <c r="AA76" s="340">
        <v>0</v>
      </c>
      <c r="AB76" s="340">
        <v>0</v>
      </c>
      <c r="AC76" s="340">
        <v>0</v>
      </c>
      <c r="AD76" s="341">
        <f t="shared" ref="AD76:AD77" si="31">E76+J76+O76+T76+Y76</f>
        <v>1633089</v>
      </c>
    </row>
    <row r="77" spans="1:34" ht="95.25" customHeight="1" outlineLevel="1" x14ac:dyDescent="0.2">
      <c r="A77" s="336" t="s">
        <v>456</v>
      </c>
      <c r="B77" s="309" t="s">
        <v>118</v>
      </c>
      <c r="C77" s="338" t="s">
        <v>48</v>
      </c>
      <c r="D77" s="324" t="s">
        <v>43</v>
      </c>
      <c r="E77" s="341">
        <v>846</v>
      </c>
      <c r="F77" s="340">
        <v>846</v>
      </c>
      <c r="G77" s="340">
        <v>0</v>
      </c>
      <c r="H77" s="340">
        <v>0</v>
      </c>
      <c r="I77" s="340">
        <v>0</v>
      </c>
      <c r="J77" s="341">
        <f>K77+L77+M77+N77</f>
        <v>846</v>
      </c>
      <c r="K77" s="340">
        <v>846</v>
      </c>
      <c r="L77" s="340">
        <v>0</v>
      </c>
      <c r="M77" s="340">
        <v>0</v>
      </c>
      <c r="N77" s="340">
        <v>0</v>
      </c>
      <c r="O77" s="341">
        <f t="shared" si="30"/>
        <v>868</v>
      </c>
      <c r="P77" s="340">
        <f>846+22</f>
        <v>868</v>
      </c>
      <c r="Q77" s="340">
        <v>0</v>
      </c>
      <c r="R77" s="340">
        <v>0</v>
      </c>
      <c r="S77" s="340">
        <v>0</v>
      </c>
      <c r="T77" s="341">
        <f>SUM(U77:X77)</f>
        <v>964</v>
      </c>
      <c r="U77" s="340">
        <f>846+118</f>
        <v>964</v>
      </c>
      <c r="V77" s="340">
        <v>0</v>
      </c>
      <c r="W77" s="340">
        <v>0</v>
      </c>
      <c r="X77" s="340">
        <v>0</v>
      </c>
      <c r="Y77" s="341">
        <f>SUM(Z77:AC77)</f>
        <v>1055</v>
      </c>
      <c r="Z77" s="340">
        <f>846+122+87</f>
        <v>1055</v>
      </c>
      <c r="AA77" s="340">
        <v>0</v>
      </c>
      <c r="AB77" s="340">
        <v>0</v>
      </c>
      <c r="AC77" s="340">
        <v>0</v>
      </c>
      <c r="AD77" s="341">
        <f t="shared" si="31"/>
        <v>4579</v>
      </c>
    </row>
    <row r="78" spans="1:34" ht="36.6" customHeight="1" outlineLevel="1" x14ac:dyDescent="0.2">
      <c r="A78" s="278" t="s">
        <v>39</v>
      </c>
      <c r="B78" s="446" t="s">
        <v>469</v>
      </c>
      <c r="C78" s="447"/>
      <c r="D78" s="447"/>
      <c r="E78" s="447"/>
      <c r="F78" s="447"/>
      <c r="G78" s="447"/>
      <c r="H78" s="447"/>
      <c r="I78" s="447"/>
      <c r="J78" s="447"/>
      <c r="K78" s="447"/>
      <c r="L78" s="447"/>
      <c r="M78" s="447"/>
      <c r="N78" s="447"/>
      <c r="O78" s="447"/>
      <c r="P78" s="447"/>
      <c r="Q78" s="447"/>
      <c r="R78" s="447"/>
      <c r="S78" s="447"/>
      <c r="T78" s="447"/>
      <c r="U78" s="447"/>
      <c r="V78" s="447"/>
      <c r="W78" s="447"/>
      <c r="X78" s="447"/>
      <c r="Y78" s="447"/>
      <c r="Z78" s="447"/>
      <c r="AA78" s="447"/>
      <c r="AB78" s="447"/>
      <c r="AC78" s="447"/>
      <c r="AD78" s="450"/>
      <c r="AE78" s="279"/>
      <c r="AF78" s="43"/>
      <c r="AG78" s="43"/>
      <c r="AH78" s="43"/>
    </row>
    <row r="79" spans="1:34" ht="106.5" customHeight="1" outlineLevel="1" x14ac:dyDescent="0.2">
      <c r="A79" s="336" t="s">
        <v>427</v>
      </c>
      <c r="B79" s="309" t="s">
        <v>72</v>
      </c>
      <c r="C79" s="338" t="s">
        <v>48</v>
      </c>
      <c r="D79" s="324" t="s">
        <v>43</v>
      </c>
      <c r="E79" s="341">
        <f>F79+G79+H79+I79</f>
        <v>29931</v>
      </c>
      <c r="F79" s="340">
        <f>30000-69</f>
        <v>29931</v>
      </c>
      <c r="G79" s="340">
        <v>0</v>
      </c>
      <c r="H79" s="340">
        <v>0</v>
      </c>
      <c r="I79" s="340">
        <v>0</v>
      </c>
      <c r="J79" s="341">
        <f>K79+L79+M79+N79</f>
        <v>30000</v>
      </c>
      <c r="K79" s="340">
        <v>30000</v>
      </c>
      <c r="L79" s="340">
        <v>0</v>
      </c>
      <c r="M79" s="340">
        <v>0</v>
      </c>
      <c r="N79" s="340">
        <v>0</v>
      </c>
      <c r="O79" s="341">
        <f t="shared" si="30"/>
        <v>25868</v>
      </c>
      <c r="P79" s="340">
        <f>30000-4132</f>
        <v>25868</v>
      </c>
      <c r="Q79" s="340">
        <v>0</v>
      </c>
      <c r="R79" s="340">
        <v>0</v>
      </c>
      <c r="S79" s="340">
        <v>0</v>
      </c>
      <c r="T79" s="341">
        <f>SUM(U79:X79)</f>
        <v>49918</v>
      </c>
      <c r="U79" s="340">
        <f>31200-1200+25000-1836-2062-262-34-226-662</f>
        <v>49918</v>
      </c>
      <c r="V79" s="340">
        <v>0</v>
      </c>
      <c r="W79" s="340">
        <v>0</v>
      </c>
      <c r="X79" s="340">
        <v>0</v>
      </c>
      <c r="Y79" s="341">
        <f>SUM(Z79:AC79)</f>
        <v>69885</v>
      </c>
      <c r="Z79" s="340">
        <f>31200+4800+33885</f>
        <v>69885</v>
      </c>
      <c r="AA79" s="340">
        <v>0</v>
      </c>
      <c r="AB79" s="340">
        <v>0</v>
      </c>
      <c r="AC79" s="340">
        <v>0</v>
      </c>
      <c r="AD79" s="341">
        <f>E79+J79+O79+T79+Y79</f>
        <v>205602</v>
      </c>
    </row>
    <row r="80" spans="1:34" ht="119.25" customHeight="1" outlineLevel="1" x14ac:dyDescent="0.2">
      <c r="A80" s="336" t="s">
        <v>457</v>
      </c>
      <c r="B80" s="309" t="s">
        <v>514</v>
      </c>
      <c r="C80" s="338" t="s">
        <v>48</v>
      </c>
      <c r="D80" s="324" t="s">
        <v>43</v>
      </c>
      <c r="E80" s="341">
        <f>F80+G80+H80+I80</f>
        <v>8312</v>
      </c>
      <c r="F80" s="340">
        <v>8312</v>
      </c>
      <c r="G80" s="340">
        <v>0</v>
      </c>
      <c r="H80" s="340">
        <v>0</v>
      </c>
      <c r="I80" s="340">
        <v>0</v>
      </c>
      <c r="J80" s="341">
        <f>K80+L80+M80+N80</f>
        <v>8031</v>
      </c>
      <c r="K80" s="340">
        <f>831+7200</f>
        <v>8031</v>
      </c>
      <c r="L80" s="340">
        <v>0</v>
      </c>
      <c r="M80" s="340">
        <v>0</v>
      </c>
      <c r="N80" s="340">
        <v>0</v>
      </c>
      <c r="O80" s="341">
        <f t="shared" si="30"/>
        <v>1200</v>
      </c>
      <c r="P80" s="340">
        <f>1219-9-10</f>
        <v>1200</v>
      </c>
      <c r="Q80" s="340">
        <v>0</v>
      </c>
      <c r="R80" s="340">
        <v>0</v>
      </c>
      <c r="S80" s="340">
        <v>0</v>
      </c>
      <c r="T80" s="341">
        <f>SUM(U80:X80)</f>
        <v>1200</v>
      </c>
      <c r="U80" s="340">
        <v>1200</v>
      </c>
      <c r="V80" s="340">
        <v>0</v>
      </c>
      <c r="W80" s="340">
        <v>0</v>
      </c>
      <c r="X80" s="340">
        <v>0</v>
      </c>
      <c r="Y80" s="341">
        <f>SUM(Z80:AC80)</f>
        <v>3673</v>
      </c>
      <c r="Z80" s="340">
        <f>2817-344+1200</f>
        <v>3673</v>
      </c>
      <c r="AA80" s="340">
        <v>0</v>
      </c>
      <c r="AB80" s="340">
        <v>0</v>
      </c>
      <c r="AC80" s="340">
        <v>0</v>
      </c>
      <c r="AD80" s="341">
        <f>E80+J80+O80+T80+Y80</f>
        <v>22416</v>
      </c>
    </row>
    <row r="81" spans="1:347" ht="301.5" customHeight="1" outlineLevel="1" x14ac:dyDescent="0.2">
      <c r="A81" s="336" t="s">
        <v>458</v>
      </c>
      <c r="B81" s="30" t="s">
        <v>1323</v>
      </c>
      <c r="C81" s="338" t="s">
        <v>48</v>
      </c>
      <c r="D81" s="324" t="s">
        <v>1311</v>
      </c>
      <c r="E81" s="341">
        <f>F81+G81+H81+I81</f>
        <v>111</v>
      </c>
      <c r="F81" s="340">
        <f>625-257-257</f>
        <v>111</v>
      </c>
      <c r="G81" s="340">
        <v>0</v>
      </c>
      <c r="H81" s="340">
        <v>0</v>
      </c>
      <c r="I81" s="340">
        <v>0</v>
      </c>
      <c r="J81" s="341">
        <f>K81+L81+M81+N81</f>
        <v>0</v>
      </c>
      <c r="K81" s="340">
        <v>0</v>
      </c>
      <c r="L81" s="340">
        <v>0</v>
      </c>
      <c r="M81" s="340">
        <v>0</v>
      </c>
      <c r="N81" s="340">
        <v>0</v>
      </c>
      <c r="O81" s="341">
        <f t="shared" si="30"/>
        <v>0</v>
      </c>
      <c r="P81" s="340">
        <v>0</v>
      </c>
      <c r="Q81" s="340">
        <v>0</v>
      </c>
      <c r="R81" s="340">
        <v>0</v>
      </c>
      <c r="S81" s="340">
        <v>0</v>
      </c>
      <c r="T81" s="341">
        <f>SUM(U81:X81)</f>
        <v>93</v>
      </c>
      <c r="U81" s="340">
        <f>291-198</f>
        <v>93</v>
      </c>
      <c r="V81" s="340">
        <v>0</v>
      </c>
      <c r="W81" s="340">
        <v>0</v>
      </c>
      <c r="X81" s="340">
        <v>0</v>
      </c>
      <c r="Y81" s="341">
        <f>SUM(Z81:AC81)</f>
        <v>0</v>
      </c>
      <c r="Z81" s="340">
        <v>0</v>
      </c>
      <c r="AA81" s="340">
        <v>0</v>
      </c>
      <c r="AB81" s="340">
        <v>0</v>
      </c>
      <c r="AC81" s="340">
        <v>0</v>
      </c>
      <c r="AD81" s="341">
        <f>E81+J81+O81+T81+Y81</f>
        <v>204</v>
      </c>
    </row>
    <row r="82" spans="1:347" ht="112.15" customHeight="1" outlineLevel="1" x14ac:dyDescent="0.2">
      <c r="A82" s="336" t="s">
        <v>459</v>
      </c>
      <c r="B82" s="309" t="s">
        <v>328</v>
      </c>
      <c r="C82" s="338" t="s">
        <v>48</v>
      </c>
      <c r="D82" s="324">
        <v>2021</v>
      </c>
      <c r="E82" s="341">
        <f>F82+G82+H82+I82</f>
        <v>269</v>
      </c>
      <c r="F82" s="340">
        <v>269</v>
      </c>
      <c r="G82" s="340">
        <v>0</v>
      </c>
      <c r="H82" s="340">
        <v>0</v>
      </c>
      <c r="I82" s="340">
        <v>0</v>
      </c>
      <c r="J82" s="341">
        <f>K82+L82+M82+N82</f>
        <v>0</v>
      </c>
      <c r="K82" s="340">
        <v>0</v>
      </c>
      <c r="L82" s="340">
        <v>0</v>
      </c>
      <c r="M82" s="340">
        <v>0</v>
      </c>
      <c r="N82" s="340">
        <v>0</v>
      </c>
      <c r="O82" s="341">
        <f t="shared" si="30"/>
        <v>0</v>
      </c>
      <c r="P82" s="340">
        <v>0</v>
      </c>
      <c r="Q82" s="340">
        <v>0</v>
      </c>
      <c r="R82" s="340">
        <v>0</v>
      </c>
      <c r="S82" s="340">
        <v>0</v>
      </c>
      <c r="T82" s="341">
        <f>SUM(U82:X82)</f>
        <v>0</v>
      </c>
      <c r="U82" s="340">
        <v>0</v>
      </c>
      <c r="V82" s="340">
        <v>0</v>
      </c>
      <c r="W82" s="340">
        <v>0</v>
      </c>
      <c r="X82" s="340">
        <v>0</v>
      </c>
      <c r="Y82" s="341">
        <f>SUM(Z82:AC82)</f>
        <v>0</v>
      </c>
      <c r="Z82" s="340">
        <v>0</v>
      </c>
      <c r="AA82" s="340">
        <v>0</v>
      </c>
      <c r="AB82" s="340">
        <v>0</v>
      </c>
      <c r="AC82" s="340">
        <v>0</v>
      </c>
      <c r="AD82" s="341">
        <f>E82+J82+O82+T82+Y82</f>
        <v>269</v>
      </c>
    </row>
    <row r="83" spans="1:347" ht="318.75" customHeight="1" outlineLevel="1" x14ac:dyDescent="0.2">
      <c r="A83" s="336" t="s">
        <v>548</v>
      </c>
      <c r="B83" s="280" t="s">
        <v>1322</v>
      </c>
      <c r="C83" s="338" t="s">
        <v>48</v>
      </c>
      <c r="D83" s="324" t="s">
        <v>1085</v>
      </c>
      <c r="E83" s="341">
        <f>F83+G83+H83+I83</f>
        <v>0</v>
      </c>
      <c r="F83" s="340">
        <v>0</v>
      </c>
      <c r="G83" s="340">
        <v>0</v>
      </c>
      <c r="H83" s="340">
        <v>0</v>
      </c>
      <c r="I83" s="340">
        <v>0</v>
      </c>
      <c r="J83" s="341">
        <f>K83+L83+M83+N83</f>
        <v>0</v>
      </c>
      <c r="K83" s="340">
        <v>0</v>
      </c>
      <c r="L83" s="340">
        <v>0</v>
      </c>
      <c r="M83" s="340">
        <v>0</v>
      </c>
      <c r="N83" s="340">
        <v>0</v>
      </c>
      <c r="O83" s="341">
        <f>S83+R83+Q83+P83</f>
        <v>298</v>
      </c>
      <c r="P83" s="340">
        <f>400-102</f>
        <v>298</v>
      </c>
      <c r="Q83" s="340">
        <v>0</v>
      </c>
      <c r="R83" s="340">
        <v>0</v>
      </c>
      <c r="S83" s="340">
        <v>0</v>
      </c>
      <c r="T83" s="341">
        <f>U83+V83+W83+X83</f>
        <v>397</v>
      </c>
      <c r="U83" s="340">
        <f>1529-291-841</f>
        <v>397</v>
      </c>
      <c r="V83" s="340">
        <v>0</v>
      </c>
      <c r="W83" s="340">
        <v>0</v>
      </c>
      <c r="X83" s="340">
        <v>0</v>
      </c>
      <c r="Y83" s="341">
        <f>Z83+AA83+AB83+AC83</f>
        <v>0</v>
      </c>
      <c r="Z83" s="340">
        <v>0</v>
      </c>
      <c r="AA83" s="340">
        <v>0</v>
      </c>
      <c r="AB83" s="340">
        <v>0</v>
      </c>
      <c r="AC83" s="340">
        <v>0</v>
      </c>
      <c r="AD83" s="341">
        <f>E83+J83+O83+T83+Y83</f>
        <v>695</v>
      </c>
    </row>
    <row r="84" spans="1:347" ht="39" customHeight="1" outlineLevel="1" x14ac:dyDescent="0.2">
      <c r="A84" s="453" t="s">
        <v>73</v>
      </c>
      <c r="B84" s="453"/>
      <c r="C84" s="453"/>
      <c r="D84" s="281"/>
      <c r="E84" s="341">
        <f t="shared" ref="E84:AD84" si="32">SUM(E76:E83)</f>
        <v>281861</v>
      </c>
      <c r="F84" s="341">
        <f t="shared" si="32"/>
        <v>281861</v>
      </c>
      <c r="G84" s="341">
        <f t="shared" si="32"/>
        <v>0</v>
      </c>
      <c r="H84" s="341">
        <f t="shared" si="32"/>
        <v>0</v>
      </c>
      <c r="I84" s="341">
        <f t="shared" si="32"/>
        <v>0</v>
      </c>
      <c r="J84" s="341">
        <f t="shared" si="32"/>
        <v>260184</v>
      </c>
      <c r="K84" s="341">
        <f t="shared" si="32"/>
        <v>260184</v>
      </c>
      <c r="L84" s="341">
        <f t="shared" si="32"/>
        <v>0</v>
      </c>
      <c r="M84" s="341">
        <f t="shared" si="32"/>
        <v>0</v>
      </c>
      <c r="N84" s="341">
        <f t="shared" si="32"/>
        <v>0</v>
      </c>
      <c r="O84" s="341">
        <f t="shared" si="32"/>
        <v>255878</v>
      </c>
      <c r="P84" s="341">
        <f>SUM(P76:P83)</f>
        <v>255878</v>
      </c>
      <c r="Q84" s="341">
        <f t="shared" si="32"/>
        <v>0</v>
      </c>
      <c r="R84" s="341">
        <f t="shared" si="32"/>
        <v>0</v>
      </c>
      <c r="S84" s="341">
        <f t="shared" si="32"/>
        <v>0</v>
      </c>
      <c r="T84" s="341">
        <f>SUM(T76:T83)</f>
        <v>455788</v>
      </c>
      <c r="U84" s="341">
        <f>SUM(U76:U83)</f>
        <v>455788</v>
      </c>
      <c r="V84" s="341">
        <f t="shared" si="32"/>
        <v>0</v>
      </c>
      <c r="W84" s="341">
        <f t="shared" si="32"/>
        <v>0</v>
      </c>
      <c r="X84" s="341">
        <f t="shared" si="32"/>
        <v>0</v>
      </c>
      <c r="Y84" s="341">
        <f t="shared" si="32"/>
        <v>613143</v>
      </c>
      <c r="Z84" s="341">
        <f t="shared" si="32"/>
        <v>613143</v>
      </c>
      <c r="AA84" s="341">
        <f t="shared" si="32"/>
        <v>0</v>
      </c>
      <c r="AB84" s="341">
        <f t="shared" si="32"/>
        <v>0</v>
      </c>
      <c r="AC84" s="341">
        <f t="shared" si="32"/>
        <v>0</v>
      </c>
      <c r="AD84" s="341">
        <f t="shared" si="32"/>
        <v>1866854</v>
      </c>
      <c r="AE84" s="268">
        <f>F84+K84+P84+U84+Z84</f>
        <v>1866854</v>
      </c>
      <c r="AF84" s="268">
        <f>G84+L84+Q84+V84+AA84</f>
        <v>0</v>
      </c>
      <c r="AG84" s="268">
        <f>H84+M84+R84+W84+AB84</f>
        <v>0</v>
      </c>
      <c r="AH84" s="268">
        <f>I84+N84+S84+X84+AC84</f>
        <v>0</v>
      </c>
    </row>
    <row r="85" spans="1:347" ht="39" customHeight="1" outlineLevel="1" x14ac:dyDescent="0.2">
      <c r="A85" s="319" t="s">
        <v>460</v>
      </c>
      <c r="B85" s="448" t="s">
        <v>1078</v>
      </c>
      <c r="C85" s="449"/>
      <c r="D85" s="449"/>
      <c r="E85" s="449"/>
      <c r="F85" s="449"/>
      <c r="G85" s="449"/>
      <c r="H85" s="449"/>
      <c r="I85" s="449"/>
      <c r="J85" s="449"/>
      <c r="K85" s="449"/>
      <c r="L85" s="449"/>
      <c r="M85" s="449"/>
      <c r="N85" s="449"/>
      <c r="O85" s="449"/>
      <c r="P85" s="449"/>
      <c r="Q85" s="449"/>
      <c r="R85" s="449"/>
      <c r="S85" s="449"/>
      <c r="T85" s="449"/>
      <c r="U85" s="449"/>
      <c r="V85" s="449"/>
      <c r="W85" s="449"/>
      <c r="X85" s="449"/>
      <c r="Y85" s="449"/>
      <c r="Z85" s="449"/>
      <c r="AA85" s="449"/>
      <c r="AB85" s="449"/>
      <c r="AC85" s="449"/>
      <c r="AD85" s="454"/>
      <c r="AE85" s="36"/>
      <c r="AF85" s="36"/>
      <c r="AG85" s="36"/>
      <c r="AH85" s="36"/>
    </row>
    <row r="86" spans="1:347" s="36" customFormat="1" ht="38.450000000000003" customHeight="1" outlineLevel="1" x14ac:dyDescent="0.2">
      <c r="A86" s="458" t="s">
        <v>128</v>
      </c>
      <c r="B86" s="458"/>
      <c r="C86" s="458"/>
      <c r="D86" s="458"/>
      <c r="E86" s="458"/>
      <c r="F86" s="458"/>
      <c r="G86" s="458"/>
      <c r="H86" s="458"/>
      <c r="I86" s="458"/>
      <c r="J86" s="458"/>
      <c r="K86" s="458"/>
      <c r="L86" s="458"/>
      <c r="M86" s="458"/>
      <c r="N86" s="458"/>
      <c r="O86" s="458"/>
      <c r="P86" s="458"/>
      <c r="Q86" s="458"/>
      <c r="R86" s="458"/>
      <c r="S86" s="458"/>
      <c r="T86" s="458"/>
      <c r="U86" s="458"/>
      <c r="V86" s="458"/>
      <c r="W86" s="458"/>
      <c r="X86" s="458"/>
      <c r="Y86" s="458"/>
      <c r="Z86" s="458"/>
      <c r="AA86" s="458"/>
      <c r="AB86" s="458"/>
      <c r="AC86" s="458"/>
      <c r="AD86" s="458"/>
      <c r="AE86" s="28"/>
      <c r="AF86" s="28"/>
      <c r="AG86" s="28"/>
      <c r="AH86" s="28"/>
    </row>
    <row r="87" spans="1:347" ht="34.15" customHeight="1" x14ac:dyDescent="0.2">
      <c r="A87" s="451" t="s">
        <v>1077</v>
      </c>
      <c r="B87" s="451"/>
      <c r="C87" s="451"/>
      <c r="D87" s="451"/>
      <c r="E87" s="451"/>
      <c r="F87" s="451"/>
      <c r="G87" s="451"/>
      <c r="H87" s="451"/>
      <c r="I87" s="451"/>
      <c r="J87" s="451"/>
      <c r="K87" s="451"/>
      <c r="L87" s="451"/>
      <c r="M87" s="451"/>
      <c r="N87" s="451"/>
      <c r="O87" s="451"/>
      <c r="P87" s="451"/>
      <c r="Q87" s="451"/>
      <c r="R87" s="451"/>
      <c r="S87" s="451"/>
      <c r="T87" s="451"/>
      <c r="U87" s="451"/>
      <c r="V87" s="451"/>
      <c r="W87" s="451"/>
      <c r="X87" s="451"/>
      <c r="Y87" s="451"/>
      <c r="Z87" s="451"/>
      <c r="AA87" s="451"/>
      <c r="AB87" s="451"/>
      <c r="AC87" s="451"/>
      <c r="AD87" s="451"/>
      <c r="AE87" s="282"/>
      <c r="AF87" s="282"/>
      <c r="AG87" s="282"/>
      <c r="AH87" s="282"/>
    </row>
    <row r="88" spans="1:347" ht="42" customHeight="1" x14ac:dyDescent="0.2">
      <c r="A88" s="255" t="s">
        <v>32</v>
      </c>
      <c r="B88" s="446" t="s">
        <v>461</v>
      </c>
      <c r="C88" s="447"/>
      <c r="D88" s="447"/>
      <c r="E88" s="447"/>
      <c r="F88" s="447"/>
      <c r="G88" s="447"/>
      <c r="H88" s="447"/>
      <c r="I88" s="447"/>
      <c r="J88" s="447"/>
      <c r="K88" s="447"/>
      <c r="L88" s="447"/>
      <c r="M88" s="447"/>
      <c r="N88" s="447"/>
      <c r="O88" s="447"/>
      <c r="P88" s="447"/>
      <c r="Q88" s="447"/>
      <c r="R88" s="447"/>
      <c r="S88" s="447"/>
      <c r="T88" s="447"/>
      <c r="U88" s="447"/>
      <c r="V88" s="447"/>
      <c r="W88" s="447"/>
      <c r="X88" s="447"/>
      <c r="Y88" s="447"/>
      <c r="Z88" s="447"/>
      <c r="AA88" s="447"/>
      <c r="AB88" s="447"/>
      <c r="AC88" s="447"/>
      <c r="AD88" s="450"/>
      <c r="AE88" s="282"/>
      <c r="AF88" s="282"/>
      <c r="AG88" s="282"/>
      <c r="AH88" s="282"/>
    </row>
    <row r="89" spans="1:347" ht="96" customHeight="1" x14ac:dyDescent="0.2">
      <c r="A89" s="336" t="s">
        <v>428</v>
      </c>
      <c r="B89" s="324" t="s">
        <v>45</v>
      </c>
      <c r="C89" s="338" t="s">
        <v>44</v>
      </c>
      <c r="D89" s="324" t="s">
        <v>43</v>
      </c>
      <c r="E89" s="341">
        <f>F89+G89+H89+I89</f>
        <v>112</v>
      </c>
      <c r="F89" s="340">
        <v>0</v>
      </c>
      <c r="G89" s="340">
        <v>0</v>
      </c>
      <c r="H89" s="340">
        <v>0</v>
      </c>
      <c r="I89" s="340">
        <v>112</v>
      </c>
      <c r="J89" s="341">
        <f>K89+L89+M89+N89</f>
        <v>112</v>
      </c>
      <c r="K89" s="340">
        <v>0</v>
      </c>
      <c r="L89" s="340">
        <v>0</v>
      </c>
      <c r="M89" s="340">
        <v>0</v>
      </c>
      <c r="N89" s="340">
        <v>112</v>
      </c>
      <c r="O89" s="341">
        <f>SUM(P89:S89)</f>
        <v>0</v>
      </c>
      <c r="P89" s="340">
        <v>0</v>
      </c>
      <c r="Q89" s="340">
        <v>0</v>
      </c>
      <c r="R89" s="340">
        <v>0</v>
      </c>
      <c r="S89" s="340">
        <f>112-112</f>
        <v>0</v>
      </c>
      <c r="T89" s="341">
        <f>SUM(U89:X89)</f>
        <v>681</v>
      </c>
      <c r="U89" s="340">
        <f>681</f>
        <v>681</v>
      </c>
      <c r="V89" s="340">
        <v>0</v>
      </c>
      <c r="W89" s="340">
        <v>0</v>
      </c>
      <c r="X89" s="340">
        <f>112-112</f>
        <v>0</v>
      </c>
      <c r="Y89" s="341">
        <f>SUM(Z89:AC89)</f>
        <v>913</v>
      </c>
      <c r="Z89" s="340">
        <f>913</f>
        <v>913</v>
      </c>
      <c r="AA89" s="340">
        <v>0</v>
      </c>
      <c r="AB89" s="340">
        <v>0</v>
      </c>
      <c r="AC89" s="340">
        <f>112-112</f>
        <v>0</v>
      </c>
      <c r="AD89" s="341">
        <f>E89+J89+O89+T89+Y89</f>
        <v>1818</v>
      </c>
    </row>
    <row r="90" spans="1:347" ht="96" customHeight="1" x14ac:dyDescent="0.2">
      <c r="A90" s="336" t="s">
        <v>615</v>
      </c>
      <c r="B90" s="324" t="s">
        <v>616</v>
      </c>
      <c r="C90" s="338" t="s">
        <v>44</v>
      </c>
      <c r="D90" s="324">
        <v>2025</v>
      </c>
      <c r="E90" s="341">
        <v>0</v>
      </c>
      <c r="F90" s="340">
        <v>0</v>
      </c>
      <c r="G90" s="340">
        <v>0</v>
      </c>
      <c r="H90" s="340">
        <v>0</v>
      </c>
      <c r="I90" s="340">
        <v>0</v>
      </c>
      <c r="J90" s="341">
        <v>0</v>
      </c>
      <c r="K90" s="340">
        <v>0</v>
      </c>
      <c r="L90" s="340">
        <v>0</v>
      </c>
      <c r="M90" s="340">
        <v>0</v>
      </c>
      <c r="N90" s="340">
        <v>0</v>
      </c>
      <c r="O90" s="341">
        <v>0</v>
      </c>
      <c r="P90" s="340">
        <v>0</v>
      </c>
      <c r="Q90" s="340">
        <v>0</v>
      </c>
      <c r="R90" s="340">
        <v>0</v>
      </c>
      <c r="S90" s="340">
        <v>0</v>
      </c>
      <c r="T90" s="341">
        <f>SUM(U90:X90)</f>
        <v>0</v>
      </c>
      <c r="U90" s="340">
        <f>8000-8000</f>
        <v>0</v>
      </c>
      <c r="V90" s="340">
        <v>0</v>
      </c>
      <c r="W90" s="340">
        <v>0</v>
      </c>
      <c r="X90" s="340">
        <v>0</v>
      </c>
      <c r="Y90" s="341">
        <f>SUM(Z90:AC90)</f>
        <v>0</v>
      </c>
      <c r="Z90" s="340">
        <v>0</v>
      </c>
      <c r="AA90" s="340">
        <v>0</v>
      </c>
      <c r="AB90" s="340">
        <v>0</v>
      </c>
      <c r="AC90" s="340">
        <v>0</v>
      </c>
      <c r="AD90" s="341">
        <f>E90+J90+O90+T90+Y90</f>
        <v>0</v>
      </c>
    </row>
    <row r="91" spans="1:347" ht="38.25" customHeight="1" x14ac:dyDescent="0.2">
      <c r="A91" s="319" t="s">
        <v>3</v>
      </c>
      <c r="B91" s="448" t="s">
        <v>462</v>
      </c>
      <c r="C91" s="449"/>
      <c r="D91" s="449"/>
      <c r="E91" s="449"/>
      <c r="F91" s="449"/>
      <c r="G91" s="449"/>
      <c r="H91" s="449"/>
      <c r="I91" s="449"/>
      <c r="J91" s="449"/>
      <c r="K91" s="449"/>
      <c r="L91" s="449"/>
      <c r="M91" s="449"/>
      <c r="N91" s="449"/>
      <c r="O91" s="449"/>
      <c r="P91" s="449"/>
      <c r="Q91" s="449"/>
      <c r="R91" s="449"/>
      <c r="S91" s="449"/>
      <c r="T91" s="449"/>
      <c r="U91" s="449"/>
      <c r="V91" s="449"/>
      <c r="W91" s="449"/>
      <c r="X91" s="449"/>
      <c r="Y91" s="449"/>
      <c r="Z91" s="449"/>
      <c r="AA91" s="449"/>
      <c r="AB91" s="449"/>
      <c r="AC91" s="449"/>
      <c r="AD91" s="454"/>
    </row>
    <row r="92" spans="1:347" s="43" customFormat="1" ht="171" customHeight="1" x14ac:dyDescent="0.2">
      <c r="A92" s="336" t="s">
        <v>429</v>
      </c>
      <c r="B92" s="283" t="s">
        <v>325</v>
      </c>
      <c r="C92" s="284" t="s">
        <v>44</v>
      </c>
      <c r="D92" s="285" t="s">
        <v>43</v>
      </c>
      <c r="E92" s="286">
        <f>F92+G92+H92+I92</f>
        <v>17888</v>
      </c>
      <c r="F92" s="287">
        <v>17888</v>
      </c>
      <c r="G92" s="287">
        <v>0</v>
      </c>
      <c r="H92" s="287">
        <v>0</v>
      </c>
      <c r="I92" s="287">
        <v>0</v>
      </c>
      <c r="J92" s="286">
        <f>K92+L92+M92+N92</f>
        <v>15100</v>
      </c>
      <c r="K92" s="287">
        <f>11647+3453</f>
        <v>15100</v>
      </c>
      <c r="L92" s="287">
        <v>0</v>
      </c>
      <c r="M92" s="287">
        <v>0</v>
      </c>
      <c r="N92" s="287">
        <v>0</v>
      </c>
      <c r="O92" s="286">
        <f>SUM(P92:S92)</f>
        <v>17715</v>
      </c>
      <c r="P92" s="287">
        <f>15105+2610</f>
        <v>17715</v>
      </c>
      <c r="Q92" s="287">
        <v>0</v>
      </c>
      <c r="R92" s="287">
        <v>0</v>
      </c>
      <c r="S92" s="287">
        <v>0</v>
      </c>
      <c r="T92" s="286">
        <f>SUM(U92:X92)</f>
        <v>20138</v>
      </c>
      <c r="U92" s="287">
        <f>15105+5033</f>
        <v>20138</v>
      </c>
      <c r="V92" s="287">
        <v>0</v>
      </c>
      <c r="W92" s="287">
        <v>0</v>
      </c>
      <c r="X92" s="287">
        <v>0</v>
      </c>
      <c r="Y92" s="286">
        <f>SUM(Z92:AC92)</f>
        <v>21886</v>
      </c>
      <c r="Z92" s="287">
        <f>15105+2395+4386</f>
        <v>21886</v>
      </c>
      <c r="AA92" s="287">
        <v>0</v>
      </c>
      <c r="AB92" s="287">
        <v>0</v>
      </c>
      <c r="AC92" s="287">
        <v>0</v>
      </c>
      <c r="AD92" s="286">
        <f>E92+J92+O92+T92+Y92</f>
        <v>92727</v>
      </c>
      <c r="AE92" s="28"/>
      <c r="AF92" s="28"/>
      <c r="AG92" s="28"/>
      <c r="AH92" s="28"/>
    </row>
    <row r="93" spans="1:347" s="43" customFormat="1" ht="399.75" customHeight="1" x14ac:dyDescent="0.2">
      <c r="A93" s="336" t="s">
        <v>463</v>
      </c>
      <c r="B93" s="283" t="s">
        <v>324</v>
      </c>
      <c r="C93" s="284" t="s">
        <v>44</v>
      </c>
      <c r="D93" s="285" t="s">
        <v>354</v>
      </c>
      <c r="E93" s="286">
        <f>F93+G93+H93+I93</f>
        <v>29008</v>
      </c>
      <c r="F93" s="287">
        <v>290</v>
      </c>
      <c r="G93" s="287">
        <v>28718</v>
      </c>
      <c r="H93" s="287">
        <v>0</v>
      </c>
      <c r="I93" s="287">
        <v>0</v>
      </c>
      <c r="J93" s="288">
        <f>K93+L93+M93+N93</f>
        <v>68767</v>
      </c>
      <c r="K93" s="289">
        <f>435+253</f>
        <v>688</v>
      </c>
      <c r="L93" s="289">
        <f>43081+24998</f>
        <v>68079</v>
      </c>
      <c r="M93" s="287">
        <v>0</v>
      </c>
      <c r="N93" s="287">
        <v>0</v>
      </c>
      <c r="O93" s="286">
        <f>SUM(P93:S93)</f>
        <v>0</v>
      </c>
      <c r="P93" s="287">
        <v>0</v>
      </c>
      <c r="Q93" s="287">
        <v>0</v>
      </c>
      <c r="R93" s="287">
        <v>0</v>
      </c>
      <c r="S93" s="287">
        <v>0</v>
      </c>
      <c r="T93" s="286">
        <f>SUM(U93:X93)</f>
        <v>0</v>
      </c>
      <c r="U93" s="287">
        <v>0</v>
      </c>
      <c r="V93" s="287">
        <v>0</v>
      </c>
      <c r="W93" s="287">
        <v>0</v>
      </c>
      <c r="X93" s="287">
        <v>0</v>
      </c>
      <c r="Y93" s="286">
        <f>SUM(Z93:AC93)</f>
        <v>0</v>
      </c>
      <c r="Z93" s="287">
        <v>0</v>
      </c>
      <c r="AA93" s="287">
        <v>0</v>
      </c>
      <c r="AB93" s="287">
        <v>0</v>
      </c>
      <c r="AC93" s="287">
        <v>0</v>
      </c>
      <c r="AD93" s="286">
        <f>E93+J93+O93+T93+Y93</f>
        <v>97775</v>
      </c>
      <c r="AE93" s="28"/>
      <c r="AF93" s="28"/>
      <c r="AG93" s="28"/>
      <c r="AH93" s="28"/>
    </row>
    <row r="94" spans="1:347" s="43" customFormat="1" ht="104.25" customHeight="1" x14ac:dyDescent="0.2">
      <c r="A94" s="336" t="s">
        <v>464</v>
      </c>
      <c r="B94" s="339" t="s">
        <v>302</v>
      </c>
      <c r="C94" s="338" t="s">
        <v>44</v>
      </c>
      <c r="D94" s="324"/>
      <c r="E94" s="341">
        <v>0</v>
      </c>
      <c r="F94" s="340">
        <v>0</v>
      </c>
      <c r="G94" s="340">
        <v>0</v>
      </c>
      <c r="H94" s="340">
        <v>0</v>
      </c>
      <c r="I94" s="340">
        <v>0</v>
      </c>
      <c r="J94" s="341">
        <v>0</v>
      </c>
      <c r="K94" s="340">
        <v>0</v>
      </c>
      <c r="L94" s="340">
        <v>0</v>
      </c>
      <c r="M94" s="340">
        <v>0</v>
      </c>
      <c r="N94" s="340">
        <v>0</v>
      </c>
      <c r="O94" s="341">
        <f>SUM(P94:S94)</f>
        <v>0</v>
      </c>
      <c r="P94" s="340">
        <v>0</v>
      </c>
      <c r="Q94" s="340">
        <v>0</v>
      </c>
      <c r="R94" s="340">
        <v>0</v>
      </c>
      <c r="S94" s="340">
        <v>0</v>
      </c>
      <c r="T94" s="341">
        <f>SUM(U94:X94)</f>
        <v>0</v>
      </c>
      <c r="U94" s="340">
        <v>0</v>
      </c>
      <c r="V94" s="340">
        <v>0</v>
      </c>
      <c r="W94" s="340">
        <v>0</v>
      </c>
      <c r="X94" s="340">
        <v>0</v>
      </c>
      <c r="Y94" s="341">
        <f>SUM(Z94:AC94)</f>
        <v>0</v>
      </c>
      <c r="Z94" s="340">
        <f>26509-100-26409</f>
        <v>0</v>
      </c>
      <c r="AA94" s="340">
        <v>0</v>
      </c>
      <c r="AB94" s="340">
        <v>0</v>
      </c>
      <c r="AC94" s="340">
        <v>0</v>
      </c>
      <c r="AD94" s="341">
        <f>E94+J94+O94+T94+Y94</f>
        <v>0</v>
      </c>
      <c r="AE94" s="28"/>
      <c r="AF94" s="28"/>
      <c r="AG94" s="28"/>
      <c r="AH94" s="28"/>
    </row>
    <row r="95" spans="1:347" s="43" customFormat="1" ht="181.5" customHeight="1" x14ac:dyDescent="0.2">
      <c r="A95" s="336" t="s">
        <v>465</v>
      </c>
      <c r="B95" s="339" t="s">
        <v>602</v>
      </c>
      <c r="C95" s="324" t="s">
        <v>44</v>
      </c>
      <c r="D95" s="324" t="s">
        <v>43</v>
      </c>
      <c r="E95" s="341">
        <f>F95+G95+H95+I95</f>
        <v>214462</v>
      </c>
      <c r="F95" s="340">
        <f>214652+100-290</f>
        <v>214462</v>
      </c>
      <c r="G95" s="340">
        <v>0</v>
      </c>
      <c r="H95" s="340">
        <v>0</v>
      </c>
      <c r="I95" s="340">
        <v>0</v>
      </c>
      <c r="J95" s="341">
        <f>K95+L95+M95+N95</f>
        <v>258636</v>
      </c>
      <c r="K95" s="340">
        <f>214752+384</f>
        <v>215136</v>
      </c>
      <c r="L95" s="340">
        <v>43500</v>
      </c>
      <c r="M95" s="340">
        <v>0</v>
      </c>
      <c r="N95" s="340">
        <v>0</v>
      </c>
      <c r="O95" s="341">
        <f>SUM(P95:S95)</f>
        <v>298863</v>
      </c>
      <c r="P95" s="340">
        <f>214752+40676+544-609</f>
        <v>255363</v>
      </c>
      <c r="Q95" s="340">
        <v>43500</v>
      </c>
      <c r="R95" s="340">
        <v>0</v>
      </c>
      <c r="S95" s="340">
        <v>0</v>
      </c>
      <c r="T95" s="341">
        <f>SUM(U95:X95)</f>
        <v>889358</v>
      </c>
      <c r="U95" s="340">
        <f>214752+50870+17934-2500+187599-25854-200</f>
        <v>442601</v>
      </c>
      <c r="V95" s="340">
        <f>43500+35747+473763-106253</f>
        <v>446757</v>
      </c>
      <c r="W95" s="340">
        <v>0</v>
      </c>
      <c r="X95" s="340">
        <v>0</v>
      </c>
      <c r="Y95" s="341">
        <f>SUM(Z95:AC95)</f>
        <v>1857872</v>
      </c>
      <c r="Z95" s="340">
        <f>214652+100+50870+22298+314647-47397-193272-51564</f>
        <v>310334</v>
      </c>
      <c r="AA95" s="340">
        <f>43500+35747+1712189-243898</f>
        <v>1547538</v>
      </c>
      <c r="AB95" s="340">
        <v>0</v>
      </c>
      <c r="AC95" s="340">
        <v>0</v>
      </c>
      <c r="AD95" s="341">
        <f>E95+J95+O95+T95+Y95</f>
        <v>3519191</v>
      </c>
      <c r="AE95" s="28"/>
      <c r="AF95" s="28"/>
      <c r="AG95" s="28"/>
      <c r="AH95" s="28"/>
    </row>
    <row r="96" spans="1:347" s="533" customFormat="1" ht="39" customHeight="1" x14ac:dyDescent="0.2">
      <c r="A96" s="319" t="s">
        <v>33</v>
      </c>
      <c r="B96" s="449" t="s">
        <v>466</v>
      </c>
      <c r="C96" s="449"/>
      <c r="D96" s="449"/>
      <c r="E96" s="449"/>
      <c r="F96" s="449"/>
      <c r="G96" s="449"/>
      <c r="H96" s="449"/>
      <c r="I96" s="449"/>
      <c r="J96" s="449"/>
      <c r="K96" s="449"/>
      <c r="L96" s="449"/>
      <c r="M96" s="449"/>
      <c r="N96" s="449"/>
      <c r="O96" s="449"/>
      <c r="P96" s="449"/>
      <c r="Q96" s="449"/>
      <c r="R96" s="449"/>
      <c r="S96" s="449"/>
      <c r="T96" s="449"/>
      <c r="U96" s="449"/>
      <c r="V96" s="449"/>
      <c r="W96" s="449"/>
      <c r="X96" s="449"/>
      <c r="Y96" s="449"/>
      <c r="Z96" s="449"/>
      <c r="AA96" s="449"/>
      <c r="AB96" s="449"/>
      <c r="AC96" s="449"/>
      <c r="AD96" s="454"/>
      <c r="AE96" s="290"/>
      <c r="AF96" s="290"/>
      <c r="AG96" s="290"/>
      <c r="AH96" s="531"/>
      <c r="AI96" s="531"/>
      <c r="AJ96" s="531"/>
      <c r="AK96" s="531"/>
      <c r="AL96" s="531"/>
      <c r="AM96" s="531"/>
      <c r="AN96" s="531"/>
      <c r="AO96" s="531"/>
      <c r="AP96" s="531"/>
      <c r="AQ96" s="531"/>
      <c r="AR96" s="531"/>
      <c r="AS96" s="531"/>
      <c r="AT96" s="531"/>
      <c r="AU96" s="531"/>
      <c r="AV96" s="531"/>
      <c r="AW96" s="531"/>
      <c r="AX96" s="531"/>
      <c r="AY96" s="531"/>
      <c r="AZ96" s="531"/>
      <c r="BA96" s="531"/>
      <c r="BB96" s="531"/>
      <c r="BC96" s="531"/>
      <c r="BD96" s="531"/>
      <c r="BE96" s="531"/>
      <c r="BF96" s="531"/>
      <c r="BG96" s="531"/>
      <c r="BH96" s="531"/>
      <c r="BI96" s="531"/>
      <c r="BJ96" s="531"/>
      <c r="BK96" s="531"/>
      <c r="BL96" s="531"/>
      <c r="BM96" s="531"/>
      <c r="BN96" s="531"/>
      <c r="BO96" s="531"/>
      <c r="BP96" s="531"/>
      <c r="BQ96" s="531"/>
      <c r="BR96" s="531"/>
      <c r="BS96" s="531"/>
      <c r="BT96" s="531"/>
      <c r="BU96" s="531"/>
      <c r="BV96" s="531"/>
      <c r="BW96" s="531"/>
      <c r="BX96" s="531"/>
      <c r="BY96" s="531"/>
      <c r="BZ96" s="531"/>
      <c r="CA96" s="531"/>
      <c r="CB96" s="531"/>
      <c r="CC96" s="531"/>
      <c r="CD96" s="531"/>
      <c r="CE96" s="531"/>
      <c r="CF96" s="531"/>
      <c r="CG96" s="531"/>
      <c r="CH96" s="531"/>
      <c r="CI96" s="531"/>
      <c r="CJ96" s="531"/>
      <c r="CK96" s="531"/>
      <c r="CL96" s="531"/>
      <c r="CM96" s="531"/>
      <c r="CN96" s="531"/>
      <c r="CO96" s="531"/>
      <c r="CP96" s="531"/>
      <c r="CQ96" s="531"/>
      <c r="CR96" s="531"/>
      <c r="CS96" s="531"/>
      <c r="CT96" s="531"/>
      <c r="CU96" s="531"/>
      <c r="CV96" s="531"/>
      <c r="CW96" s="531"/>
      <c r="CX96" s="531"/>
      <c r="CY96" s="531"/>
      <c r="CZ96" s="531"/>
      <c r="DA96" s="531"/>
      <c r="DB96" s="531"/>
      <c r="DC96" s="531"/>
      <c r="DD96" s="531"/>
      <c r="DE96" s="531"/>
      <c r="DF96" s="531"/>
      <c r="DG96" s="531"/>
      <c r="DH96" s="531"/>
      <c r="DI96" s="531"/>
      <c r="DJ96" s="531"/>
      <c r="DK96" s="531"/>
      <c r="DL96" s="531"/>
      <c r="DM96" s="531"/>
      <c r="DN96" s="531"/>
      <c r="DO96" s="531"/>
      <c r="DP96" s="531"/>
      <c r="DQ96" s="531"/>
      <c r="DR96" s="531"/>
      <c r="DS96" s="531"/>
      <c r="DT96" s="531"/>
      <c r="DU96" s="531"/>
      <c r="DV96" s="531"/>
      <c r="DW96" s="531"/>
      <c r="DX96" s="531"/>
      <c r="DY96" s="531"/>
      <c r="DZ96" s="531"/>
      <c r="EA96" s="531"/>
      <c r="EB96" s="531"/>
      <c r="EC96" s="531"/>
      <c r="ED96" s="531"/>
      <c r="EE96" s="531"/>
      <c r="EF96" s="531"/>
      <c r="EG96" s="531"/>
      <c r="EH96" s="531"/>
      <c r="EI96" s="531"/>
      <c r="EJ96" s="531"/>
      <c r="EK96" s="531"/>
      <c r="EL96" s="531"/>
      <c r="EM96" s="531"/>
      <c r="EN96" s="531"/>
      <c r="EO96" s="531"/>
      <c r="EP96" s="531"/>
      <c r="EQ96" s="531"/>
      <c r="ER96" s="531"/>
      <c r="ES96" s="531"/>
      <c r="ET96" s="531"/>
      <c r="EU96" s="531"/>
      <c r="EV96" s="531"/>
      <c r="EW96" s="531"/>
      <c r="EX96" s="531"/>
      <c r="EY96" s="531"/>
      <c r="EZ96" s="531"/>
      <c r="FA96" s="531"/>
      <c r="FB96" s="531"/>
      <c r="FC96" s="531"/>
      <c r="FD96" s="531"/>
      <c r="FE96" s="531"/>
      <c r="FF96" s="531"/>
      <c r="FG96" s="531"/>
      <c r="FH96" s="531"/>
      <c r="FI96" s="531"/>
      <c r="FJ96" s="531"/>
      <c r="FK96" s="531"/>
      <c r="FL96" s="531"/>
      <c r="FM96" s="531"/>
      <c r="FN96" s="531"/>
      <c r="FO96" s="531"/>
      <c r="FP96" s="531"/>
      <c r="FQ96" s="531"/>
      <c r="FR96" s="531"/>
      <c r="FS96" s="531"/>
      <c r="FT96" s="531"/>
      <c r="FU96" s="531"/>
      <c r="FV96" s="531"/>
      <c r="FW96" s="531"/>
      <c r="FX96" s="531"/>
      <c r="FY96" s="531"/>
      <c r="FZ96" s="531"/>
      <c r="GA96" s="531"/>
      <c r="GB96" s="531"/>
      <c r="GC96" s="531"/>
      <c r="GD96" s="531"/>
      <c r="GE96" s="531"/>
      <c r="GF96" s="531"/>
      <c r="GG96" s="531"/>
      <c r="GH96" s="531"/>
      <c r="GI96" s="531"/>
      <c r="GJ96" s="531"/>
      <c r="GK96" s="531"/>
      <c r="GL96" s="531"/>
      <c r="GM96" s="531"/>
      <c r="GN96" s="531"/>
      <c r="GO96" s="531"/>
      <c r="GP96" s="531"/>
      <c r="GQ96" s="531"/>
      <c r="GR96" s="531"/>
      <c r="GS96" s="531"/>
      <c r="GT96" s="531"/>
      <c r="GU96" s="531"/>
      <c r="GV96" s="531"/>
      <c r="GW96" s="531"/>
      <c r="GX96" s="531"/>
      <c r="GY96" s="531"/>
      <c r="GZ96" s="531"/>
      <c r="HA96" s="531"/>
      <c r="HB96" s="531"/>
      <c r="HC96" s="531"/>
      <c r="HD96" s="531"/>
      <c r="HE96" s="531"/>
      <c r="HF96" s="531"/>
      <c r="HG96" s="531"/>
      <c r="HH96" s="531"/>
      <c r="HI96" s="531"/>
      <c r="HJ96" s="531"/>
      <c r="HK96" s="531"/>
      <c r="HL96" s="531"/>
      <c r="HM96" s="531"/>
      <c r="HN96" s="531"/>
      <c r="HO96" s="531"/>
      <c r="HP96" s="531"/>
      <c r="HQ96" s="531"/>
      <c r="HR96" s="531"/>
      <c r="HS96" s="531"/>
      <c r="HT96" s="531"/>
      <c r="HU96" s="531"/>
      <c r="HV96" s="531"/>
      <c r="HW96" s="531"/>
      <c r="HX96" s="531"/>
      <c r="HY96" s="531"/>
      <c r="HZ96" s="531"/>
      <c r="IA96" s="531"/>
      <c r="IB96" s="531"/>
      <c r="IC96" s="531"/>
      <c r="ID96" s="531"/>
      <c r="IE96" s="531"/>
      <c r="IF96" s="531"/>
      <c r="IG96" s="531"/>
      <c r="IH96" s="531"/>
      <c r="II96" s="531"/>
      <c r="IJ96" s="531"/>
      <c r="IK96" s="531"/>
      <c r="IL96" s="531"/>
      <c r="IM96" s="531"/>
      <c r="IN96" s="531"/>
      <c r="IO96" s="531"/>
      <c r="IP96" s="531"/>
      <c r="IQ96" s="531"/>
      <c r="IR96" s="531"/>
      <c r="IS96" s="531"/>
      <c r="IT96" s="531"/>
      <c r="IU96" s="531"/>
      <c r="IV96" s="531"/>
      <c r="IW96" s="531"/>
      <c r="IX96" s="531"/>
      <c r="IY96" s="531"/>
      <c r="IZ96" s="531"/>
      <c r="JA96" s="531"/>
      <c r="JB96" s="531"/>
      <c r="JC96" s="531"/>
      <c r="JD96" s="531"/>
      <c r="JE96" s="531"/>
      <c r="JF96" s="531"/>
      <c r="JG96" s="531"/>
      <c r="JH96" s="531"/>
      <c r="JI96" s="531"/>
      <c r="JJ96" s="531"/>
      <c r="JK96" s="531"/>
      <c r="JL96" s="531"/>
      <c r="JM96" s="531"/>
      <c r="JN96" s="531"/>
      <c r="JO96" s="531"/>
      <c r="JP96" s="531"/>
      <c r="JQ96" s="531"/>
      <c r="JR96" s="531"/>
      <c r="JS96" s="531"/>
      <c r="JT96" s="531"/>
      <c r="JU96" s="531"/>
      <c r="JV96" s="531"/>
      <c r="JW96" s="531"/>
      <c r="JX96" s="531"/>
      <c r="JY96" s="531"/>
      <c r="JZ96" s="531"/>
      <c r="KA96" s="531"/>
      <c r="KB96" s="531"/>
      <c r="KC96" s="531"/>
      <c r="KD96" s="531"/>
      <c r="KE96" s="531"/>
      <c r="KF96" s="531"/>
      <c r="KG96" s="531"/>
      <c r="KH96" s="531"/>
      <c r="KI96" s="531"/>
      <c r="KJ96" s="531"/>
      <c r="KK96" s="531"/>
      <c r="KL96" s="531"/>
      <c r="KM96" s="531"/>
      <c r="KN96" s="531"/>
      <c r="KO96" s="531"/>
      <c r="KP96" s="531"/>
      <c r="KQ96" s="531"/>
      <c r="KR96" s="531"/>
      <c r="KS96" s="531"/>
      <c r="KT96" s="531"/>
      <c r="KU96" s="531"/>
      <c r="KV96" s="531"/>
      <c r="KW96" s="531"/>
      <c r="KX96" s="531"/>
      <c r="KY96" s="531"/>
      <c r="KZ96" s="531"/>
      <c r="LA96" s="531"/>
      <c r="LB96" s="531"/>
      <c r="LC96" s="531"/>
      <c r="LD96" s="531"/>
      <c r="LE96" s="531"/>
      <c r="LF96" s="531"/>
      <c r="LG96" s="531"/>
      <c r="LH96" s="531"/>
      <c r="LI96" s="531"/>
      <c r="LJ96" s="531"/>
      <c r="LK96" s="531"/>
      <c r="LL96" s="531"/>
      <c r="LM96" s="531"/>
      <c r="LN96" s="531"/>
      <c r="LO96" s="531"/>
      <c r="LP96" s="531"/>
      <c r="LQ96" s="531"/>
      <c r="LR96" s="531"/>
      <c r="LS96" s="531"/>
      <c r="LT96" s="531"/>
      <c r="LU96" s="531"/>
      <c r="LV96" s="531"/>
      <c r="LW96" s="531"/>
      <c r="LX96" s="531"/>
      <c r="LY96" s="531"/>
      <c r="LZ96" s="531"/>
      <c r="MA96" s="531"/>
      <c r="MB96" s="531"/>
      <c r="MC96" s="531"/>
      <c r="MD96" s="531"/>
      <c r="ME96" s="531"/>
      <c r="MF96" s="531"/>
      <c r="MG96" s="531"/>
      <c r="MH96" s="531"/>
      <c r="MI96" s="531"/>
    </row>
    <row r="97" spans="1:34" s="43" customFormat="1" ht="44.45" customHeight="1" x14ac:dyDescent="0.2">
      <c r="A97" s="461" t="s">
        <v>430</v>
      </c>
      <c r="B97" s="479" t="s">
        <v>603</v>
      </c>
      <c r="C97" s="466" t="s">
        <v>44</v>
      </c>
      <c r="D97" s="405" t="s">
        <v>43</v>
      </c>
      <c r="E97" s="452">
        <f>F97+G97+H97+I97</f>
        <v>76067</v>
      </c>
      <c r="F97" s="445">
        <v>761</v>
      </c>
      <c r="G97" s="445">
        <f>75306</f>
        <v>75306</v>
      </c>
      <c r="H97" s="445">
        <v>0</v>
      </c>
      <c r="I97" s="445">
        <v>0</v>
      </c>
      <c r="J97" s="452">
        <f>K97+L97+M97+N97</f>
        <v>76067</v>
      </c>
      <c r="K97" s="445">
        <v>761</v>
      </c>
      <c r="L97" s="445">
        <v>75306</v>
      </c>
      <c r="M97" s="445">
        <v>0</v>
      </c>
      <c r="N97" s="445">
        <v>0</v>
      </c>
      <c r="O97" s="452">
        <f t="shared" ref="O97:O108" si="33">SUM(P97:S97)</f>
        <v>75512</v>
      </c>
      <c r="P97" s="445">
        <f>761-5</f>
        <v>756</v>
      </c>
      <c r="Q97" s="445">
        <v>74756</v>
      </c>
      <c r="R97" s="445">
        <v>0</v>
      </c>
      <c r="S97" s="445">
        <v>0</v>
      </c>
      <c r="T97" s="452">
        <f>SUM(U97:X97)</f>
        <v>75511</v>
      </c>
      <c r="U97" s="445">
        <f>761-5-1</f>
        <v>755</v>
      </c>
      <c r="V97" s="445">
        <v>74756</v>
      </c>
      <c r="W97" s="445">
        <v>0</v>
      </c>
      <c r="X97" s="445">
        <v>0</v>
      </c>
      <c r="Y97" s="452">
        <f>SUM(Z97:AC97)</f>
        <v>62987</v>
      </c>
      <c r="Z97" s="445">
        <f>630+60</f>
        <v>690</v>
      </c>
      <c r="AA97" s="445">
        <f>62297</f>
        <v>62297</v>
      </c>
      <c r="AB97" s="445">
        <v>0</v>
      </c>
      <c r="AC97" s="445">
        <v>0</v>
      </c>
      <c r="AD97" s="452">
        <f>E97+J97+O97+T97+Y97</f>
        <v>366144</v>
      </c>
      <c r="AE97" s="28"/>
      <c r="AF97" s="28"/>
      <c r="AG97" s="28"/>
      <c r="AH97" s="28"/>
    </row>
    <row r="98" spans="1:34" s="43" customFormat="1" ht="285" customHeight="1" x14ac:dyDescent="0.2">
      <c r="A98" s="461"/>
      <c r="B98" s="479"/>
      <c r="C98" s="466"/>
      <c r="D98" s="405"/>
      <c r="E98" s="452"/>
      <c r="F98" s="445"/>
      <c r="G98" s="445"/>
      <c r="H98" s="445"/>
      <c r="I98" s="445"/>
      <c r="J98" s="452"/>
      <c r="K98" s="445"/>
      <c r="L98" s="445"/>
      <c r="M98" s="445"/>
      <c r="N98" s="445"/>
      <c r="O98" s="452">
        <f t="shared" si="33"/>
        <v>0</v>
      </c>
      <c r="P98" s="445"/>
      <c r="Q98" s="445"/>
      <c r="R98" s="445"/>
      <c r="S98" s="445"/>
      <c r="T98" s="452">
        <f>SUM(U98:X98)</f>
        <v>0</v>
      </c>
      <c r="U98" s="445"/>
      <c r="V98" s="445"/>
      <c r="W98" s="445"/>
      <c r="X98" s="445"/>
      <c r="Y98" s="452">
        <f>SUM(Z98:AC98)</f>
        <v>0</v>
      </c>
      <c r="Z98" s="445"/>
      <c r="AA98" s="445"/>
      <c r="AB98" s="445"/>
      <c r="AC98" s="445"/>
      <c r="AD98" s="452"/>
    </row>
    <row r="99" spans="1:34" s="43" customFormat="1" ht="150" customHeight="1" x14ac:dyDescent="0.2">
      <c r="A99" s="336" t="s">
        <v>496</v>
      </c>
      <c r="B99" s="339" t="s">
        <v>497</v>
      </c>
      <c r="C99" s="338" t="s">
        <v>44</v>
      </c>
      <c r="D99" s="324" t="s">
        <v>135</v>
      </c>
      <c r="E99" s="341">
        <f>F99+G99+H99+I99</f>
        <v>0</v>
      </c>
      <c r="F99" s="340">
        <v>0</v>
      </c>
      <c r="G99" s="340">
        <v>0</v>
      </c>
      <c r="H99" s="340">
        <v>0</v>
      </c>
      <c r="I99" s="340">
        <v>0</v>
      </c>
      <c r="J99" s="341">
        <f>K99+L99+M99+N99</f>
        <v>143197</v>
      </c>
      <c r="K99" s="340">
        <v>0</v>
      </c>
      <c r="L99" s="340">
        <v>143197</v>
      </c>
      <c r="M99" s="340">
        <v>0</v>
      </c>
      <c r="N99" s="340">
        <v>0</v>
      </c>
      <c r="O99" s="341">
        <f t="shared" si="33"/>
        <v>28398</v>
      </c>
      <c r="P99" s="340">
        <v>28398</v>
      </c>
      <c r="Q99" s="340">
        <v>0</v>
      </c>
      <c r="R99" s="340">
        <v>0</v>
      </c>
      <c r="S99" s="340">
        <v>0</v>
      </c>
      <c r="T99" s="341">
        <f>SUM(U99:X99)</f>
        <v>48682</v>
      </c>
      <c r="U99" s="340">
        <v>48682</v>
      </c>
      <c r="V99" s="340">
        <v>0</v>
      </c>
      <c r="W99" s="340">
        <v>0</v>
      </c>
      <c r="X99" s="340">
        <v>0</v>
      </c>
      <c r="Y99" s="341">
        <f>SUM(Z99:AC99)</f>
        <v>48682</v>
      </c>
      <c r="Z99" s="340">
        <v>48682</v>
      </c>
      <c r="AA99" s="340">
        <v>0</v>
      </c>
      <c r="AB99" s="340">
        <v>0</v>
      </c>
      <c r="AC99" s="340">
        <v>0</v>
      </c>
      <c r="AD99" s="341">
        <f>J99+O99+T99+Y99</f>
        <v>268959</v>
      </c>
    </row>
    <row r="100" spans="1:34" s="43" customFormat="1" ht="198" customHeight="1" x14ac:dyDescent="0.2">
      <c r="A100" s="336" t="s">
        <v>557</v>
      </c>
      <c r="B100" s="339" t="s">
        <v>587</v>
      </c>
      <c r="C100" s="338" t="s">
        <v>44</v>
      </c>
      <c r="D100" s="324">
        <v>2024</v>
      </c>
      <c r="E100" s="341">
        <f>F100+G100+H100+I100</f>
        <v>0</v>
      </c>
      <c r="F100" s="340">
        <v>0</v>
      </c>
      <c r="G100" s="340">
        <v>0</v>
      </c>
      <c r="H100" s="340">
        <v>0</v>
      </c>
      <c r="I100" s="340">
        <v>0</v>
      </c>
      <c r="J100" s="341">
        <f>K100+L100+M100+N100</f>
        <v>0</v>
      </c>
      <c r="K100" s="340">
        <v>0</v>
      </c>
      <c r="L100" s="340">
        <v>0</v>
      </c>
      <c r="M100" s="340">
        <v>0</v>
      </c>
      <c r="N100" s="340">
        <v>0</v>
      </c>
      <c r="O100" s="341">
        <f t="shared" si="33"/>
        <v>0</v>
      </c>
      <c r="P100" s="340">
        <v>0</v>
      </c>
      <c r="Q100" s="340">
        <v>0</v>
      </c>
      <c r="R100" s="340">
        <v>0</v>
      </c>
      <c r="S100" s="340">
        <v>0</v>
      </c>
      <c r="T100" s="341">
        <f>SUM(U100:X100)</f>
        <v>217638</v>
      </c>
      <c r="U100" s="340">
        <v>2176</v>
      </c>
      <c r="V100" s="340">
        <v>215462</v>
      </c>
      <c r="W100" s="340">
        <v>0</v>
      </c>
      <c r="X100" s="340">
        <v>0</v>
      </c>
      <c r="Y100" s="341">
        <f>SUM(Z100:AC100)</f>
        <v>0</v>
      </c>
      <c r="Z100" s="340">
        <v>0</v>
      </c>
      <c r="AA100" s="340">
        <v>0</v>
      </c>
      <c r="AB100" s="340">
        <v>0</v>
      </c>
      <c r="AC100" s="340">
        <v>0</v>
      </c>
      <c r="AD100" s="341">
        <f>J100+O100+T100+Y100</f>
        <v>217638</v>
      </c>
    </row>
    <row r="101" spans="1:34" s="43" customFormat="1" ht="38.25" customHeight="1" x14ac:dyDescent="0.2">
      <c r="A101" s="255" t="s">
        <v>541</v>
      </c>
      <c r="B101" s="448" t="s">
        <v>547</v>
      </c>
      <c r="C101" s="449"/>
      <c r="D101" s="449"/>
      <c r="E101" s="449"/>
      <c r="F101" s="449"/>
      <c r="G101" s="449"/>
      <c r="H101" s="449"/>
      <c r="I101" s="449"/>
      <c r="J101" s="449"/>
      <c r="K101" s="449"/>
      <c r="L101" s="449"/>
      <c r="M101" s="449"/>
      <c r="N101" s="449"/>
      <c r="O101" s="449"/>
      <c r="P101" s="449"/>
      <c r="Q101" s="449"/>
      <c r="R101" s="449"/>
      <c r="S101" s="449"/>
      <c r="T101" s="449"/>
      <c r="U101" s="449"/>
      <c r="V101" s="449"/>
      <c r="W101" s="449"/>
      <c r="X101" s="449"/>
      <c r="Y101" s="449"/>
      <c r="Z101" s="449"/>
      <c r="AA101" s="449"/>
      <c r="AB101" s="449"/>
      <c r="AC101" s="449"/>
      <c r="AD101" s="454"/>
    </row>
    <row r="102" spans="1:34" s="43" customFormat="1" ht="333" customHeight="1" x14ac:dyDescent="0.2">
      <c r="A102" s="336" t="s">
        <v>542</v>
      </c>
      <c r="B102" s="291" t="s">
        <v>543</v>
      </c>
      <c r="C102" s="324" t="s">
        <v>44</v>
      </c>
      <c r="D102" s="324" t="s">
        <v>540</v>
      </c>
      <c r="E102" s="341">
        <f>SUM(F102:I102)</f>
        <v>0</v>
      </c>
      <c r="F102" s="340">
        <v>0</v>
      </c>
      <c r="G102" s="340">
        <v>0</v>
      </c>
      <c r="H102" s="340">
        <v>0</v>
      </c>
      <c r="I102" s="340">
        <v>0</v>
      </c>
      <c r="J102" s="341">
        <f>SUM(K102:N102)</f>
        <v>0</v>
      </c>
      <c r="K102" s="340">
        <v>0</v>
      </c>
      <c r="L102" s="340">
        <v>0</v>
      </c>
      <c r="M102" s="340">
        <v>0</v>
      </c>
      <c r="N102" s="340">
        <v>0</v>
      </c>
      <c r="O102" s="341">
        <f>SUM(P102:S102)</f>
        <v>3854</v>
      </c>
      <c r="P102" s="340">
        <v>3854</v>
      </c>
      <c r="Q102" s="340">
        <v>0</v>
      </c>
      <c r="R102" s="340">
        <v>0</v>
      </c>
      <c r="S102" s="340">
        <v>0</v>
      </c>
      <c r="T102" s="341">
        <f>SUM(U102:X102)</f>
        <v>2706</v>
      </c>
      <c r="U102" s="340">
        <f>3854-1148</f>
        <v>2706</v>
      </c>
      <c r="V102" s="340">
        <v>0</v>
      </c>
      <c r="W102" s="340">
        <v>0</v>
      </c>
      <c r="X102" s="340">
        <v>0</v>
      </c>
      <c r="Y102" s="341">
        <f>SUM(Z102:AC102)</f>
        <v>2915</v>
      </c>
      <c r="Z102" s="340">
        <f>3854-1148+209</f>
        <v>2915</v>
      </c>
      <c r="AA102" s="340">
        <v>0</v>
      </c>
      <c r="AB102" s="340">
        <v>0</v>
      </c>
      <c r="AC102" s="340">
        <v>0</v>
      </c>
      <c r="AD102" s="341">
        <f>E102+J102+O102+T102+Y102</f>
        <v>9475</v>
      </c>
    </row>
    <row r="103" spans="1:34" s="43" customFormat="1" ht="48" customHeight="1" x14ac:dyDescent="0.2">
      <c r="A103" s="337" t="s">
        <v>1430</v>
      </c>
      <c r="B103" s="476" t="s">
        <v>1431</v>
      </c>
      <c r="C103" s="477"/>
      <c r="D103" s="477"/>
      <c r="E103" s="477"/>
      <c r="F103" s="477"/>
      <c r="G103" s="477"/>
      <c r="H103" s="477"/>
      <c r="I103" s="477"/>
      <c r="J103" s="477"/>
      <c r="K103" s="477"/>
      <c r="L103" s="477"/>
      <c r="M103" s="477"/>
      <c r="N103" s="477"/>
      <c r="O103" s="477"/>
      <c r="P103" s="477"/>
      <c r="Q103" s="477"/>
      <c r="R103" s="477"/>
      <c r="S103" s="477"/>
      <c r="T103" s="477"/>
      <c r="U103" s="477"/>
      <c r="V103" s="477"/>
      <c r="W103" s="477"/>
      <c r="X103" s="477"/>
      <c r="Y103" s="477"/>
      <c r="Z103" s="477"/>
      <c r="AA103" s="477"/>
      <c r="AB103" s="477"/>
      <c r="AC103" s="477"/>
      <c r="AD103" s="478"/>
    </row>
    <row r="104" spans="1:34" s="43" customFormat="1" ht="106.5" customHeight="1" x14ac:dyDescent="0.2">
      <c r="A104" s="336" t="s">
        <v>1432</v>
      </c>
      <c r="B104" s="291" t="s">
        <v>1433</v>
      </c>
      <c r="C104" s="338" t="s">
        <v>44</v>
      </c>
      <c r="D104" s="324">
        <v>2025</v>
      </c>
      <c r="E104" s="341">
        <v>0</v>
      </c>
      <c r="F104" s="340">
        <v>0</v>
      </c>
      <c r="G104" s="340">
        <v>0</v>
      </c>
      <c r="H104" s="340">
        <v>0</v>
      </c>
      <c r="I104" s="340">
        <v>0</v>
      </c>
      <c r="J104" s="341">
        <v>0</v>
      </c>
      <c r="K104" s="340">
        <v>0</v>
      </c>
      <c r="L104" s="340">
        <v>0</v>
      </c>
      <c r="M104" s="340">
        <v>0</v>
      </c>
      <c r="N104" s="340">
        <v>0</v>
      </c>
      <c r="O104" s="341">
        <v>0</v>
      </c>
      <c r="P104" s="340">
        <v>0</v>
      </c>
      <c r="Q104" s="340">
        <v>0</v>
      </c>
      <c r="R104" s="340">
        <v>0</v>
      </c>
      <c r="S104" s="340">
        <v>0</v>
      </c>
      <c r="T104" s="341">
        <v>0</v>
      </c>
      <c r="U104" s="340">
        <v>0</v>
      </c>
      <c r="V104" s="340">
        <v>0</v>
      </c>
      <c r="W104" s="340">
        <v>0</v>
      </c>
      <c r="X104" s="340">
        <v>0</v>
      </c>
      <c r="Y104" s="341">
        <f>Z104+AA104+AB104+AC104</f>
        <v>64800</v>
      </c>
      <c r="Z104" s="340">
        <f>37160-9520</f>
        <v>27640</v>
      </c>
      <c r="AA104" s="340">
        <v>37160</v>
      </c>
      <c r="AB104" s="340">
        <v>0</v>
      </c>
      <c r="AC104" s="340">
        <v>0</v>
      </c>
      <c r="AD104" s="341">
        <f>Y104</f>
        <v>64800</v>
      </c>
    </row>
    <row r="105" spans="1:34" s="110" customFormat="1" ht="42" customHeight="1" x14ac:dyDescent="0.25">
      <c r="A105" s="453" t="s">
        <v>42</v>
      </c>
      <c r="B105" s="453"/>
      <c r="C105" s="453"/>
      <c r="D105" s="292"/>
      <c r="E105" s="341">
        <f>SUM(F105:I105)</f>
        <v>337537</v>
      </c>
      <c r="F105" s="341">
        <f>SUM(F89:F102)</f>
        <v>233401</v>
      </c>
      <c r="G105" s="341">
        <f>SUM(G89:G102)</f>
        <v>104024</v>
      </c>
      <c r="H105" s="341">
        <f>SUM(H89:H98)</f>
        <v>0</v>
      </c>
      <c r="I105" s="341">
        <f>SUM(I89:I99)</f>
        <v>112</v>
      </c>
      <c r="J105" s="341">
        <f>SUM(K105:N105)</f>
        <v>561879</v>
      </c>
      <c r="K105" s="341">
        <f>SUM(K89:K102)</f>
        <v>231685</v>
      </c>
      <c r="L105" s="341">
        <f>SUM(L89:L102)</f>
        <v>330082</v>
      </c>
      <c r="M105" s="341">
        <f>SUM(M89:M98)</f>
        <v>0</v>
      </c>
      <c r="N105" s="341">
        <f>SUM(N89:N98)</f>
        <v>112</v>
      </c>
      <c r="O105" s="341">
        <f>SUM(P105:S105)</f>
        <v>424342</v>
      </c>
      <c r="P105" s="341">
        <f>SUM(P89:P102)</f>
        <v>306086</v>
      </c>
      <c r="Q105" s="341">
        <f>SUM(Q89:Q102)</f>
        <v>118256</v>
      </c>
      <c r="R105" s="341">
        <f>SUM(R89:R99)</f>
        <v>0</v>
      </c>
      <c r="S105" s="341">
        <f>SUM(S89:S99)</f>
        <v>0</v>
      </c>
      <c r="T105" s="341">
        <f>SUM(U105:X105)</f>
        <v>1254714</v>
      </c>
      <c r="U105" s="341">
        <f>SUM(U89:U102)</f>
        <v>517739</v>
      </c>
      <c r="V105" s="341">
        <f>SUM(V89:V102)</f>
        <v>736975</v>
      </c>
      <c r="W105" s="341">
        <f>SUM(W89:W99)</f>
        <v>0</v>
      </c>
      <c r="X105" s="341">
        <f>SUM(X89:X99)</f>
        <v>0</v>
      </c>
      <c r="Y105" s="341">
        <f>SUM(Z105:AC105)</f>
        <v>2060055</v>
      </c>
      <c r="Z105" s="341">
        <f>SUM(Z89:Z104)</f>
        <v>413060</v>
      </c>
      <c r="AA105" s="341">
        <f>SUM(AA89:AA104)</f>
        <v>1646995</v>
      </c>
      <c r="AB105" s="341">
        <f>SUM(AB89:AB99)</f>
        <v>0</v>
      </c>
      <c r="AC105" s="341">
        <f>SUM(AC89:AC99)</f>
        <v>0</v>
      </c>
      <c r="AD105" s="341">
        <f>SUM(AD89:AD104)</f>
        <v>4638527</v>
      </c>
      <c r="AE105" s="355">
        <f>F105+K105+P105+U105+Z105</f>
        <v>1701971</v>
      </c>
      <c r="AF105" s="355">
        <f>G105+L105+Q105+V105+AA105</f>
        <v>2936332</v>
      </c>
      <c r="AG105" s="355">
        <f>H105+M105+R105+W105+AB105</f>
        <v>0</v>
      </c>
      <c r="AH105" s="355">
        <f>I105+N105+S105+X105+AC105</f>
        <v>224</v>
      </c>
    </row>
    <row r="106" spans="1:34" s="110" customFormat="1" ht="42" customHeight="1" x14ac:dyDescent="0.25">
      <c r="A106" s="435" t="s">
        <v>371</v>
      </c>
      <c r="B106" s="435"/>
      <c r="C106" s="435"/>
      <c r="D106" s="292"/>
      <c r="E106" s="341">
        <f>E108-E107</f>
        <v>2377245</v>
      </c>
      <c r="F106" s="341">
        <f t="shared" ref="F106:AC106" si="34">F108-F107</f>
        <v>797208</v>
      </c>
      <c r="G106" s="341">
        <f t="shared" si="34"/>
        <v>1453132</v>
      </c>
      <c r="H106" s="341">
        <f t="shared" si="34"/>
        <v>126793</v>
      </c>
      <c r="I106" s="341">
        <f t="shared" si="34"/>
        <v>112</v>
      </c>
      <c r="J106" s="341">
        <f>J108-J107</f>
        <v>2475929</v>
      </c>
      <c r="K106" s="341">
        <f>K108-K107</f>
        <v>854874</v>
      </c>
      <c r="L106" s="341">
        <f t="shared" si="34"/>
        <v>1620943</v>
      </c>
      <c r="M106" s="341">
        <f t="shared" si="34"/>
        <v>0</v>
      </c>
      <c r="N106" s="341">
        <f t="shared" si="34"/>
        <v>112</v>
      </c>
      <c r="O106" s="341">
        <f t="shared" si="33"/>
        <v>2886963</v>
      </c>
      <c r="P106" s="341">
        <f t="shared" si="34"/>
        <v>989594</v>
      </c>
      <c r="Q106" s="341">
        <f t="shared" si="34"/>
        <v>1897369</v>
      </c>
      <c r="R106" s="341">
        <f t="shared" si="34"/>
        <v>0</v>
      </c>
      <c r="S106" s="341">
        <f t="shared" si="34"/>
        <v>0</v>
      </c>
      <c r="T106" s="341">
        <f>SUM(U106:X106)</f>
        <v>3717103</v>
      </c>
      <c r="U106" s="341">
        <f t="shared" si="34"/>
        <v>1492336</v>
      </c>
      <c r="V106" s="341">
        <f t="shared" si="34"/>
        <v>2224767</v>
      </c>
      <c r="W106" s="341">
        <f t="shared" si="34"/>
        <v>0</v>
      </c>
      <c r="X106" s="341">
        <f t="shared" si="34"/>
        <v>0</v>
      </c>
      <c r="Y106" s="341">
        <f>SUM(Z106:AC106)</f>
        <v>4712973</v>
      </c>
      <c r="Z106" s="341">
        <f t="shared" si="34"/>
        <v>1563310</v>
      </c>
      <c r="AA106" s="341">
        <f>AA108-AA107</f>
        <v>3149663</v>
      </c>
      <c r="AB106" s="341">
        <f t="shared" si="34"/>
        <v>0</v>
      </c>
      <c r="AC106" s="341">
        <f t="shared" si="34"/>
        <v>0</v>
      </c>
      <c r="AD106" s="341">
        <f>E106+J106+O106+T106+Y106</f>
        <v>16170213</v>
      </c>
      <c r="AE106" s="355">
        <f>AE108-AD107</f>
        <v>5697322</v>
      </c>
      <c r="AF106" s="355">
        <f>AF108</f>
        <v>10345874</v>
      </c>
      <c r="AG106" s="355">
        <f>AG108</f>
        <v>126793</v>
      </c>
      <c r="AH106" s="355">
        <f>AH108</f>
        <v>224</v>
      </c>
    </row>
    <row r="107" spans="1:34" s="110" customFormat="1" ht="35.25" customHeight="1" x14ac:dyDescent="0.25">
      <c r="A107" s="453" t="s">
        <v>370</v>
      </c>
      <c r="B107" s="453"/>
      <c r="C107" s="453"/>
      <c r="D107" s="292"/>
      <c r="E107" s="341">
        <f>F107+G107+H107+I107</f>
        <v>988</v>
      </c>
      <c r="F107" s="341">
        <f>F59</f>
        <v>988</v>
      </c>
      <c r="G107" s="341">
        <f>G59</f>
        <v>0</v>
      </c>
      <c r="H107" s="341">
        <f>H59</f>
        <v>0</v>
      </c>
      <c r="I107" s="341">
        <f>I59</f>
        <v>0</v>
      </c>
      <c r="J107" s="341">
        <f>K107+L107+M107+N107</f>
        <v>1584</v>
      </c>
      <c r="K107" s="341">
        <f>K59</f>
        <v>1584</v>
      </c>
      <c r="L107" s="341">
        <f>L59</f>
        <v>0</v>
      </c>
      <c r="M107" s="341">
        <f>M59</f>
        <v>0</v>
      </c>
      <c r="N107" s="341">
        <f>N59</f>
        <v>0</v>
      </c>
      <c r="O107" s="341">
        <f t="shared" si="33"/>
        <v>3417</v>
      </c>
      <c r="P107" s="341">
        <f>O49</f>
        <v>3417</v>
      </c>
      <c r="Q107" s="341">
        <f>Q59</f>
        <v>0</v>
      </c>
      <c r="R107" s="341">
        <f>R59</f>
        <v>0</v>
      </c>
      <c r="S107" s="341">
        <f>S59</f>
        <v>0</v>
      </c>
      <c r="T107" s="341">
        <f>SUM(U107:X107)</f>
        <v>0</v>
      </c>
      <c r="U107" s="341">
        <f>U59+U61</f>
        <v>0</v>
      </c>
      <c r="V107" s="341">
        <f>V59</f>
        <v>0</v>
      </c>
      <c r="W107" s="341">
        <f>W59</f>
        <v>0</v>
      </c>
      <c r="X107" s="341">
        <f>X59</f>
        <v>0</v>
      </c>
      <c r="Y107" s="341">
        <f>SUM(Z107:AC107)</f>
        <v>33082</v>
      </c>
      <c r="Z107" s="341">
        <f>Z57+Z61</f>
        <v>33082</v>
      </c>
      <c r="AA107" s="341">
        <f>AA59</f>
        <v>0</v>
      </c>
      <c r="AB107" s="341">
        <f>AB59</f>
        <v>0</v>
      </c>
      <c r="AC107" s="341">
        <f>AC59</f>
        <v>0</v>
      </c>
      <c r="AD107" s="341">
        <f>E107+J107+O107+T107+Y107</f>
        <v>39071</v>
      </c>
      <c r="AE107" s="355"/>
      <c r="AF107" s="355"/>
      <c r="AG107" s="355"/>
      <c r="AH107" s="355"/>
    </row>
    <row r="108" spans="1:34" s="534" customFormat="1" ht="42" customHeight="1" x14ac:dyDescent="0.25">
      <c r="A108" s="435" t="s">
        <v>372</v>
      </c>
      <c r="B108" s="435"/>
      <c r="C108" s="435"/>
      <c r="D108" s="281"/>
      <c r="E108" s="341">
        <f t="shared" ref="E108:N108" si="35">E50+E105+E71+E84</f>
        <v>2378233</v>
      </c>
      <c r="F108" s="341">
        <f t="shared" si="35"/>
        <v>798196</v>
      </c>
      <c r="G108" s="341">
        <f t="shared" si="35"/>
        <v>1453132</v>
      </c>
      <c r="H108" s="341">
        <f t="shared" si="35"/>
        <v>126793</v>
      </c>
      <c r="I108" s="341">
        <f t="shared" si="35"/>
        <v>112</v>
      </c>
      <c r="J108" s="341">
        <f t="shared" si="35"/>
        <v>2477513</v>
      </c>
      <c r="K108" s="341">
        <f t="shared" si="35"/>
        <v>856458</v>
      </c>
      <c r="L108" s="341">
        <f t="shared" si="35"/>
        <v>1620943</v>
      </c>
      <c r="M108" s="341">
        <f t="shared" si="35"/>
        <v>0</v>
      </c>
      <c r="N108" s="341">
        <f t="shared" si="35"/>
        <v>112</v>
      </c>
      <c r="O108" s="341">
        <f t="shared" si="33"/>
        <v>2890380</v>
      </c>
      <c r="P108" s="341">
        <f>P50+P105+P71+P84</f>
        <v>993011</v>
      </c>
      <c r="Q108" s="341">
        <f>Q50+Q105+Q71+Q84</f>
        <v>1897369</v>
      </c>
      <c r="R108" s="341">
        <f>R50+R105+R71+R84</f>
        <v>0</v>
      </c>
      <c r="S108" s="341">
        <f>S50+S105+S71+S84</f>
        <v>0</v>
      </c>
      <c r="T108" s="341">
        <f>SUM(U108:X108)</f>
        <v>3717103</v>
      </c>
      <c r="U108" s="341">
        <f>U50+U105+U71+U84</f>
        <v>1492336</v>
      </c>
      <c r="V108" s="341">
        <f>V50+V105+V71+V84</f>
        <v>2224767</v>
      </c>
      <c r="W108" s="341">
        <f>W50+W105+W71+W84</f>
        <v>0</v>
      </c>
      <c r="X108" s="341">
        <f>X50+X105+X71+X84</f>
        <v>0</v>
      </c>
      <c r="Y108" s="341">
        <f>SUM(Z108:AC108)</f>
        <v>4746055</v>
      </c>
      <c r="Z108" s="341">
        <f>Z50+Z105+Z71+Z84</f>
        <v>1596392</v>
      </c>
      <c r="AA108" s="341">
        <f t="shared" ref="AA108:AH108" si="36">AA50+AA105+AA71+AA84</f>
        <v>3149663</v>
      </c>
      <c r="AB108" s="341">
        <f t="shared" si="36"/>
        <v>0</v>
      </c>
      <c r="AC108" s="341">
        <f t="shared" si="36"/>
        <v>0</v>
      </c>
      <c r="AD108" s="341">
        <f t="shared" si="36"/>
        <v>16209284</v>
      </c>
      <c r="AE108" s="355">
        <f t="shared" si="36"/>
        <v>5736393</v>
      </c>
      <c r="AF108" s="355">
        <f t="shared" si="36"/>
        <v>10345874</v>
      </c>
      <c r="AG108" s="355">
        <f t="shared" si="36"/>
        <v>126793</v>
      </c>
      <c r="AH108" s="355">
        <f t="shared" si="36"/>
        <v>224</v>
      </c>
    </row>
    <row r="109" spans="1:34" ht="42" customHeight="1" x14ac:dyDescent="0.2">
      <c r="E109" s="536"/>
      <c r="M109" s="537"/>
      <c r="N109" s="537"/>
      <c r="O109" s="538"/>
      <c r="P109" s="537"/>
      <c r="Q109" s="537"/>
    </row>
    <row r="110" spans="1:34" ht="42" customHeight="1" x14ac:dyDescent="0.2">
      <c r="C110" s="539" t="s">
        <v>319</v>
      </c>
      <c r="E110" s="540">
        <v>172475</v>
      </c>
      <c r="F110" s="341">
        <v>172475</v>
      </c>
      <c r="G110" s="341">
        <v>0</v>
      </c>
      <c r="H110" s="341">
        <v>0</v>
      </c>
      <c r="I110" s="341">
        <v>0</v>
      </c>
      <c r="J110" s="341">
        <v>98858</v>
      </c>
      <c r="K110" s="341">
        <v>98858</v>
      </c>
      <c r="L110" s="341">
        <v>0</v>
      </c>
      <c r="M110" s="341">
        <v>0</v>
      </c>
      <c r="N110" s="341">
        <v>0</v>
      </c>
      <c r="O110" s="341">
        <v>98858</v>
      </c>
      <c r="P110" s="341">
        <v>98858</v>
      </c>
      <c r="Q110" s="341">
        <v>0</v>
      </c>
      <c r="R110" s="341">
        <v>0</v>
      </c>
      <c r="S110" s="341">
        <v>0</v>
      </c>
      <c r="T110" s="341">
        <v>68359</v>
      </c>
      <c r="U110" s="341">
        <v>68359</v>
      </c>
      <c r="V110" s="341">
        <v>0</v>
      </c>
      <c r="W110" s="341">
        <v>0</v>
      </c>
      <c r="X110" s="341">
        <v>0</v>
      </c>
      <c r="Y110" s="341">
        <v>68359</v>
      </c>
      <c r="Z110" s="341">
        <v>68359</v>
      </c>
      <c r="AA110" s="341">
        <v>0</v>
      </c>
      <c r="AB110" s="341">
        <v>0</v>
      </c>
      <c r="AC110" s="341">
        <v>0</v>
      </c>
      <c r="AD110" s="341">
        <v>506909</v>
      </c>
      <c r="AE110" s="541">
        <f t="shared" ref="AE110:AE117" si="37">F110+K110+P110+U110+Z110</f>
        <v>506909</v>
      </c>
      <c r="AF110" s="541">
        <f t="shared" ref="AF110:AF117" si="38">G110+L110+Q110+V110+AA110</f>
        <v>0</v>
      </c>
      <c r="AG110" s="541">
        <f t="shared" ref="AG110:AG117" si="39">H110+M110+R110+W110+AB110</f>
        <v>0</v>
      </c>
      <c r="AH110" s="542">
        <f t="shared" ref="AH110:AH117" si="40">I110+N110+S110+X110+AC110</f>
        <v>0</v>
      </c>
    </row>
    <row r="111" spans="1:34" ht="42" customHeight="1" x14ac:dyDescent="0.2">
      <c r="C111" s="539"/>
      <c r="E111" s="341">
        <f t="shared" ref="E111:AD111" si="41">E50-E110</f>
        <v>537</v>
      </c>
      <c r="F111" s="341">
        <f t="shared" si="41"/>
        <v>537</v>
      </c>
      <c r="G111" s="341">
        <f t="shared" si="41"/>
        <v>0</v>
      </c>
      <c r="H111" s="341">
        <f t="shared" si="41"/>
        <v>0</v>
      </c>
      <c r="I111" s="341">
        <f t="shared" si="41"/>
        <v>0</v>
      </c>
      <c r="J111" s="341">
        <f t="shared" si="41"/>
        <v>4996</v>
      </c>
      <c r="K111" s="341">
        <f t="shared" si="41"/>
        <v>4996</v>
      </c>
      <c r="L111" s="341">
        <f t="shared" si="41"/>
        <v>0</v>
      </c>
      <c r="M111" s="341">
        <f t="shared" si="41"/>
        <v>0</v>
      </c>
      <c r="N111" s="341">
        <f t="shared" si="41"/>
        <v>0</v>
      </c>
      <c r="O111" s="341">
        <f t="shared" si="41"/>
        <v>30621</v>
      </c>
      <c r="P111" s="341">
        <f t="shared" si="41"/>
        <v>30621</v>
      </c>
      <c r="Q111" s="341">
        <f t="shared" si="41"/>
        <v>0</v>
      </c>
      <c r="R111" s="341">
        <f t="shared" si="41"/>
        <v>0</v>
      </c>
      <c r="S111" s="341">
        <f t="shared" si="41"/>
        <v>0</v>
      </c>
      <c r="T111" s="341">
        <f t="shared" si="41"/>
        <v>140573</v>
      </c>
      <c r="U111" s="341">
        <f t="shared" si="41"/>
        <v>140573</v>
      </c>
      <c r="V111" s="341">
        <f t="shared" si="41"/>
        <v>0</v>
      </c>
      <c r="W111" s="341">
        <f t="shared" si="41"/>
        <v>0</v>
      </c>
      <c r="X111" s="341">
        <f t="shared" si="41"/>
        <v>0</v>
      </c>
      <c r="Y111" s="341">
        <f t="shared" si="41"/>
        <v>167378</v>
      </c>
      <c r="Z111" s="341">
        <f t="shared" si="41"/>
        <v>167378</v>
      </c>
      <c r="AA111" s="341">
        <f t="shared" si="41"/>
        <v>0</v>
      </c>
      <c r="AB111" s="341">
        <f t="shared" si="41"/>
        <v>0</v>
      </c>
      <c r="AC111" s="341">
        <f t="shared" si="41"/>
        <v>0</v>
      </c>
      <c r="AD111" s="341">
        <f t="shared" si="41"/>
        <v>344105</v>
      </c>
      <c r="AE111" s="541">
        <f t="shared" si="37"/>
        <v>344105</v>
      </c>
      <c r="AF111" s="541">
        <f t="shared" si="38"/>
        <v>0</v>
      </c>
      <c r="AG111" s="541">
        <f t="shared" si="39"/>
        <v>0</v>
      </c>
      <c r="AH111" s="542">
        <f t="shared" si="40"/>
        <v>0</v>
      </c>
    </row>
    <row r="112" spans="1:34" ht="42" customHeight="1" x14ac:dyDescent="0.2">
      <c r="C112" s="539" t="s">
        <v>320</v>
      </c>
      <c r="E112" s="341">
        <v>1479778</v>
      </c>
      <c r="F112" s="341">
        <v>103538</v>
      </c>
      <c r="G112" s="341">
        <v>1249447</v>
      </c>
      <c r="H112" s="341">
        <v>126793</v>
      </c>
      <c r="I112" s="341">
        <v>0</v>
      </c>
      <c r="J112" s="341">
        <v>886241</v>
      </c>
      <c r="K112" s="341">
        <v>133580</v>
      </c>
      <c r="L112" s="341">
        <v>714418</v>
      </c>
      <c r="M112" s="341">
        <v>38243</v>
      </c>
      <c r="N112" s="341">
        <v>0</v>
      </c>
      <c r="O112" s="341">
        <v>832699</v>
      </c>
      <c r="P112" s="341">
        <v>132699</v>
      </c>
      <c r="Q112" s="341">
        <v>700000</v>
      </c>
      <c r="R112" s="341">
        <v>0</v>
      </c>
      <c r="S112" s="341">
        <v>0</v>
      </c>
      <c r="T112" s="341">
        <v>3082707</v>
      </c>
      <c r="U112" s="341">
        <v>345627</v>
      </c>
      <c r="V112" s="341">
        <v>2737080</v>
      </c>
      <c r="W112" s="341">
        <v>0</v>
      </c>
      <c r="X112" s="341">
        <v>0</v>
      </c>
      <c r="Y112" s="341">
        <v>2507975</v>
      </c>
      <c r="Z112" s="341">
        <v>188906</v>
      </c>
      <c r="AA112" s="341">
        <v>2319069</v>
      </c>
      <c r="AB112" s="341">
        <v>0</v>
      </c>
      <c r="AC112" s="341">
        <v>0</v>
      </c>
      <c r="AD112" s="341">
        <v>8789400</v>
      </c>
      <c r="AE112" s="541">
        <f t="shared" si="37"/>
        <v>904350</v>
      </c>
      <c r="AF112" s="541">
        <f t="shared" si="38"/>
        <v>7720014</v>
      </c>
      <c r="AG112" s="541">
        <f t="shared" si="39"/>
        <v>165036</v>
      </c>
      <c r="AH112" s="542">
        <f t="shared" si="40"/>
        <v>0</v>
      </c>
    </row>
    <row r="113" spans="3:34" ht="42" customHeight="1" x14ac:dyDescent="0.2">
      <c r="C113" s="539"/>
      <c r="E113" s="341">
        <f t="shared" ref="E113:AD113" si="42">E71-E112</f>
        <v>106045</v>
      </c>
      <c r="F113" s="341">
        <f t="shared" si="42"/>
        <v>6384</v>
      </c>
      <c r="G113" s="341">
        <f t="shared" si="42"/>
        <v>99661</v>
      </c>
      <c r="H113" s="341">
        <f t="shared" si="42"/>
        <v>0</v>
      </c>
      <c r="I113" s="341">
        <f t="shared" si="42"/>
        <v>0</v>
      </c>
      <c r="J113" s="341">
        <f t="shared" si="42"/>
        <v>665355</v>
      </c>
      <c r="K113" s="341">
        <f t="shared" si="42"/>
        <v>127155</v>
      </c>
      <c r="L113" s="341">
        <f t="shared" si="42"/>
        <v>576443</v>
      </c>
      <c r="M113" s="341">
        <f t="shared" si="42"/>
        <v>-38243</v>
      </c>
      <c r="N113" s="341">
        <f t="shared" si="42"/>
        <v>0</v>
      </c>
      <c r="O113" s="341">
        <f t="shared" si="42"/>
        <v>1247982</v>
      </c>
      <c r="P113" s="341">
        <f t="shared" si="42"/>
        <v>168869</v>
      </c>
      <c r="Q113" s="341">
        <f t="shared" si="42"/>
        <v>1079113</v>
      </c>
      <c r="R113" s="341">
        <f t="shared" si="42"/>
        <v>0</v>
      </c>
      <c r="S113" s="341">
        <f t="shared" si="42"/>
        <v>0</v>
      </c>
      <c r="T113" s="341">
        <f t="shared" si="42"/>
        <v>-1285038</v>
      </c>
      <c r="U113" s="341">
        <f t="shared" si="42"/>
        <v>-35750</v>
      </c>
      <c r="V113" s="341">
        <f t="shared" si="42"/>
        <v>-1249288</v>
      </c>
      <c r="W113" s="341">
        <f t="shared" si="42"/>
        <v>0</v>
      </c>
      <c r="X113" s="341">
        <f t="shared" si="42"/>
        <v>0</v>
      </c>
      <c r="Y113" s="341">
        <f t="shared" si="42"/>
        <v>-670855</v>
      </c>
      <c r="Z113" s="341">
        <f t="shared" si="42"/>
        <v>145546</v>
      </c>
      <c r="AA113" s="341">
        <f t="shared" si="42"/>
        <v>-816401</v>
      </c>
      <c r="AB113" s="341">
        <f t="shared" si="42"/>
        <v>0</v>
      </c>
      <c r="AC113" s="341">
        <f t="shared" si="42"/>
        <v>0</v>
      </c>
      <c r="AD113" s="341">
        <f t="shared" si="42"/>
        <v>63489</v>
      </c>
      <c r="AE113" s="541">
        <f t="shared" si="37"/>
        <v>412204</v>
      </c>
      <c r="AF113" s="541">
        <f t="shared" si="38"/>
        <v>-310472</v>
      </c>
      <c r="AG113" s="541">
        <f t="shared" si="39"/>
        <v>-38243</v>
      </c>
      <c r="AH113" s="542">
        <f t="shared" si="40"/>
        <v>0</v>
      </c>
    </row>
    <row r="114" spans="3:34" ht="42" customHeight="1" x14ac:dyDescent="0.2">
      <c r="C114" s="543" t="s">
        <v>321</v>
      </c>
      <c r="E114" s="341">
        <v>305611</v>
      </c>
      <c r="F114" s="341">
        <v>305611</v>
      </c>
      <c r="G114" s="341">
        <v>0</v>
      </c>
      <c r="H114" s="341">
        <v>0</v>
      </c>
      <c r="I114" s="341">
        <v>0</v>
      </c>
      <c r="J114" s="341">
        <v>421548</v>
      </c>
      <c r="K114" s="341">
        <v>421548</v>
      </c>
      <c r="L114" s="341">
        <v>0</v>
      </c>
      <c r="M114" s="341">
        <v>0</v>
      </c>
      <c r="N114" s="341">
        <v>0</v>
      </c>
      <c r="O114" s="341">
        <v>421548</v>
      </c>
      <c r="P114" s="341">
        <v>421548</v>
      </c>
      <c r="Q114" s="341">
        <v>0</v>
      </c>
      <c r="R114" s="341">
        <v>0</v>
      </c>
      <c r="S114" s="341">
        <v>0</v>
      </c>
      <c r="T114" s="341">
        <v>438410</v>
      </c>
      <c r="U114" s="341">
        <v>438410</v>
      </c>
      <c r="V114" s="341">
        <v>0</v>
      </c>
      <c r="W114" s="341">
        <v>0</v>
      </c>
      <c r="X114" s="341">
        <v>0</v>
      </c>
      <c r="Y114" s="341">
        <v>455946</v>
      </c>
      <c r="Z114" s="341">
        <v>455946</v>
      </c>
      <c r="AA114" s="341">
        <v>0</v>
      </c>
      <c r="AB114" s="341">
        <v>0</v>
      </c>
      <c r="AC114" s="341">
        <v>0</v>
      </c>
      <c r="AD114" s="341">
        <v>2043063</v>
      </c>
      <c r="AE114" s="541">
        <f t="shared" si="37"/>
        <v>2043063</v>
      </c>
      <c r="AF114" s="541">
        <f t="shared" si="38"/>
        <v>0</v>
      </c>
      <c r="AG114" s="541">
        <f t="shared" si="39"/>
        <v>0</v>
      </c>
      <c r="AH114" s="542">
        <f t="shared" si="40"/>
        <v>0</v>
      </c>
    </row>
    <row r="115" spans="3:34" ht="42" customHeight="1" x14ac:dyDescent="0.2">
      <c r="C115" s="543"/>
      <c r="E115" s="341">
        <f t="shared" ref="E115:AD115" si="43">E84-E114</f>
        <v>-23750</v>
      </c>
      <c r="F115" s="341">
        <f t="shared" si="43"/>
        <v>-23750</v>
      </c>
      <c r="G115" s="341">
        <f t="shared" si="43"/>
        <v>0</v>
      </c>
      <c r="H115" s="341">
        <f t="shared" si="43"/>
        <v>0</v>
      </c>
      <c r="I115" s="341">
        <f t="shared" si="43"/>
        <v>0</v>
      </c>
      <c r="J115" s="341">
        <f t="shared" si="43"/>
        <v>-161364</v>
      </c>
      <c r="K115" s="341">
        <f t="shared" si="43"/>
        <v>-161364</v>
      </c>
      <c r="L115" s="341">
        <f t="shared" si="43"/>
        <v>0</v>
      </c>
      <c r="M115" s="341">
        <f t="shared" si="43"/>
        <v>0</v>
      </c>
      <c r="N115" s="341">
        <f t="shared" si="43"/>
        <v>0</v>
      </c>
      <c r="O115" s="341">
        <f t="shared" si="43"/>
        <v>-165670</v>
      </c>
      <c r="P115" s="341">
        <f t="shared" si="43"/>
        <v>-165670</v>
      </c>
      <c r="Q115" s="341">
        <f t="shared" si="43"/>
        <v>0</v>
      </c>
      <c r="R115" s="341">
        <f t="shared" si="43"/>
        <v>0</v>
      </c>
      <c r="S115" s="341">
        <f t="shared" si="43"/>
        <v>0</v>
      </c>
      <c r="T115" s="341">
        <f t="shared" si="43"/>
        <v>17378</v>
      </c>
      <c r="U115" s="341">
        <f t="shared" si="43"/>
        <v>17378</v>
      </c>
      <c r="V115" s="341">
        <f t="shared" si="43"/>
        <v>0</v>
      </c>
      <c r="W115" s="341">
        <f t="shared" si="43"/>
        <v>0</v>
      </c>
      <c r="X115" s="341">
        <f t="shared" si="43"/>
        <v>0</v>
      </c>
      <c r="Y115" s="341">
        <f t="shared" si="43"/>
        <v>157197</v>
      </c>
      <c r="Z115" s="341">
        <f t="shared" si="43"/>
        <v>157197</v>
      </c>
      <c r="AA115" s="341">
        <f t="shared" si="43"/>
        <v>0</v>
      </c>
      <c r="AB115" s="341">
        <f t="shared" si="43"/>
        <v>0</v>
      </c>
      <c r="AC115" s="341">
        <f t="shared" si="43"/>
        <v>0</v>
      </c>
      <c r="AD115" s="341">
        <f t="shared" si="43"/>
        <v>-176209</v>
      </c>
      <c r="AE115" s="541">
        <f t="shared" si="37"/>
        <v>-176209</v>
      </c>
      <c r="AF115" s="541">
        <f t="shared" si="38"/>
        <v>0</v>
      </c>
      <c r="AG115" s="541">
        <f t="shared" si="39"/>
        <v>0</v>
      </c>
      <c r="AH115" s="542">
        <f t="shared" si="40"/>
        <v>0</v>
      </c>
    </row>
    <row r="116" spans="3:34" ht="42" customHeight="1" x14ac:dyDescent="0.2">
      <c r="C116" s="543" t="s">
        <v>322</v>
      </c>
      <c r="E116" s="341">
        <v>316674</v>
      </c>
      <c r="F116" s="341">
        <v>241256</v>
      </c>
      <c r="G116" s="341">
        <v>75306</v>
      </c>
      <c r="H116" s="341">
        <v>0</v>
      </c>
      <c r="I116" s="341">
        <v>112</v>
      </c>
      <c r="J116" s="341">
        <v>317340</v>
      </c>
      <c r="K116" s="341">
        <v>241922</v>
      </c>
      <c r="L116" s="341">
        <v>75306</v>
      </c>
      <c r="M116" s="341">
        <v>0</v>
      </c>
      <c r="N116" s="341">
        <v>112</v>
      </c>
      <c r="O116" s="341">
        <v>317340</v>
      </c>
      <c r="P116" s="341">
        <v>241922</v>
      </c>
      <c r="Q116" s="341">
        <v>75306</v>
      </c>
      <c r="R116" s="341">
        <v>0</v>
      </c>
      <c r="S116" s="341">
        <v>112</v>
      </c>
      <c r="T116" s="341">
        <v>316784</v>
      </c>
      <c r="U116" s="341">
        <v>241916</v>
      </c>
      <c r="V116" s="341">
        <v>74756</v>
      </c>
      <c r="W116" s="341">
        <v>0</v>
      </c>
      <c r="X116" s="341">
        <v>112</v>
      </c>
      <c r="Y116" s="341">
        <v>304259</v>
      </c>
      <c r="Z116" s="341">
        <v>241791</v>
      </c>
      <c r="AA116" s="341">
        <v>62356</v>
      </c>
      <c r="AB116" s="341">
        <v>0</v>
      </c>
      <c r="AC116" s="341">
        <v>112</v>
      </c>
      <c r="AD116" s="341">
        <v>1572397</v>
      </c>
      <c r="AE116" s="541">
        <f t="shared" si="37"/>
        <v>1208807</v>
      </c>
      <c r="AF116" s="541">
        <f t="shared" si="38"/>
        <v>363030</v>
      </c>
      <c r="AG116" s="541">
        <f t="shared" si="39"/>
        <v>0</v>
      </c>
      <c r="AH116" s="542">
        <f t="shared" si="40"/>
        <v>560</v>
      </c>
    </row>
    <row r="117" spans="3:34" ht="42" customHeight="1" x14ac:dyDescent="0.2">
      <c r="E117" s="341">
        <f>E105-E116</f>
        <v>20863</v>
      </c>
      <c r="F117" s="341">
        <f t="shared" ref="F117:AD117" si="44">F105-F116</f>
        <v>-7855</v>
      </c>
      <c r="G117" s="341">
        <f t="shared" si="44"/>
        <v>28718</v>
      </c>
      <c r="H117" s="341">
        <f t="shared" si="44"/>
        <v>0</v>
      </c>
      <c r="I117" s="341">
        <f t="shared" si="44"/>
        <v>0</v>
      </c>
      <c r="J117" s="341">
        <f t="shared" si="44"/>
        <v>244539</v>
      </c>
      <c r="K117" s="341">
        <f t="shared" si="44"/>
        <v>-10237</v>
      </c>
      <c r="L117" s="341">
        <f t="shared" si="44"/>
        <v>254776</v>
      </c>
      <c r="M117" s="341">
        <f t="shared" si="44"/>
        <v>0</v>
      </c>
      <c r="N117" s="341">
        <f t="shared" si="44"/>
        <v>0</v>
      </c>
      <c r="O117" s="341">
        <f t="shared" si="44"/>
        <v>107002</v>
      </c>
      <c r="P117" s="341">
        <f t="shared" si="44"/>
        <v>64164</v>
      </c>
      <c r="Q117" s="341">
        <f t="shared" si="44"/>
        <v>42950</v>
      </c>
      <c r="R117" s="341">
        <f t="shared" si="44"/>
        <v>0</v>
      </c>
      <c r="S117" s="341">
        <f t="shared" si="44"/>
        <v>-112</v>
      </c>
      <c r="T117" s="341">
        <f t="shared" si="44"/>
        <v>937930</v>
      </c>
      <c r="U117" s="341">
        <f t="shared" si="44"/>
        <v>275823</v>
      </c>
      <c r="V117" s="341">
        <f t="shared" si="44"/>
        <v>662219</v>
      </c>
      <c r="W117" s="341">
        <f t="shared" si="44"/>
        <v>0</v>
      </c>
      <c r="X117" s="341">
        <f t="shared" si="44"/>
        <v>-112</v>
      </c>
      <c r="Y117" s="341">
        <f t="shared" si="44"/>
        <v>1755796</v>
      </c>
      <c r="Z117" s="341">
        <f t="shared" si="44"/>
        <v>171269</v>
      </c>
      <c r="AA117" s="341">
        <f t="shared" si="44"/>
        <v>1584639</v>
      </c>
      <c r="AB117" s="341">
        <f t="shared" si="44"/>
        <v>0</v>
      </c>
      <c r="AC117" s="341">
        <f t="shared" si="44"/>
        <v>-112</v>
      </c>
      <c r="AD117" s="341">
        <f t="shared" si="44"/>
        <v>3066130</v>
      </c>
      <c r="AE117" s="541">
        <f t="shared" si="37"/>
        <v>493164</v>
      </c>
      <c r="AF117" s="541">
        <f t="shared" si="38"/>
        <v>2573302</v>
      </c>
      <c r="AG117" s="541">
        <f t="shared" si="39"/>
        <v>0</v>
      </c>
      <c r="AH117" s="542">
        <f t="shared" si="40"/>
        <v>-336</v>
      </c>
    </row>
    <row r="118" spans="3:34" ht="42" customHeight="1" x14ac:dyDescent="0.2">
      <c r="E118" s="541">
        <v>2274538</v>
      </c>
      <c r="F118" s="541">
        <v>822880</v>
      </c>
      <c r="G118" s="541">
        <v>1324753</v>
      </c>
      <c r="H118" s="541">
        <v>126793</v>
      </c>
      <c r="I118" s="541">
        <v>112</v>
      </c>
      <c r="J118" s="541">
        <v>1723987</v>
      </c>
      <c r="K118" s="541">
        <v>895908</v>
      </c>
      <c r="L118" s="541">
        <v>789724</v>
      </c>
      <c r="M118" s="541">
        <v>38243</v>
      </c>
      <c r="N118" s="541">
        <v>112</v>
      </c>
      <c r="O118" s="541">
        <v>1670445</v>
      </c>
      <c r="P118" s="541">
        <v>895027</v>
      </c>
      <c r="Q118" s="541">
        <v>775306</v>
      </c>
      <c r="R118" s="541">
        <v>0</v>
      </c>
      <c r="S118" s="541">
        <v>112</v>
      </c>
      <c r="T118" s="541">
        <v>3906260</v>
      </c>
      <c r="U118" s="541">
        <v>1094312</v>
      </c>
      <c r="V118" s="541">
        <v>2811836</v>
      </c>
      <c r="W118" s="541">
        <v>0</v>
      </c>
      <c r="X118" s="541">
        <v>112</v>
      </c>
      <c r="Y118" s="541">
        <v>3336539</v>
      </c>
      <c r="Z118" s="541">
        <v>955002</v>
      </c>
      <c r="AA118" s="541">
        <v>2381425</v>
      </c>
      <c r="AB118" s="541">
        <v>0</v>
      </c>
      <c r="AC118" s="541">
        <v>112</v>
      </c>
      <c r="AD118" s="541">
        <v>12911769</v>
      </c>
      <c r="AE118" s="541">
        <f>F118+K118+P118+U118+Z118</f>
        <v>4663129</v>
      </c>
      <c r="AF118" s="541">
        <f>G118+L118+Q118+V118+AA118</f>
        <v>8083044</v>
      </c>
      <c r="AG118" s="541">
        <f>H118+M118+R118+W118+AB118</f>
        <v>165036</v>
      </c>
      <c r="AH118" s="542">
        <f>I118+N118+S118+X118+AC118</f>
        <v>560</v>
      </c>
    </row>
    <row r="119" spans="3:34" ht="42" customHeight="1" x14ac:dyDescent="0.2">
      <c r="E119" s="541">
        <f>E108-E118</f>
        <v>103695</v>
      </c>
      <c r="F119" s="541">
        <f t="shared" ref="F119:AD119" si="45">F108-F118</f>
        <v>-24684</v>
      </c>
      <c r="G119" s="541">
        <f t="shared" si="45"/>
        <v>128379</v>
      </c>
      <c r="H119" s="541">
        <f t="shared" si="45"/>
        <v>0</v>
      </c>
      <c r="I119" s="541">
        <f t="shared" si="45"/>
        <v>0</v>
      </c>
      <c r="J119" s="541">
        <f t="shared" si="45"/>
        <v>753526</v>
      </c>
      <c r="K119" s="541">
        <f t="shared" si="45"/>
        <v>-39450</v>
      </c>
      <c r="L119" s="541">
        <f t="shared" si="45"/>
        <v>831219</v>
      </c>
      <c r="M119" s="541">
        <f t="shared" si="45"/>
        <v>-38243</v>
      </c>
      <c r="N119" s="541">
        <f t="shared" si="45"/>
        <v>0</v>
      </c>
      <c r="O119" s="541">
        <f t="shared" si="45"/>
        <v>1219935</v>
      </c>
      <c r="P119" s="541">
        <f t="shared" si="45"/>
        <v>97984</v>
      </c>
      <c r="Q119" s="541">
        <f t="shared" si="45"/>
        <v>1122063</v>
      </c>
      <c r="R119" s="541">
        <f t="shared" si="45"/>
        <v>0</v>
      </c>
      <c r="S119" s="541">
        <f t="shared" si="45"/>
        <v>-112</v>
      </c>
      <c r="T119" s="541">
        <f t="shared" si="45"/>
        <v>-189157</v>
      </c>
      <c r="U119" s="541">
        <f t="shared" si="45"/>
        <v>398024</v>
      </c>
      <c r="V119" s="541">
        <f t="shared" si="45"/>
        <v>-587069</v>
      </c>
      <c r="W119" s="541">
        <f t="shared" si="45"/>
        <v>0</v>
      </c>
      <c r="X119" s="541">
        <f t="shared" si="45"/>
        <v>-112</v>
      </c>
      <c r="Y119" s="541">
        <f t="shared" si="45"/>
        <v>1409516</v>
      </c>
      <c r="Z119" s="541">
        <f t="shared" si="45"/>
        <v>641390</v>
      </c>
      <c r="AA119" s="541">
        <f t="shared" si="45"/>
        <v>768238</v>
      </c>
      <c r="AB119" s="541">
        <f t="shared" si="45"/>
        <v>0</v>
      </c>
      <c r="AC119" s="541">
        <f t="shared" si="45"/>
        <v>-112</v>
      </c>
      <c r="AD119" s="541">
        <f t="shared" si="45"/>
        <v>3297515</v>
      </c>
      <c r="AE119" s="541">
        <f>AE108-AE118</f>
        <v>1073264</v>
      </c>
      <c r="AF119" s="541">
        <f>AF108-AF118</f>
        <v>2262830</v>
      </c>
      <c r="AG119" s="541">
        <f>AG108-AG118</f>
        <v>-38243</v>
      </c>
      <c r="AH119" s="541">
        <f>AH108-AH118</f>
        <v>-336</v>
      </c>
    </row>
  </sheetData>
  <mergeCells count="96">
    <mergeCell ref="B103:AD103"/>
    <mergeCell ref="C112:C113"/>
    <mergeCell ref="A97:A98"/>
    <mergeCell ref="A108:C108"/>
    <mergeCell ref="A106:C106"/>
    <mergeCell ref="A107:C107"/>
    <mergeCell ref="C97:C98"/>
    <mergeCell ref="B97:B98"/>
    <mergeCell ref="C110:C111"/>
    <mergeCell ref="A105:C105"/>
    <mergeCell ref="B101:AD101"/>
    <mergeCell ref="N97:N98"/>
    <mergeCell ref="O97:O98"/>
    <mergeCell ref="U97:U98"/>
    <mergeCell ref="V97:V98"/>
    <mergeCell ref="Y97:Y98"/>
    <mergeCell ref="A48:C48"/>
    <mergeCell ref="A49:C49"/>
    <mergeCell ref="B60:B61"/>
    <mergeCell ref="B39:AD39"/>
    <mergeCell ref="A56:A57"/>
    <mergeCell ref="B56:B57"/>
    <mergeCell ref="C56:C57"/>
    <mergeCell ref="P97:P98"/>
    <mergeCell ref="Q97:Q98"/>
    <mergeCell ref="R97:R98"/>
    <mergeCell ref="S97:S98"/>
    <mergeCell ref="O5:S5"/>
    <mergeCell ref="A8:AD8"/>
    <mergeCell ref="A87:AD87"/>
    <mergeCell ref="A86:AD86"/>
    <mergeCell ref="A10:AD10"/>
    <mergeCell ref="A11:AD11"/>
    <mergeCell ref="J97:J98"/>
    <mergeCell ref="K97:K98"/>
    <mergeCell ref="A71:C71"/>
    <mergeCell ref="A52:AD52"/>
    <mergeCell ref="A53:AD53"/>
    <mergeCell ref="B9:AD9"/>
    <mergeCell ref="AA1:AD1"/>
    <mergeCell ref="AC97:AC98"/>
    <mergeCell ref="AD97:AD98"/>
    <mergeCell ref="AB97:AB98"/>
    <mergeCell ref="W97:W98"/>
    <mergeCell ref="AA2:AD2"/>
    <mergeCell ref="Y5:AC5"/>
    <mergeCell ref="AA97:AA98"/>
    <mergeCell ref="Z97:Z98"/>
    <mergeCell ref="T97:T98"/>
    <mergeCell ref="X97:X98"/>
    <mergeCell ref="J5:N5"/>
    <mergeCell ref="T5:X5"/>
    <mergeCell ref="B3:AD3"/>
    <mergeCell ref="B12:AD12"/>
    <mergeCell ref="B54:AD54"/>
    <mergeCell ref="B51:AD51"/>
    <mergeCell ref="B24:AD24"/>
    <mergeCell ref="B37:AD37"/>
    <mergeCell ref="B4:B6"/>
    <mergeCell ref="C4:C6"/>
    <mergeCell ref="B17:B18"/>
    <mergeCell ref="E5:I5"/>
    <mergeCell ref="A50:C50"/>
    <mergeCell ref="B96:AD96"/>
    <mergeCell ref="D4:D6"/>
    <mergeCell ref="E4:AC4"/>
    <mergeCell ref="AD4:AD6"/>
    <mergeCell ref="A73:AD73"/>
    <mergeCell ref="B58:B59"/>
    <mergeCell ref="A58:A59"/>
    <mergeCell ref="C58:C59"/>
    <mergeCell ref="A70:C70"/>
    <mergeCell ref="A69:C69"/>
    <mergeCell ref="A17:A18"/>
    <mergeCell ref="A60:A62"/>
    <mergeCell ref="C60:C62"/>
    <mergeCell ref="A63:A64"/>
    <mergeCell ref="C63:C64"/>
    <mergeCell ref="A4:A6"/>
    <mergeCell ref="C17:C18"/>
    <mergeCell ref="D97:D98"/>
    <mergeCell ref="L97:L98"/>
    <mergeCell ref="B75:AD75"/>
    <mergeCell ref="B72:AD72"/>
    <mergeCell ref="B78:AD78"/>
    <mergeCell ref="A74:AD74"/>
    <mergeCell ref="E97:E98"/>
    <mergeCell ref="F97:F98"/>
    <mergeCell ref="M97:M98"/>
    <mergeCell ref="I97:I98"/>
    <mergeCell ref="G97:G98"/>
    <mergeCell ref="H97:H98"/>
    <mergeCell ref="A84:C84"/>
    <mergeCell ref="B85:AD85"/>
    <mergeCell ref="B88:AD88"/>
    <mergeCell ref="B91:AD91"/>
  </mergeCells>
  <phoneticPr fontId="3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7" firstPageNumber="40" fitToWidth="0" orientation="landscape" useFirstPageNumber="1" r:id="rId1"/>
  <headerFooter alignWithMargins="0">
    <oddHeader>&amp;C&amp;P</oddHeader>
  </headerFooter>
  <rowBreaks count="8" manualBreakCount="8">
    <brk id="19" max="29" man="1"/>
    <brk id="28" max="29" man="1"/>
    <brk id="39" max="29" man="1"/>
    <brk id="49" max="29" man="1"/>
    <brk id="60" max="29" man="1"/>
    <brk id="66" max="29" man="1"/>
    <brk id="80" max="29" man="1"/>
    <brk id="91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48"/>
  <sheetViews>
    <sheetView tabSelected="1" view="pageBreakPreview" topLeftCell="A130" zoomScaleNormal="100" zoomScaleSheetLayoutView="100" workbookViewId="0">
      <selection activeCell="E40" sqref="E40"/>
    </sheetView>
  </sheetViews>
  <sheetFormatPr defaultColWidth="9.140625" defaultRowHeight="12.75" x14ac:dyDescent="0.2"/>
  <cols>
    <col min="1" max="1" width="6.140625" style="28" customWidth="1"/>
    <col min="2" max="2" width="34.140625" style="28" customWidth="1"/>
    <col min="3" max="3" width="58.28515625" style="28" customWidth="1"/>
    <col min="4" max="4" width="8.85546875" style="28"/>
    <col min="5" max="5" width="9.140625" style="28" customWidth="1"/>
    <col min="6" max="6" width="11.28515625" style="28" customWidth="1"/>
    <col min="7" max="7" width="11.5703125" style="28" customWidth="1"/>
    <col min="8" max="8" width="14" style="28" customWidth="1"/>
    <col min="9" max="9" width="13.85546875" style="28" customWidth="1"/>
    <col min="10" max="10" width="13.42578125" style="28" customWidth="1"/>
    <col min="11" max="16" width="9.140625" style="28"/>
    <col min="17" max="17" width="14.140625" style="28" customWidth="1"/>
    <col min="18" max="16384" width="9.140625" style="28"/>
  </cols>
  <sheetData>
    <row r="1" spans="1:14" ht="58.5" customHeight="1" x14ac:dyDescent="0.2">
      <c r="G1" s="508" t="s">
        <v>1380</v>
      </c>
      <c r="H1" s="508"/>
      <c r="I1" s="508"/>
      <c r="J1" s="508"/>
    </row>
    <row r="2" spans="1:14" ht="85.5" customHeight="1" x14ac:dyDescent="0.2">
      <c r="G2" s="515" t="s">
        <v>425</v>
      </c>
      <c r="H2" s="515"/>
      <c r="I2" s="515"/>
      <c r="J2" s="515"/>
    </row>
    <row r="3" spans="1:14" ht="21.75" customHeight="1" x14ac:dyDescent="0.2">
      <c r="A3" s="45"/>
      <c r="B3" s="51"/>
      <c r="C3" s="52"/>
      <c r="D3" s="53"/>
      <c r="E3" s="54"/>
      <c r="F3" s="54"/>
      <c r="G3" s="54"/>
      <c r="H3" s="54"/>
      <c r="I3" s="54"/>
      <c r="J3" s="54"/>
    </row>
    <row r="4" spans="1:14" ht="31.5" customHeight="1" x14ac:dyDescent="0.2">
      <c r="A4" s="357" t="s">
        <v>646</v>
      </c>
      <c r="B4" s="514"/>
      <c r="C4" s="514"/>
      <c r="D4" s="514"/>
      <c r="E4" s="514"/>
      <c r="F4" s="357"/>
      <c r="G4" s="357"/>
      <c r="H4" s="357"/>
      <c r="I4" s="357"/>
      <c r="J4" s="357"/>
    </row>
    <row r="5" spans="1:14" ht="18.75" customHeight="1" x14ac:dyDescent="0.2">
      <c r="A5" s="404" t="s">
        <v>68</v>
      </c>
      <c r="B5" s="509" t="s">
        <v>91</v>
      </c>
      <c r="C5" s="466" t="s">
        <v>92</v>
      </c>
      <c r="D5" s="466" t="s">
        <v>93</v>
      </c>
      <c r="E5" s="512" t="s">
        <v>94</v>
      </c>
      <c r="F5" s="466" t="s">
        <v>95</v>
      </c>
      <c r="G5" s="466"/>
      <c r="H5" s="511"/>
      <c r="I5" s="511"/>
      <c r="J5" s="511"/>
    </row>
    <row r="6" spans="1:14" ht="7.5" customHeight="1" x14ac:dyDescent="0.2">
      <c r="A6" s="404"/>
      <c r="B6" s="510"/>
      <c r="C6" s="466"/>
      <c r="D6" s="511"/>
      <c r="E6" s="513"/>
      <c r="F6" s="511"/>
      <c r="G6" s="511"/>
      <c r="H6" s="511"/>
      <c r="I6" s="511"/>
      <c r="J6" s="511"/>
    </row>
    <row r="7" spans="1:14" ht="9" customHeight="1" x14ac:dyDescent="0.2">
      <c r="A7" s="404"/>
      <c r="B7" s="510"/>
      <c r="C7" s="466"/>
      <c r="D7" s="511"/>
      <c r="E7" s="513"/>
      <c r="F7" s="404">
        <v>2021</v>
      </c>
      <c r="G7" s="404">
        <v>2022</v>
      </c>
      <c r="H7" s="404">
        <v>2023</v>
      </c>
      <c r="I7" s="404">
        <v>2024</v>
      </c>
      <c r="J7" s="404">
        <v>2025</v>
      </c>
    </row>
    <row r="8" spans="1:14" ht="12" customHeight="1" x14ac:dyDescent="0.2">
      <c r="A8" s="404"/>
      <c r="B8" s="510"/>
      <c r="C8" s="466"/>
      <c r="D8" s="511"/>
      <c r="E8" s="513"/>
      <c r="F8" s="404"/>
      <c r="G8" s="404"/>
      <c r="H8" s="404"/>
      <c r="I8" s="404"/>
      <c r="J8" s="404"/>
    </row>
    <row r="9" spans="1:14" x14ac:dyDescent="0.2">
      <c r="A9" s="323">
        <v>1</v>
      </c>
      <c r="B9" s="323">
        <v>2</v>
      </c>
      <c r="C9" s="323">
        <v>3</v>
      </c>
      <c r="D9" s="323">
        <v>4</v>
      </c>
      <c r="E9" s="323">
        <v>5</v>
      </c>
      <c r="F9" s="323">
        <v>6</v>
      </c>
      <c r="G9" s="323">
        <v>7</v>
      </c>
      <c r="H9" s="323">
        <v>8</v>
      </c>
      <c r="I9" s="323">
        <v>9</v>
      </c>
      <c r="J9" s="323">
        <v>10</v>
      </c>
    </row>
    <row r="10" spans="1:14" ht="25.5" customHeight="1" x14ac:dyDescent="0.2">
      <c r="A10" s="520" t="s">
        <v>1075</v>
      </c>
      <c r="B10" s="520"/>
      <c r="C10" s="520"/>
      <c r="D10" s="520"/>
      <c r="E10" s="520"/>
      <c r="F10" s="520"/>
      <c r="G10" s="520"/>
      <c r="H10" s="520"/>
      <c r="I10" s="520"/>
      <c r="J10" s="520"/>
    </row>
    <row r="11" spans="1:14" ht="27.75" customHeight="1" x14ac:dyDescent="0.2">
      <c r="A11" s="55" t="s">
        <v>433</v>
      </c>
      <c r="B11" s="491" t="s">
        <v>1076</v>
      </c>
      <c r="C11" s="492"/>
      <c r="D11" s="492"/>
      <c r="E11" s="492"/>
      <c r="F11" s="492"/>
      <c r="G11" s="492"/>
      <c r="H11" s="492"/>
      <c r="I11" s="492"/>
      <c r="J11" s="493"/>
    </row>
    <row r="12" spans="1:14" ht="17.45" customHeight="1" x14ac:dyDescent="0.2">
      <c r="A12" s="521" t="s">
        <v>71</v>
      </c>
      <c r="B12" s="521"/>
      <c r="C12" s="521"/>
      <c r="D12" s="521"/>
      <c r="E12" s="521"/>
      <c r="F12" s="521"/>
      <c r="G12" s="521"/>
      <c r="H12" s="521"/>
      <c r="I12" s="521"/>
      <c r="J12" s="521"/>
    </row>
    <row r="13" spans="1:14" ht="25.15" customHeight="1" x14ac:dyDescent="0.2">
      <c r="A13" s="520" t="s">
        <v>1082</v>
      </c>
      <c r="B13" s="520"/>
      <c r="C13" s="520"/>
      <c r="D13" s="520"/>
      <c r="E13" s="520"/>
      <c r="F13" s="520"/>
      <c r="G13" s="520"/>
      <c r="H13" s="520"/>
      <c r="I13" s="520"/>
      <c r="J13" s="520"/>
    </row>
    <row r="14" spans="1:14" ht="27.75" customHeight="1" x14ac:dyDescent="0.2">
      <c r="A14" s="56" t="s">
        <v>1</v>
      </c>
      <c r="B14" s="491" t="s">
        <v>432</v>
      </c>
      <c r="C14" s="492"/>
      <c r="D14" s="492"/>
      <c r="E14" s="492"/>
      <c r="F14" s="492"/>
      <c r="G14" s="492"/>
      <c r="H14" s="492"/>
      <c r="I14" s="492"/>
      <c r="J14" s="493"/>
    </row>
    <row r="15" spans="1:14" ht="39" customHeight="1" x14ac:dyDescent="0.2">
      <c r="A15" s="349" t="s">
        <v>7</v>
      </c>
      <c r="B15" s="57" t="s">
        <v>120</v>
      </c>
      <c r="C15" s="350" t="s">
        <v>121</v>
      </c>
      <c r="D15" s="58" t="s">
        <v>96</v>
      </c>
      <c r="E15" s="59">
        <v>3</v>
      </c>
      <c r="F15" s="59">
        <f>5+1</f>
        <v>6</v>
      </c>
      <c r="G15" s="60">
        <v>3</v>
      </c>
      <c r="H15" s="60">
        <f>2-1+1</f>
        <v>2</v>
      </c>
      <c r="I15" s="60">
        <f>2-1+1+1</f>
        <v>3</v>
      </c>
      <c r="J15" s="59">
        <f>0+1+2+2</f>
        <v>5</v>
      </c>
      <c r="K15" s="61" t="s">
        <v>178</v>
      </c>
    </row>
    <row r="16" spans="1:14" ht="40.5" customHeight="1" x14ac:dyDescent="0.2">
      <c r="A16" s="347" t="s">
        <v>14</v>
      </c>
      <c r="B16" s="308" t="s">
        <v>344</v>
      </c>
      <c r="C16" s="354" t="s">
        <v>408</v>
      </c>
      <c r="D16" s="62" t="s">
        <v>96</v>
      </c>
      <c r="E16" s="63" t="s">
        <v>97</v>
      </c>
      <c r="F16" s="63">
        <v>1</v>
      </c>
      <c r="G16" s="63">
        <v>1</v>
      </c>
      <c r="H16" s="63">
        <f>0+2</f>
        <v>2</v>
      </c>
      <c r="I16" s="63">
        <f>2+1+1+1</f>
        <v>5</v>
      </c>
      <c r="J16" s="63">
        <v>1</v>
      </c>
      <c r="K16" s="65" t="s">
        <v>97</v>
      </c>
      <c r="L16" s="66" t="s">
        <v>97</v>
      </c>
      <c r="M16" s="67" t="s">
        <v>97</v>
      </c>
      <c r="N16" s="68" t="s">
        <v>97</v>
      </c>
    </row>
    <row r="17" spans="1:10" ht="41.25" customHeight="1" x14ac:dyDescent="0.2">
      <c r="A17" s="347" t="s">
        <v>25</v>
      </c>
      <c r="B17" s="308" t="s">
        <v>98</v>
      </c>
      <c r="C17" s="354" t="s">
        <v>99</v>
      </c>
      <c r="D17" s="69" t="s">
        <v>96</v>
      </c>
      <c r="E17" s="63">
        <v>9</v>
      </c>
      <c r="F17" s="63">
        <v>11</v>
      </c>
      <c r="G17" s="63">
        <v>11</v>
      </c>
      <c r="H17" s="63">
        <f>11-6+9+12+4+12</f>
        <v>42</v>
      </c>
      <c r="I17" s="63">
        <f>12-1-7+21</f>
        <v>25</v>
      </c>
      <c r="J17" s="63">
        <f>0+12-7-2+14+36</f>
        <v>53</v>
      </c>
    </row>
    <row r="18" spans="1:10" ht="27" customHeight="1" x14ac:dyDescent="0.2">
      <c r="A18" s="348" t="s">
        <v>440</v>
      </c>
      <c r="B18" s="351" t="s">
        <v>301</v>
      </c>
      <c r="C18" s="354" t="s">
        <v>410</v>
      </c>
      <c r="D18" s="345" t="s">
        <v>96</v>
      </c>
      <c r="E18" s="63">
        <v>2</v>
      </c>
      <c r="F18" s="63">
        <v>3</v>
      </c>
      <c r="G18" s="63">
        <v>10</v>
      </c>
      <c r="H18" s="63">
        <f>0+1+2-1</f>
        <v>2</v>
      </c>
      <c r="I18" s="63">
        <f>0+5+1-5+1+1</f>
        <v>3</v>
      </c>
      <c r="J18" s="63">
        <f>0+2-1+1+1+1+1</f>
        <v>5</v>
      </c>
    </row>
    <row r="19" spans="1:10" ht="21" customHeight="1" x14ac:dyDescent="0.2">
      <c r="A19" s="347" t="s">
        <v>441</v>
      </c>
      <c r="B19" s="346" t="s">
        <v>52</v>
      </c>
      <c r="C19" s="354" t="s">
        <v>100</v>
      </c>
      <c r="D19" s="345" t="s">
        <v>96</v>
      </c>
      <c r="E19" s="63">
        <v>5</v>
      </c>
      <c r="F19" s="63">
        <v>12</v>
      </c>
      <c r="G19" s="70">
        <v>3</v>
      </c>
      <c r="H19" s="70">
        <f>10-9+1+3+1</f>
        <v>6</v>
      </c>
      <c r="I19" s="63">
        <f>2+5+3+1</f>
        <v>11</v>
      </c>
      <c r="J19" s="63">
        <f>7-2-3+1</f>
        <v>3</v>
      </c>
    </row>
    <row r="20" spans="1:10" ht="42.75" customHeight="1" x14ac:dyDescent="0.2">
      <c r="A20" s="347" t="s">
        <v>442</v>
      </c>
      <c r="B20" s="346" t="s">
        <v>303</v>
      </c>
      <c r="C20" s="354" t="s">
        <v>420</v>
      </c>
      <c r="D20" s="23" t="s">
        <v>96</v>
      </c>
      <c r="E20" s="71" t="s">
        <v>97</v>
      </c>
      <c r="F20" s="72">
        <v>2</v>
      </c>
      <c r="G20" s="72">
        <f>1+1</f>
        <v>2</v>
      </c>
      <c r="H20" s="73">
        <f>2+1+2-1+2</f>
        <v>6</v>
      </c>
      <c r="I20" s="73">
        <f>0+2-1+1+3+1</f>
        <v>6</v>
      </c>
      <c r="J20" s="72">
        <f>5+3</f>
        <v>8</v>
      </c>
    </row>
    <row r="21" spans="1:10" ht="39" customHeight="1" x14ac:dyDescent="0.2">
      <c r="A21" s="347" t="s">
        <v>443</v>
      </c>
      <c r="B21" s="346" t="s">
        <v>353</v>
      </c>
      <c r="C21" s="354" t="s">
        <v>376</v>
      </c>
      <c r="D21" s="23" t="s">
        <v>96</v>
      </c>
      <c r="E21" s="71" t="s">
        <v>97</v>
      </c>
      <c r="F21" s="72" t="s">
        <v>97</v>
      </c>
      <c r="G21" s="72" t="s">
        <v>97</v>
      </c>
      <c r="H21" s="72">
        <f>0+1</f>
        <v>1</v>
      </c>
      <c r="I21" s="71" t="s">
        <v>97</v>
      </c>
      <c r="J21" s="71" t="s">
        <v>97</v>
      </c>
    </row>
    <row r="22" spans="1:10" ht="28.5" customHeight="1" x14ac:dyDescent="0.2">
      <c r="A22" s="498" t="s">
        <v>533</v>
      </c>
      <c r="B22" s="516" t="s">
        <v>538</v>
      </c>
      <c r="C22" s="354" t="s">
        <v>535</v>
      </c>
      <c r="D22" s="23" t="s">
        <v>96</v>
      </c>
      <c r="E22" s="71" t="s">
        <v>97</v>
      </c>
      <c r="F22" s="72" t="s">
        <v>97</v>
      </c>
      <c r="G22" s="72" t="s">
        <v>97</v>
      </c>
      <c r="H22" s="72">
        <v>1</v>
      </c>
      <c r="I22" s="71" t="s">
        <v>97</v>
      </c>
      <c r="J22" s="71" t="s">
        <v>97</v>
      </c>
    </row>
    <row r="23" spans="1:10" ht="22.5" customHeight="1" x14ac:dyDescent="0.2">
      <c r="A23" s="499"/>
      <c r="B23" s="517"/>
      <c r="C23" s="354" t="s">
        <v>534</v>
      </c>
      <c r="D23" s="23" t="s">
        <v>96</v>
      </c>
      <c r="E23" s="71" t="s">
        <v>97</v>
      </c>
      <c r="F23" s="72" t="s">
        <v>97</v>
      </c>
      <c r="G23" s="72" t="s">
        <v>97</v>
      </c>
      <c r="H23" s="72">
        <v>6</v>
      </c>
      <c r="I23" s="71" t="s">
        <v>97</v>
      </c>
      <c r="J23" s="71" t="s">
        <v>97</v>
      </c>
    </row>
    <row r="24" spans="1:10" ht="22.5" customHeight="1" x14ac:dyDescent="0.2">
      <c r="A24" s="347" t="s">
        <v>570</v>
      </c>
      <c r="B24" s="74" t="s">
        <v>591</v>
      </c>
      <c r="C24" s="354" t="s">
        <v>571</v>
      </c>
      <c r="D24" s="23" t="s">
        <v>96</v>
      </c>
      <c r="E24" s="71" t="s">
        <v>97</v>
      </c>
      <c r="F24" s="72" t="s">
        <v>97</v>
      </c>
      <c r="G24" s="72" t="s">
        <v>97</v>
      </c>
      <c r="H24" s="72" t="s">
        <v>97</v>
      </c>
      <c r="I24" s="63">
        <v>8</v>
      </c>
      <c r="J24" s="63">
        <v>8</v>
      </c>
    </row>
    <row r="25" spans="1:10" ht="22.5" customHeight="1" x14ac:dyDescent="0.2">
      <c r="A25" s="498" t="s">
        <v>1312</v>
      </c>
      <c r="B25" s="518" t="s">
        <v>1369</v>
      </c>
      <c r="C25" s="354" t="s">
        <v>1375</v>
      </c>
      <c r="D25" s="23" t="s">
        <v>96</v>
      </c>
      <c r="E25" s="71" t="s">
        <v>97</v>
      </c>
      <c r="F25" s="71" t="s">
        <v>97</v>
      </c>
      <c r="G25" s="71" t="s">
        <v>97</v>
      </c>
      <c r="H25" s="71" t="s">
        <v>97</v>
      </c>
      <c r="I25" s="63">
        <v>4</v>
      </c>
      <c r="J25" s="71" t="s">
        <v>97</v>
      </c>
    </row>
    <row r="26" spans="1:10" ht="29.25" customHeight="1" x14ac:dyDescent="0.2">
      <c r="A26" s="499"/>
      <c r="B26" s="519"/>
      <c r="C26" s="354" t="s">
        <v>1374</v>
      </c>
      <c r="D26" s="23" t="s">
        <v>96</v>
      </c>
      <c r="E26" s="71" t="s">
        <v>97</v>
      </c>
      <c r="F26" s="72" t="s">
        <v>97</v>
      </c>
      <c r="G26" s="72" t="s">
        <v>97</v>
      </c>
      <c r="H26" s="72" t="s">
        <v>97</v>
      </c>
      <c r="I26" s="63">
        <v>3</v>
      </c>
      <c r="J26" s="63" t="s">
        <v>97</v>
      </c>
    </row>
    <row r="27" spans="1:10" ht="36" customHeight="1" x14ac:dyDescent="0.2">
      <c r="A27" s="56" t="s">
        <v>9</v>
      </c>
      <c r="B27" s="491" t="s">
        <v>467</v>
      </c>
      <c r="C27" s="492"/>
      <c r="D27" s="492"/>
      <c r="E27" s="492"/>
      <c r="F27" s="492"/>
      <c r="G27" s="492"/>
      <c r="H27" s="492"/>
      <c r="I27" s="492"/>
      <c r="J27" s="493"/>
    </row>
    <row r="28" spans="1:10" ht="19.149999999999999" customHeight="1" x14ac:dyDescent="0.2">
      <c r="A28" s="522" t="s">
        <v>10</v>
      </c>
      <c r="B28" s="494" t="s">
        <v>213</v>
      </c>
      <c r="C28" s="354" t="s">
        <v>200</v>
      </c>
      <c r="D28" s="345" t="s">
        <v>101</v>
      </c>
      <c r="E28" s="75">
        <v>6.79</v>
      </c>
      <c r="F28" s="75">
        <v>6.39</v>
      </c>
      <c r="G28" s="75">
        <v>0.38200000000000001</v>
      </c>
      <c r="H28" s="75">
        <f>0.561-0.2+0.378</f>
        <v>0.7390000000000001</v>
      </c>
      <c r="I28" s="75">
        <f>0.042+0.018+0.776</f>
        <v>0.83600000000000008</v>
      </c>
      <c r="J28" s="75">
        <v>0.09</v>
      </c>
    </row>
    <row r="29" spans="1:10" ht="15" customHeight="1" x14ac:dyDescent="0.2">
      <c r="A29" s="522"/>
      <c r="B29" s="494"/>
      <c r="C29" s="354" t="s">
        <v>102</v>
      </c>
      <c r="D29" s="345" t="s">
        <v>96</v>
      </c>
      <c r="E29" s="63">
        <v>41</v>
      </c>
      <c r="F29" s="63">
        <v>50</v>
      </c>
      <c r="G29" s="63">
        <v>12</v>
      </c>
      <c r="H29" s="63">
        <f>12+7+13+5+28</f>
        <v>65</v>
      </c>
      <c r="I29" s="63">
        <f>18-16+2+8+1+49+1</f>
        <v>63</v>
      </c>
      <c r="J29" s="63">
        <f>26-24+2-3+5</f>
        <v>6</v>
      </c>
    </row>
    <row r="30" spans="1:10" ht="19.899999999999999" customHeight="1" x14ac:dyDescent="0.2">
      <c r="A30" s="522"/>
      <c r="B30" s="494"/>
      <c r="C30" s="354" t="s">
        <v>285</v>
      </c>
      <c r="D30" s="345" t="s">
        <v>96</v>
      </c>
      <c r="E30" s="63">
        <v>460</v>
      </c>
      <c r="F30" s="63">
        <v>483</v>
      </c>
      <c r="G30" s="63">
        <v>590</v>
      </c>
      <c r="H30" s="63">
        <f>590-429+28+14+14</f>
        <v>217</v>
      </c>
      <c r="I30" s="63">
        <f>130-110+11+113+121+206+133+8</f>
        <v>612</v>
      </c>
      <c r="J30" s="63">
        <f>130-110-5+13+1903+59</f>
        <v>1990</v>
      </c>
    </row>
    <row r="31" spans="1:10" ht="28.9" customHeight="1" x14ac:dyDescent="0.2">
      <c r="A31" s="502" t="s">
        <v>11</v>
      </c>
      <c r="B31" s="494" t="s">
        <v>103</v>
      </c>
      <c r="C31" s="354" t="s">
        <v>411</v>
      </c>
      <c r="D31" s="345" t="s">
        <v>96</v>
      </c>
      <c r="E31" s="64" t="s">
        <v>97</v>
      </c>
      <c r="F31" s="63" t="s">
        <v>97</v>
      </c>
      <c r="G31" s="63" t="s">
        <v>97</v>
      </c>
      <c r="H31" s="63" t="s">
        <v>97</v>
      </c>
      <c r="I31" s="63">
        <f>7+22-26+1</f>
        <v>4</v>
      </c>
      <c r="J31" s="63">
        <f>0+1+9</f>
        <v>10</v>
      </c>
    </row>
    <row r="32" spans="1:10" ht="31.9" customHeight="1" x14ac:dyDescent="0.2">
      <c r="A32" s="502"/>
      <c r="B32" s="494"/>
      <c r="C32" s="354" t="s">
        <v>409</v>
      </c>
      <c r="D32" s="345" t="s">
        <v>96</v>
      </c>
      <c r="E32" s="63">
        <v>1</v>
      </c>
      <c r="F32" s="64" t="s">
        <v>97</v>
      </c>
      <c r="G32" s="64" t="s">
        <v>97</v>
      </c>
      <c r="H32" s="64" t="s">
        <v>97</v>
      </c>
      <c r="I32" s="64" t="s">
        <v>97</v>
      </c>
      <c r="J32" s="64" t="s">
        <v>97</v>
      </c>
    </row>
    <row r="33" spans="1:11" ht="41.45" customHeight="1" x14ac:dyDescent="0.2">
      <c r="A33" s="347" t="s">
        <v>16</v>
      </c>
      <c r="B33" s="346" t="s">
        <v>209</v>
      </c>
      <c r="C33" s="354" t="s">
        <v>286</v>
      </c>
      <c r="D33" s="345" t="s">
        <v>96</v>
      </c>
      <c r="E33" s="63">
        <v>4</v>
      </c>
      <c r="F33" s="63">
        <v>2</v>
      </c>
      <c r="G33" s="63">
        <f>1+1</f>
        <v>2</v>
      </c>
      <c r="H33" s="63">
        <v>1</v>
      </c>
      <c r="I33" s="63" t="s">
        <v>97</v>
      </c>
      <c r="J33" s="63">
        <v>1</v>
      </c>
    </row>
    <row r="34" spans="1:11" ht="39.75" customHeight="1" x14ac:dyDescent="0.2">
      <c r="A34" s="347" t="s">
        <v>445</v>
      </c>
      <c r="B34" s="346" t="s">
        <v>218</v>
      </c>
      <c r="C34" s="354" t="s">
        <v>412</v>
      </c>
      <c r="D34" s="345" t="s">
        <v>96</v>
      </c>
      <c r="E34" s="64" t="s">
        <v>97</v>
      </c>
      <c r="F34" s="64" t="s">
        <v>97</v>
      </c>
      <c r="G34" s="63">
        <v>3</v>
      </c>
      <c r="H34" s="63">
        <f>5-4</f>
        <v>1</v>
      </c>
      <c r="I34" s="63" t="s">
        <v>97</v>
      </c>
      <c r="J34" s="63" t="s">
        <v>97</v>
      </c>
    </row>
    <row r="35" spans="1:11" ht="29.45" customHeight="1" x14ac:dyDescent="0.2">
      <c r="A35" s="347" t="s">
        <v>446</v>
      </c>
      <c r="B35" s="346" t="s">
        <v>210</v>
      </c>
      <c r="C35" s="354" t="s">
        <v>211</v>
      </c>
      <c r="D35" s="345" t="s">
        <v>96</v>
      </c>
      <c r="E35" s="64" t="s">
        <v>97</v>
      </c>
      <c r="F35" s="63">
        <v>1</v>
      </c>
      <c r="G35" s="63">
        <f>5-3</f>
        <v>2</v>
      </c>
      <c r="H35" s="63">
        <v>1</v>
      </c>
      <c r="I35" s="63" t="s">
        <v>97</v>
      </c>
      <c r="J35" s="64" t="s">
        <v>97</v>
      </c>
      <c r="K35" s="61" t="s">
        <v>136</v>
      </c>
    </row>
    <row r="36" spans="1:11" ht="33" customHeight="1" x14ac:dyDescent="0.2">
      <c r="A36" s="347" t="s">
        <v>447</v>
      </c>
      <c r="B36" s="346" t="s">
        <v>215</v>
      </c>
      <c r="C36" s="354" t="s">
        <v>217</v>
      </c>
      <c r="D36" s="345" t="s">
        <v>96</v>
      </c>
      <c r="E36" s="64" t="s">
        <v>97</v>
      </c>
      <c r="F36" s="63">
        <v>734</v>
      </c>
      <c r="G36" s="70">
        <f>534+28+604+42</f>
        <v>1208</v>
      </c>
      <c r="H36" s="63">
        <f>534+629+390</f>
        <v>1553</v>
      </c>
      <c r="I36" s="63">
        <f>534+1455-994+1736</f>
        <v>2731</v>
      </c>
      <c r="J36" s="63" t="s">
        <v>97</v>
      </c>
      <c r="K36" s="61"/>
    </row>
    <row r="37" spans="1:11" ht="26.25" customHeight="1" x14ac:dyDescent="0.2">
      <c r="A37" s="498" t="s">
        <v>448</v>
      </c>
      <c r="B37" s="482" t="s">
        <v>1364</v>
      </c>
      <c r="C37" s="354" t="s">
        <v>104</v>
      </c>
      <c r="D37" s="345" t="s">
        <v>105</v>
      </c>
      <c r="E37" s="63">
        <v>2</v>
      </c>
      <c r="F37" s="64" t="s">
        <v>97</v>
      </c>
      <c r="G37" s="76" t="s">
        <v>97</v>
      </c>
      <c r="H37" s="64" t="s">
        <v>97</v>
      </c>
      <c r="I37" s="64" t="s">
        <v>97</v>
      </c>
      <c r="J37" s="63" t="s">
        <v>97</v>
      </c>
      <c r="K37" s="77" t="s">
        <v>179</v>
      </c>
    </row>
    <row r="38" spans="1:11" ht="26.25" customHeight="1" x14ac:dyDescent="0.2">
      <c r="A38" s="499"/>
      <c r="B38" s="490"/>
      <c r="C38" s="354" t="s">
        <v>1365</v>
      </c>
      <c r="D38" s="345" t="s">
        <v>105</v>
      </c>
      <c r="E38" s="63" t="s">
        <v>97</v>
      </c>
      <c r="F38" s="64" t="s">
        <v>97</v>
      </c>
      <c r="G38" s="76" t="s">
        <v>97</v>
      </c>
      <c r="H38" s="64" t="s">
        <v>97</v>
      </c>
      <c r="I38" s="63">
        <v>4</v>
      </c>
      <c r="J38" s="63" t="s">
        <v>97</v>
      </c>
      <c r="K38" s="293"/>
    </row>
    <row r="39" spans="1:11" ht="42.6" customHeight="1" x14ac:dyDescent="0.2">
      <c r="A39" s="347" t="s">
        <v>449</v>
      </c>
      <c r="B39" s="346" t="s">
        <v>106</v>
      </c>
      <c r="C39" s="354" t="s">
        <v>107</v>
      </c>
      <c r="D39" s="345" t="s">
        <v>96</v>
      </c>
      <c r="E39" s="63">
        <v>61</v>
      </c>
      <c r="F39" s="63">
        <v>41</v>
      </c>
      <c r="G39" s="70">
        <f>43-21</f>
        <v>22</v>
      </c>
      <c r="H39" s="63">
        <f>47-25+7</f>
        <v>29</v>
      </c>
      <c r="I39" s="63">
        <f>22+8</f>
        <v>30</v>
      </c>
      <c r="J39" s="63">
        <v>22</v>
      </c>
    </row>
    <row r="40" spans="1:11" ht="42.6" customHeight="1" x14ac:dyDescent="0.2">
      <c r="A40" s="347" t="s">
        <v>450</v>
      </c>
      <c r="B40" s="78" t="s">
        <v>422</v>
      </c>
      <c r="C40" s="354" t="s">
        <v>377</v>
      </c>
      <c r="D40" s="345" t="s">
        <v>96</v>
      </c>
      <c r="E40" s="63" t="s">
        <v>97</v>
      </c>
      <c r="F40" s="63" t="s">
        <v>97</v>
      </c>
      <c r="G40" s="70">
        <f>5-1</f>
        <v>4</v>
      </c>
      <c r="H40" s="63">
        <f>0+2-1+1+1</f>
        <v>3</v>
      </c>
      <c r="I40" s="63">
        <f>0+1+10</f>
        <v>11</v>
      </c>
      <c r="J40" s="63">
        <v>3</v>
      </c>
    </row>
    <row r="41" spans="1:11" ht="27" customHeight="1" x14ac:dyDescent="0.2">
      <c r="A41" s="523" t="s">
        <v>451</v>
      </c>
      <c r="B41" s="496" t="s">
        <v>609</v>
      </c>
      <c r="C41" s="354" t="s">
        <v>413</v>
      </c>
      <c r="D41" s="345" t="s">
        <v>96</v>
      </c>
      <c r="E41" s="63" t="s">
        <v>97</v>
      </c>
      <c r="F41" s="63" t="s">
        <v>97</v>
      </c>
      <c r="G41" s="79">
        <v>1</v>
      </c>
      <c r="H41" s="63">
        <f>0+1</f>
        <v>1</v>
      </c>
      <c r="I41" s="63" t="s">
        <v>97</v>
      </c>
      <c r="J41" s="63" t="s">
        <v>97</v>
      </c>
    </row>
    <row r="42" spans="1:11" ht="27" customHeight="1" x14ac:dyDescent="0.2">
      <c r="A42" s="524"/>
      <c r="B42" s="497"/>
      <c r="C42" s="354" t="s">
        <v>610</v>
      </c>
      <c r="D42" s="345" t="s">
        <v>96</v>
      </c>
      <c r="E42" s="63" t="s">
        <v>97</v>
      </c>
      <c r="F42" s="63" t="s">
        <v>97</v>
      </c>
      <c r="G42" s="79" t="s">
        <v>97</v>
      </c>
      <c r="H42" s="63" t="s">
        <v>97</v>
      </c>
      <c r="I42" s="63">
        <v>1</v>
      </c>
      <c r="J42" s="63" t="s">
        <v>97</v>
      </c>
    </row>
    <row r="43" spans="1:11" ht="45.75" customHeight="1" x14ac:dyDescent="0.2">
      <c r="A43" s="498" t="s">
        <v>452</v>
      </c>
      <c r="B43" s="496" t="s">
        <v>395</v>
      </c>
      <c r="C43" s="354" t="s">
        <v>398</v>
      </c>
      <c r="D43" s="345" t="s">
        <v>96</v>
      </c>
      <c r="E43" s="63" t="s">
        <v>97</v>
      </c>
      <c r="F43" s="63" t="s">
        <v>97</v>
      </c>
      <c r="G43" s="79">
        <v>9</v>
      </c>
      <c r="H43" s="63" t="s">
        <v>97</v>
      </c>
      <c r="I43" s="63">
        <v>2</v>
      </c>
      <c r="J43" s="63" t="s">
        <v>97</v>
      </c>
    </row>
    <row r="44" spans="1:11" ht="45.75" customHeight="1" x14ac:dyDescent="0.2">
      <c r="A44" s="499"/>
      <c r="B44" s="497"/>
      <c r="C44" s="354" t="s">
        <v>1398</v>
      </c>
      <c r="D44" s="345" t="s">
        <v>109</v>
      </c>
      <c r="E44" s="63" t="s">
        <v>97</v>
      </c>
      <c r="F44" s="63" t="s">
        <v>97</v>
      </c>
      <c r="G44" s="63" t="s">
        <v>97</v>
      </c>
      <c r="H44" s="63" t="s">
        <v>97</v>
      </c>
      <c r="I44" s="63" t="s">
        <v>97</v>
      </c>
      <c r="J44" s="63">
        <v>100</v>
      </c>
    </row>
    <row r="45" spans="1:11" ht="17.25" customHeight="1" x14ac:dyDescent="0.2">
      <c r="A45" s="498" t="s">
        <v>453</v>
      </c>
      <c r="B45" s="482" t="s">
        <v>399</v>
      </c>
      <c r="C45" s="354" t="s">
        <v>200</v>
      </c>
      <c r="D45" s="345" t="s">
        <v>101</v>
      </c>
      <c r="E45" s="63" t="s">
        <v>97</v>
      </c>
      <c r="F45" s="63" t="s">
        <v>97</v>
      </c>
      <c r="G45" s="64">
        <v>0.04</v>
      </c>
      <c r="H45" s="63" t="s">
        <v>97</v>
      </c>
      <c r="I45" s="63" t="s">
        <v>97</v>
      </c>
      <c r="J45" s="63" t="s">
        <v>97</v>
      </c>
    </row>
    <row r="46" spans="1:11" ht="17.25" customHeight="1" x14ac:dyDescent="0.2">
      <c r="A46" s="500"/>
      <c r="B46" s="483"/>
      <c r="C46" s="354" t="s">
        <v>102</v>
      </c>
      <c r="D46" s="345" t="s">
        <v>96</v>
      </c>
      <c r="E46" s="63" t="s">
        <v>97</v>
      </c>
      <c r="F46" s="63" t="s">
        <v>97</v>
      </c>
      <c r="G46" s="63">
        <v>8</v>
      </c>
      <c r="H46" s="63">
        <f>3</f>
        <v>3</v>
      </c>
      <c r="I46" s="63">
        <f>1+1</f>
        <v>2</v>
      </c>
      <c r="J46" s="63" t="s">
        <v>97</v>
      </c>
    </row>
    <row r="47" spans="1:11" ht="17.25" customHeight="1" x14ac:dyDescent="0.2">
      <c r="A47" s="499"/>
      <c r="B47" s="490"/>
      <c r="C47" s="354" t="s">
        <v>216</v>
      </c>
      <c r="D47" s="345" t="s">
        <v>96</v>
      </c>
      <c r="E47" s="63" t="s">
        <v>97</v>
      </c>
      <c r="F47" s="63" t="s">
        <v>97</v>
      </c>
      <c r="G47" s="63">
        <v>162</v>
      </c>
      <c r="H47" s="63">
        <f>77+1</f>
        <v>78</v>
      </c>
      <c r="I47" s="63" t="s">
        <v>97</v>
      </c>
      <c r="J47" s="63" t="s">
        <v>97</v>
      </c>
    </row>
    <row r="48" spans="1:11" ht="30.6" customHeight="1" x14ac:dyDescent="0.2">
      <c r="A48" s="56" t="s">
        <v>15</v>
      </c>
      <c r="B48" s="491" t="s">
        <v>468</v>
      </c>
      <c r="C48" s="492"/>
      <c r="D48" s="492"/>
      <c r="E48" s="492"/>
      <c r="F48" s="492"/>
      <c r="G48" s="492"/>
      <c r="H48" s="492"/>
      <c r="I48" s="492"/>
      <c r="J48" s="493"/>
    </row>
    <row r="49" spans="1:30" ht="29.25" customHeight="1" x14ac:dyDescent="0.2">
      <c r="A49" s="347" t="s">
        <v>126</v>
      </c>
      <c r="B49" s="346" t="s">
        <v>47</v>
      </c>
      <c r="C49" s="354" t="s">
        <v>108</v>
      </c>
      <c r="D49" s="80" t="s">
        <v>109</v>
      </c>
      <c r="E49" s="81">
        <v>98.9</v>
      </c>
      <c r="F49" s="81">
        <v>99.5</v>
      </c>
      <c r="G49" s="81">
        <v>99.5</v>
      </c>
      <c r="H49" s="81">
        <v>99.5</v>
      </c>
      <c r="I49" s="81" t="s">
        <v>590</v>
      </c>
      <c r="J49" s="81" t="s">
        <v>590</v>
      </c>
    </row>
    <row r="50" spans="1:30" ht="29.25" customHeight="1" x14ac:dyDescent="0.2">
      <c r="A50" s="56" t="s">
        <v>1331</v>
      </c>
      <c r="B50" s="491" t="s">
        <v>1345</v>
      </c>
      <c r="C50" s="492"/>
      <c r="D50" s="492"/>
      <c r="E50" s="492"/>
      <c r="F50" s="492"/>
      <c r="G50" s="492"/>
      <c r="H50" s="492"/>
      <c r="I50" s="492"/>
      <c r="J50" s="493"/>
    </row>
    <row r="51" spans="1:30" ht="66.75" customHeight="1" x14ac:dyDescent="0.2">
      <c r="A51" s="323" t="s">
        <v>1332</v>
      </c>
      <c r="B51" s="50" t="s">
        <v>1340</v>
      </c>
      <c r="C51" s="50" t="s">
        <v>1346</v>
      </c>
      <c r="D51" s="338" t="s">
        <v>105</v>
      </c>
      <c r="E51" s="72" t="s">
        <v>97</v>
      </c>
      <c r="F51" s="72" t="s">
        <v>97</v>
      </c>
      <c r="G51" s="72" t="s">
        <v>97</v>
      </c>
      <c r="H51" s="72" t="s">
        <v>97</v>
      </c>
      <c r="I51" s="338">
        <v>1</v>
      </c>
      <c r="J51" s="338">
        <v>1</v>
      </c>
    </row>
    <row r="52" spans="1:30" ht="111.75" customHeight="1" x14ac:dyDescent="0.2">
      <c r="A52" s="323" t="s">
        <v>1333</v>
      </c>
      <c r="B52" s="50" t="s">
        <v>1368</v>
      </c>
      <c r="C52" s="50" t="s">
        <v>1347</v>
      </c>
      <c r="D52" s="338" t="s">
        <v>105</v>
      </c>
      <c r="E52" s="72" t="s">
        <v>97</v>
      </c>
      <c r="F52" s="72" t="s">
        <v>97</v>
      </c>
      <c r="G52" s="72" t="s">
        <v>97</v>
      </c>
      <c r="H52" s="72" t="s">
        <v>97</v>
      </c>
      <c r="I52" s="338">
        <v>1</v>
      </c>
      <c r="J52" s="338">
        <v>1</v>
      </c>
    </row>
    <row r="53" spans="1:30" ht="68.25" customHeight="1" x14ac:dyDescent="0.2">
      <c r="A53" s="323" t="s">
        <v>1334</v>
      </c>
      <c r="B53" s="50" t="s">
        <v>1339</v>
      </c>
      <c r="C53" s="50" t="s">
        <v>1348</v>
      </c>
      <c r="D53" s="338" t="s">
        <v>105</v>
      </c>
      <c r="E53" s="72" t="s">
        <v>97</v>
      </c>
      <c r="F53" s="72" t="s">
        <v>97</v>
      </c>
      <c r="G53" s="72" t="s">
        <v>97</v>
      </c>
      <c r="H53" s="72" t="s">
        <v>97</v>
      </c>
      <c r="I53" s="338">
        <v>1</v>
      </c>
      <c r="J53" s="338">
        <v>1</v>
      </c>
    </row>
    <row r="54" spans="1:30" ht="48.75" customHeight="1" x14ac:dyDescent="0.2">
      <c r="A54" s="323" t="s">
        <v>1335</v>
      </c>
      <c r="B54" s="50" t="s">
        <v>1344</v>
      </c>
      <c r="C54" s="50" t="s">
        <v>1352</v>
      </c>
      <c r="D54" s="336" t="s">
        <v>109</v>
      </c>
      <c r="E54" s="72" t="s">
        <v>97</v>
      </c>
      <c r="F54" s="72" t="s">
        <v>97</v>
      </c>
      <c r="G54" s="72" t="s">
        <v>97</v>
      </c>
      <c r="H54" s="72" t="s">
        <v>97</v>
      </c>
      <c r="I54" s="338">
        <v>100</v>
      </c>
      <c r="J54" s="338">
        <v>100</v>
      </c>
    </row>
    <row r="55" spans="1:30" ht="29.25" customHeight="1" x14ac:dyDescent="0.2">
      <c r="A55" s="323" t="s">
        <v>1336</v>
      </c>
      <c r="B55" s="50" t="s">
        <v>1349</v>
      </c>
      <c r="C55" s="50" t="s">
        <v>1350</v>
      </c>
      <c r="D55" s="336" t="s">
        <v>109</v>
      </c>
      <c r="E55" s="72" t="s">
        <v>97</v>
      </c>
      <c r="F55" s="72" t="s">
        <v>97</v>
      </c>
      <c r="G55" s="72" t="s">
        <v>97</v>
      </c>
      <c r="H55" s="72" t="s">
        <v>97</v>
      </c>
      <c r="I55" s="338">
        <v>100</v>
      </c>
      <c r="J55" s="338">
        <v>100</v>
      </c>
    </row>
    <row r="56" spans="1:30" ht="29.25" customHeight="1" x14ac:dyDescent="0.2">
      <c r="A56" s="323" t="s">
        <v>1337</v>
      </c>
      <c r="B56" s="50" t="s">
        <v>1351</v>
      </c>
      <c r="C56" s="50" t="s">
        <v>1350</v>
      </c>
      <c r="D56" s="336" t="s">
        <v>109</v>
      </c>
      <c r="E56" s="72" t="s">
        <v>97</v>
      </c>
      <c r="F56" s="72" t="s">
        <v>97</v>
      </c>
      <c r="G56" s="72" t="s">
        <v>97</v>
      </c>
      <c r="H56" s="72" t="s">
        <v>97</v>
      </c>
      <c r="I56" s="338">
        <v>100</v>
      </c>
      <c r="J56" s="338">
        <v>100</v>
      </c>
    </row>
    <row r="57" spans="1:30" ht="57" customHeight="1" x14ac:dyDescent="0.2">
      <c r="A57" s="323" t="s">
        <v>1353</v>
      </c>
      <c r="B57" s="50" t="s">
        <v>1357</v>
      </c>
      <c r="C57" s="50" t="s">
        <v>1358</v>
      </c>
      <c r="D57" s="336" t="s">
        <v>109</v>
      </c>
      <c r="E57" s="72" t="s">
        <v>97</v>
      </c>
      <c r="F57" s="72" t="s">
        <v>97</v>
      </c>
      <c r="G57" s="72" t="s">
        <v>97</v>
      </c>
      <c r="H57" s="72" t="s">
        <v>97</v>
      </c>
      <c r="I57" s="338" t="s">
        <v>1361</v>
      </c>
      <c r="J57" s="338" t="s">
        <v>1361</v>
      </c>
    </row>
    <row r="58" spans="1:30" ht="62.25" customHeight="1" x14ac:dyDescent="0.2">
      <c r="A58" s="323" t="s">
        <v>1354</v>
      </c>
      <c r="B58" s="50" t="s">
        <v>1429</v>
      </c>
      <c r="C58" s="50" t="s">
        <v>1356</v>
      </c>
      <c r="D58" s="336" t="s">
        <v>105</v>
      </c>
      <c r="E58" s="72" t="s">
        <v>97</v>
      </c>
      <c r="F58" s="72" t="s">
        <v>97</v>
      </c>
      <c r="G58" s="72" t="s">
        <v>97</v>
      </c>
      <c r="H58" s="72" t="s">
        <v>97</v>
      </c>
      <c r="I58" s="338" t="s">
        <v>1360</v>
      </c>
      <c r="J58" s="338" t="s">
        <v>1360</v>
      </c>
    </row>
    <row r="59" spans="1:30" ht="45.6" customHeight="1" x14ac:dyDescent="0.2">
      <c r="A59" s="56" t="s">
        <v>434</v>
      </c>
      <c r="B59" s="491" t="s">
        <v>1080</v>
      </c>
      <c r="C59" s="492"/>
      <c r="D59" s="492"/>
      <c r="E59" s="492"/>
      <c r="F59" s="492"/>
      <c r="G59" s="492"/>
      <c r="H59" s="492"/>
      <c r="I59" s="492"/>
      <c r="J59" s="493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</row>
    <row r="60" spans="1:30" ht="33.6" customHeight="1" x14ac:dyDescent="0.2">
      <c r="A60" s="484" t="s">
        <v>190</v>
      </c>
      <c r="B60" s="484"/>
      <c r="C60" s="484"/>
      <c r="D60" s="484"/>
      <c r="E60" s="484"/>
      <c r="F60" s="484"/>
      <c r="G60" s="484"/>
      <c r="H60" s="484"/>
      <c r="I60" s="484"/>
      <c r="J60" s="484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</row>
    <row r="61" spans="1:30" ht="44.45" customHeight="1" x14ac:dyDescent="0.2">
      <c r="A61" s="485" t="s">
        <v>1068</v>
      </c>
      <c r="B61" s="485"/>
      <c r="C61" s="485"/>
      <c r="D61" s="485"/>
      <c r="E61" s="485"/>
      <c r="F61" s="485"/>
      <c r="G61" s="485"/>
      <c r="H61" s="485"/>
      <c r="I61" s="485"/>
      <c r="J61" s="485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</row>
    <row r="62" spans="1:30" ht="43.9" customHeight="1" x14ac:dyDescent="0.2">
      <c r="A62" s="56" t="s">
        <v>2</v>
      </c>
      <c r="B62" s="491" t="s">
        <v>1083</v>
      </c>
      <c r="C62" s="492"/>
      <c r="D62" s="492"/>
      <c r="E62" s="492"/>
      <c r="F62" s="492"/>
      <c r="G62" s="492"/>
      <c r="H62" s="492"/>
      <c r="I62" s="492"/>
      <c r="J62" s="493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 spans="1:30" ht="45" customHeight="1" x14ac:dyDescent="0.2">
      <c r="A63" s="502" t="s">
        <v>8</v>
      </c>
      <c r="B63" s="486" t="s">
        <v>607</v>
      </c>
      <c r="C63" s="346" t="s">
        <v>182</v>
      </c>
      <c r="D63" s="345" t="s">
        <v>112</v>
      </c>
      <c r="E63" s="82">
        <v>0.1</v>
      </c>
      <c r="F63" s="345">
        <v>3.06</v>
      </c>
      <c r="G63" s="83">
        <f>1.31-1.1-0.2</f>
        <v>9.9999999999999534E-3</v>
      </c>
      <c r="H63" s="83">
        <f>0+1.69-1.48</f>
        <v>0.20999999999999996</v>
      </c>
      <c r="I63" s="294">
        <f>0.968+0.57-0.57</f>
        <v>0.96799999999999986</v>
      </c>
      <c r="J63" s="83" t="s">
        <v>97</v>
      </c>
      <c r="K63" s="84">
        <v>3.2</v>
      </c>
    </row>
    <row r="64" spans="1:30" ht="45" customHeight="1" x14ac:dyDescent="0.2">
      <c r="A64" s="502"/>
      <c r="B64" s="486"/>
      <c r="C64" s="346" t="s">
        <v>330</v>
      </c>
      <c r="D64" s="345" t="s">
        <v>96</v>
      </c>
      <c r="E64" s="85" t="s">
        <v>97</v>
      </c>
      <c r="F64" s="345">
        <v>4</v>
      </c>
      <c r="G64" s="345" t="s">
        <v>97</v>
      </c>
      <c r="H64" s="345" t="s">
        <v>97</v>
      </c>
      <c r="I64" s="345" t="s">
        <v>97</v>
      </c>
      <c r="J64" s="345" t="s">
        <v>97</v>
      </c>
      <c r="K64" s="84"/>
    </row>
    <row r="65" spans="1:12" ht="30" customHeight="1" x14ac:dyDescent="0.2">
      <c r="A65" s="498" t="s">
        <v>36</v>
      </c>
      <c r="B65" s="482" t="s">
        <v>592</v>
      </c>
      <c r="C65" s="346" t="s">
        <v>183</v>
      </c>
      <c r="D65" s="345" t="s">
        <v>112</v>
      </c>
      <c r="E65" s="85" t="s">
        <v>97</v>
      </c>
      <c r="F65" s="345">
        <v>1</v>
      </c>
      <c r="G65" s="86">
        <f>0.45-0.42</f>
        <v>3.0000000000000027E-2</v>
      </c>
      <c r="H65" s="345">
        <v>1.96</v>
      </c>
      <c r="I65" s="345" t="s">
        <v>97</v>
      </c>
      <c r="J65" s="83" t="s">
        <v>97</v>
      </c>
      <c r="K65" s="84">
        <v>0.69</v>
      </c>
    </row>
    <row r="66" spans="1:12" ht="30" customHeight="1" x14ac:dyDescent="0.2">
      <c r="A66" s="500"/>
      <c r="B66" s="483"/>
      <c r="C66" s="346" t="s">
        <v>588</v>
      </c>
      <c r="D66" s="345" t="s">
        <v>96</v>
      </c>
      <c r="E66" s="85" t="s">
        <v>97</v>
      </c>
      <c r="F66" s="345" t="s">
        <v>97</v>
      </c>
      <c r="G66" s="86" t="s">
        <v>97</v>
      </c>
      <c r="H66" s="345" t="s">
        <v>97</v>
      </c>
      <c r="I66" s="345">
        <v>1</v>
      </c>
      <c r="J66" s="83" t="s">
        <v>97</v>
      </c>
      <c r="K66" s="87"/>
    </row>
    <row r="67" spans="1:12" ht="43.5" customHeight="1" x14ac:dyDescent="0.2">
      <c r="A67" s="500"/>
      <c r="B67" s="483"/>
      <c r="C67" s="346" t="s">
        <v>327</v>
      </c>
      <c r="D67" s="345" t="s">
        <v>96</v>
      </c>
      <c r="E67" s="85" t="s">
        <v>97</v>
      </c>
      <c r="F67" s="345">
        <v>1</v>
      </c>
      <c r="G67" s="85" t="s">
        <v>97</v>
      </c>
      <c r="H67" s="345">
        <v>1</v>
      </c>
      <c r="I67" s="345" t="s">
        <v>97</v>
      </c>
      <c r="J67" s="345" t="s">
        <v>97</v>
      </c>
      <c r="K67" s="87"/>
    </row>
    <row r="68" spans="1:12" ht="45" customHeight="1" x14ac:dyDescent="0.2">
      <c r="A68" s="498" t="s">
        <v>125</v>
      </c>
      <c r="B68" s="482" t="s">
        <v>384</v>
      </c>
      <c r="C68" s="308" t="s">
        <v>1343</v>
      </c>
      <c r="D68" s="345" t="s">
        <v>96</v>
      </c>
      <c r="E68" s="85" t="s">
        <v>97</v>
      </c>
      <c r="F68" s="345">
        <v>6</v>
      </c>
      <c r="G68" s="345">
        <f>7-5</f>
        <v>2</v>
      </c>
      <c r="H68" s="345">
        <v>1</v>
      </c>
      <c r="I68" s="345">
        <v>2</v>
      </c>
      <c r="J68" s="345">
        <f>2-1+1</f>
        <v>2</v>
      </c>
      <c r="K68" s="88">
        <v>1</v>
      </c>
    </row>
    <row r="69" spans="1:12" ht="45" customHeight="1" x14ac:dyDescent="0.2">
      <c r="A69" s="500"/>
      <c r="B69" s="483"/>
      <c r="C69" s="308" t="s">
        <v>184</v>
      </c>
      <c r="D69" s="345" t="s">
        <v>96</v>
      </c>
      <c r="E69" s="85" t="s">
        <v>97</v>
      </c>
      <c r="F69" s="345">
        <v>3</v>
      </c>
      <c r="G69" s="345">
        <v>2</v>
      </c>
      <c r="H69" s="345">
        <f>0+2+2-2</f>
        <v>2</v>
      </c>
      <c r="I69" s="345">
        <f>3-2+2-1</f>
        <v>2</v>
      </c>
      <c r="J69" s="345" t="s">
        <v>97</v>
      </c>
      <c r="K69" s="88">
        <v>1</v>
      </c>
    </row>
    <row r="70" spans="1:12" ht="30.75" customHeight="1" x14ac:dyDescent="0.2">
      <c r="A70" s="500"/>
      <c r="B70" s="483"/>
      <c r="C70" s="308" t="s">
        <v>365</v>
      </c>
      <c r="D70" s="345" t="s">
        <v>96</v>
      </c>
      <c r="E70" s="85" t="s">
        <v>97</v>
      </c>
      <c r="F70" s="85">
        <v>1</v>
      </c>
      <c r="G70" s="85" t="s">
        <v>97</v>
      </c>
      <c r="H70" s="85" t="s">
        <v>97</v>
      </c>
      <c r="I70" s="85" t="s">
        <v>97</v>
      </c>
      <c r="J70" s="85" t="s">
        <v>97</v>
      </c>
      <c r="K70" s="88">
        <v>7</v>
      </c>
    </row>
    <row r="71" spans="1:12" ht="43.15" customHeight="1" x14ac:dyDescent="0.2">
      <c r="A71" s="500"/>
      <c r="B71" s="483"/>
      <c r="C71" s="308" t="s">
        <v>156</v>
      </c>
      <c r="D71" s="345" t="s">
        <v>96</v>
      </c>
      <c r="E71" s="345">
        <v>1</v>
      </c>
      <c r="F71" s="345">
        <v>2</v>
      </c>
      <c r="G71" s="345">
        <v>1</v>
      </c>
      <c r="H71" s="345" t="s">
        <v>97</v>
      </c>
      <c r="I71" s="345" t="s">
        <v>97</v>
      </c>
      <c r="J71" s="345">
        <f>2-1</f>
        <v>1</v>
      </c>
      <c r="K71" s="88"/>
    </row>
    <row r="72" spans="1:12" ht="45.75" customHeight="1" x14ac:dyDescent="0.2">
      <c r="A72" s="500"/>
      <c r="B72" s="483"/>
      <c r="C72" s="308" t="s">
        <v>181</v>
      </c>
      <c r="D72" s="345" t="s">
        <v>112</v>
      </c>
      <c r="E72" s="345">
        <v>33.46</v>
      </c>
      <c r="F72" s="85" t="s">
        <v>97</v>
      </c>
      <c r="G72" s="83" t="s">
        <v>97</v>
      </c>
      <c r="H72" s="83" t="s">
        <v>97</v>
      </c>
      <c r="I72" s="89" t="s">
        <v>97</v>
      </c>
      <c r="J72" s="89" t="s">
        <v>97</v>
      </c>
      <c r="K72" s="88"/>
    </row>
    <row r="73" spans="1:12" ht="29.25" customHeight="1" x14ac:dyDescent="0.2">
      <c r="A73" s="500"/>
      <c r="B73" s="483"/>
      <c r="C73" s="346" t="s">
        <v>1342</v>
      </c>
      <c r="D73" s="345" t="s">
        <v>96</v>
      </c>
      <c r="E73" s="85" t="s">
        <v>97</v>
      </c>
      <c r="F73" s="345" t="s">
        <v>97</v>
      </c>
      <c r="G73" s="85">
        <v>1</v>
      </c>
      <c r="H73" s="345" t="s">
        <v>97</v>
      </c>
      <c r="I73" s="345">
        <v>1</v>
      </c>
      <c r="J73" s="345" t="s">
        <v>97</v>
      </c>
      <c r="K73" s="88"/>
    </row>
    <row r="74" spans="1:12" ht="29.25" customHeight="1" x14ac:dyDescent="0.2">
      <c r="A74" s="352"/>
      <c r="B74" s="353"/>
      <c r="C74" s="346" t="s">
        <v>379</v>
      </c>
      <c r="D74" s="345" t="s">
        <v>96</v>
      </c>
      <c r="E74" s="345" t="s">
        <v>97</v>
      </c>
      <c r="F74" s="345" t="s">
        <v>97</v>
      </c>
      <c r="G74" s="345" t="s">
        <v>97</v>
      </c>
      <c r="H74" s="345" t="s">
        <v>97</v>
      </c>
      <c r="I74" s="345">
        <v>1</v>
      </c>
      <c r="J74" s="345">
        <v>1</v>
      </c>
      <c r="K74" s="88"/>
    </row>
    <row r="75" spans="1:12" ht="29.25" customHeight="1" x14ac:dyDescent="0.2">
      <c r="A75" s="352"/>
      <c r="B75" s="353"/>
      <c r="C75" s="346" t="s">
        <v>1316</v>
      </c>
      <c r="D75" s="345" t="s">
        <v>96</v>
      </c>
      <c r="E75" s="345" t="s">
        <v>97</v>
      </c>
      <c r="F75" s="345" t="s">
        <v>97</v>
      </c>
      <c r="G75" s="345" t="s">
        <v>97</v>
      </c>
      <c r="H75" s="345" t="s">
        <v>97</v>
      </c>
      <c r="I75" s="345">
        <v>2</v>
      </c>
      <c r="J75" s="345">
        <f>1+1</f>
        <v>2</v>
      </c>
      <c r="K75" s="88"/>
    </row>
    <row r="76" spans="1:12" ht="29.25" customHeight="1" x14ac:dyDescent="0.2">
      <c r="A76" s="352"/>
      <c r="B76" s="353"/>
      <c r="C76" s="346" t="s">
        <v>1341</v>
      </c>
      <c r="D76" s="345" t="s">
        <v>96</v>
      </c>
      <c r="E76" s="345" t="s">
        <v>97</v>
      </c>
      <c r="F76" s="345" t="s">
        <v>97</v>
      </c>
      <c r="G76" s="345" t="s">
        <v>97</v>
      </c>
      <c r="H76" s="345" t="s">
        <v>97</v>
      </c>
      <c r="I76" s="345">
        <f>1+1</f>
        <v>2</v>
      </c>
      <c r="J76" s="345" t="s">
        <v>97</v>
      </c>
      <c r="K76" s="88"/>
    </row>
    <row r="77" spans="1:12" ht="69.75" customHeight="1" x14ac:dyDescent="0.2">
      <c r="A77" s="488" t="s">
        <v>435</v>
      </c>
      <c r="B77" s="480" t="s">
        <v>593</v>
      </c>
      <c r="C77" s="346" t="s">
        <v>1488</v>
      </c>
      <c r="D77" s="345" t="s">
        <v>114</v>
      </c>
      <c r="E77" s="85" t="s">
        <v>97</v>
      </c>
      <c r="F77" s="345" t="s">
        <v>351</v>
      </c>
      <c r="G77" s="345" t="s">
        <v>498</v>
      </c>
      <c r="H77" s="345" t="s">
        <v>566</v>
      </c>
      <c r="I77" s="345" t="s">
        <v>566</v>
      </c>
      <c r="J77" s="345" t="s">
        <v>566</v>
      </c>
      <c r="K77" s="90">
        <v>109.38</v>
      </c>
      <c r="L77" s="28" t="s">
        <v>127</v>
      </c>
    </row>
    <row r="78" spans="1:12" ht="30.75" customHeight="1" x14ac:dyDescent="0.2">
      <c r="A78" s="495"/>
      <c r="B78" s="504"/>
      <c r="C78" s="346" t="s">
        <v>314</v>
      </c>
      <c r="D78" s="345" t="s">
        <v>96</v>
      </c>
      <c r="E78" s="85" t="s">
        <v>97</v>
      </c>
      <c r="F78" s="345">
        <v>1</v>
      </c>
      <c r="G78" s="345">
        <v>1</v>
      </c>
      <c r="H78" s="345">
        <f>1+1</f>
        <v>2</v>
      </c>
      <c r="I78" s="345">
        <v>1</v>
      </c>
      <c r="J78" s="345">
        <v>1</v>
      </c>
      <c r="K78" s="90"/>
    </row>
    <row r="79" spans="1:12" ht="56.25" customHeight="1" x14ac:dyDescent="0.2">
      <c r="A79" s="495"/>
      <c r="B79" s="487"/>
      <c r="C79" s="346" t="s">
        <v>323</v>
      </c>
      <c r="D79" s="345" t="s">
        <v>96</v>
      </c>
      <c r="E79" s="85" t="s">
        <v>97</v>
      </c>
      <c r="F79" s="345">
        <v>1</v>
      </c>
      <c r="G79" s="345" t="s">
        <v>97</v>
      </c>
      <c r="H79" s="345" t="s">
        <v>97</v>
      </c>
      <c r="I79" s="345" t="s">
        <v>97</v>
      </c>
      <c r="J79" s="345" t="s">
        <v>97</v>
      </c>
      <c r="K79" s="90"/>
    </row>
    <row r="80" spans="1:12" ht="25.5" x14ac:dyDescent="0.2">
      <c r="A80" s="495"/>
      <c r="B80" s="487"/>
      <c r="C80" s="346" t="s">
        <v>536</v>
      </c>
      <c r="D80" s="345" t="s">
        <v>96</v>
      </c>
      <c r="E80" s="345" t="s">
        <v>97</v>
      </c>
      <c r="F80" s="89" t="s">
        <v>97</v>
      </c>
      <c r="G80" s="345">
        <f>1</f>
        <v>1</v>
      </c>
      <c r="H80" s="345" t="s">
        <v>97</v>
      </c>
      <c r="I80" s="345" t="s">
        <v>97</v>
      </c>
      <c r="J80" s="345" t="s">
        <v>97</v>
      </c>
      <c r="K80" s="91"/>
    </row>
    <row r="81" spans="1:11" ht="42" customHeight="1" x14ac:dyDescent="0.2">
      <c r="A81" s="495"/>
      <c r="B81" s="487"/>
      <c r="C81" s="346" t="s">
        <v>393</v>
      </c>
      <c r="D81" s="345" t="s">
        <v>96</v>
      </c>
      <c r="E81" s="345" t="s">
        <v>97</v>
      </c>
      <c r="F81" s="345" t="s">
        <v>97</v>
      </c>
      <c r="G81" s="345">
        <v>1</v>
      </c>
      <c r="H81" s="345" t="s">
        <v>97</v>
      </c>
      <c r="I81" s="345" t="s">
        <v>97</v>
      </c>
      <c r="J81" s="345" t="s">
        <v>97</v>
      </c>
      <c r="K81" s="91"/>
    </row>
    <row r="82" spans="1:11" ht="24" customHeight="1" x14ac:dyDescent="0.2">
      <c r="A82" s="489"/>
      <c r="B82" s="463"/>
      <c r="C82" s="346" t="s">
        <v>537</v>
      </c>
      <c r="D82" s="345" t="s">
        <v>96</v>
      </c>
      <c r="E82" s="345" t="s">
        <v>97</v>
      </c>
      <c r="F82" s="345" t="s">
        <v>97</v>
      </c>
      <c r="G82" s="345" t="s">
        <v>97</v>
      </c>
      <c r="H82" s="345">
        <v>1</v>
      </c>
      <c r="I82" s="345" t="s">
        <v>97</v>
      </c>
      <c r="J82" s="345" t="s">
        <v>97</v>
      </c>
      <c r="K82" s="91"/>
    </row>
    <row r="83" spans="1:11" ht="71.25" customHeight="1" x14ac:dyDescent="0.2">
      <c r="A83" s="498" t="s">
        <v>436</v>
      </c>
      <c r="B83" s="482" t="s">
        <v>594</v>
      </c>
      <c r="C83" s="346" t="s">
        <v>1489</v>
      </c>
      <c r="D83" s="345" t="s">
        <v>113</v>
      </c>
      <c r="E83" s="345">
        <v>257.52999999999997</v>
      </c>
      <c r="F83" s="83" t="s">
        <v>612</v>
      </c>
      <c r="G83" s="345" t="s">
        <v>611</v>
      </c>
      <c r="H83" s="86" t="s">
        <v>567</v>
      </c>
      <c r="I83" s="345" t="s">
        <v>1376</v>
      </c>
      <c r="J83" s="345" t="s">
        <v>1487</v>
      </c>
      <c r="K83" s="91" t="s">
        <v>115</v>
      </c>
    </row>
    <row r="84" spans="1:11" ht="19.149999999999999" customHeight="1" x14ac:dyDescent="0.2">
      <c r="A84" s="500"/>
      <c r="B84" s="483"/>
      <c r="C84" s="346" t="s">
        <v>281</v>
      </c>
      <c r="D84" s="345" t="s">
        <v>96</v>
      </c>
      <c r="E84" s="345" t="s">
        <v>97</v>
      </c>
      <c r="F84" s="89">
        <v>1</v>
      </c>
      <c r="G84" s="345" t="s">
        <v>97</v>
      </c>
      <c r="H84" s="345" t="s">
        <v>97</v>
      </c>
      <c r="I84" s="345" t="s">
        <v>97</v>
      </c>
      <c r="J84" s="345" t="s">
        <v>97</v>
      </c>
      <c r="K84" s="91"/>
    </row>
    <row r="85" spans="1:11" ht="93" customHeight="1" x14ac:dyDescent="0.2">
      <c r="A85" s="500"/>
      <c r="B85" s="483"/>
      <c r="C85" s="346" t="s">
        <v>414</v>
      </c>
      <c r="D85" s="345" t="s">
        <v>96</v>
      </c>
      <c r="E85" s="345" t="s">
        <v>97</v>
      </c>
      <c r="F85" s="89">
        <v>13</v>
      </c>
      <c r="G85" s="345" t="s">
        <v>97</v>
      </c>
      <c r="H85" s="345" t="s">
        <v>97</v>
      </c>
      <c r="I85" s="345">
        <v>1</v>
      </c>
      <c r="J85" s="345" t="s">
        <v>97</v>
      </c>
      <c r="K85" s="91"/>
    </row>
    <row r="86" spans="1:11" ht="17.45" customHeight="1" x14ac:dyDescent="0.2">
      <c r="A86" s="500"/>
      <c r="B86" s="483"/>
      <c r="C86" s="346" t="s">
        <v>99</v>
      </c>
      <c r="D86" s="345" t="s">
        <v>96</v>
      </c>
      <c r="E86" s="345" t="s">
        <v>97</v>
      </c>
      <c r="F86" s="89">
        <v>20</v>
      </c>
      <c r="G86" s="345" t="s">
        <v>97</v>
      </c>
      <c r="H86" s="345" t="s">
        <v>97</v>
      </c>
      <c r="I86" s="345" t="s">
        <v>97</v>
      </c>
      <c r="J86" s="345" t="s">
        <v>97</v>
      </c>
      <c r="K86" s="91"/>
    </row>
    <row r="87" spans="1:11" ht="25.5" x14ac:dyDescent="0.2">
      <c r="A87" s="500"/>
      <c r="B87" s="483"/>
      <c r="C87" s="346" t="s">
        <v>410</v>
      </c>
      <c r="D87" s="345" t="s">
        <v>96</v>
      </c>
      <c r="E87" s="345" t="s">
        <v>97</v>
      </c>
      <c r="F87" s="89">
        <v>2</v>
      </c>
      <c r="G87" s="345" t="s">
        <v>97</v>
      </c>
      <c r="H87" s="345" t="s">
        <v>97</v>
      </c>
      <c r="I87" s="345" t="s">
        <v>97</v>
      </c>
      <c r="J87" s="345" t="s">
        <v>97</v>
      </c>
      <c r="K87" s="91"/>
    </row>
    <row r="88" spans="1:11" ht="17.45" customHeight="1" x14ac:dyDescent="0.2">
      <c r="A88" s="500"/>
      <c r="B88" s="483"/>
      <c r="C88" s="346" t="s">
        <v>100</v>
      </c>
      <c r="D88" s="345" t="s">
        <v>96</v>
      </c>
      <c r="E88" s="345" t="s">
        <v>97</v>
      </c>
      <c r="F88" s="89">
        <v>9</v>
      </c>
      <c r="G88" s="345" t="s">
        <v>97</v>
      </c>
      <c r="H88" s="345" t="s">
        <v>97</v>
      </c>
      <c r="I88" s="345" t="s">
        <v>97</v>
      </c>
      <c r="J88" s="345">
        <v>2</v>
      </c>
      <c r="K88" s="91"/>
    </row>
    <row r="89" spans="1:11" ht="51" x14ac:dyDescent="0.2">
      <c r="A89" s="500"/>
      <c r="B89" s="483"/>
      <c r="C89" s="346" t="s">
        <v>415</v>
      </c>
      <c r="D89" s="345" t="s">
        <v>96</v>
      </c>
      <c r="E89" s="345" t="s">
        <v>97</v>
      </c>
      <c r="F89" s="89">
        <v>3</v>
      </c>
      <c r="G89" s="345" t="s">
        <v>97</v>
      </c>
      <c r="H89" s="345" t="s">
        <v>97</v>
      </c>
      <c r="I89" s="345" t="s">
        <v>97</v>
      </c>
      <c r="J89" s="345" t="s">
        <v>97</v>
      </c>
      <c r="K89" s="91"/>
    </row>
    <row r="90" spans="1:11" ht="20.45" customHeight="1" x14ac:dyDescent="0.2">
      <c r="A90" s="500"/>
      <c r="B90" s="483"/>
      <c r="C90" s="346" t="s">
        <v>200</v>
      </c>
      <c r="D90" s="345" t="s">
        <v>287</v>
      </c>
      <c r="E90" s="345" t="s">
        <v>97</v>
      </c>
      <c r="F90" s="83">
        <v>2.9</v>
      </c>
      <c r="G90" s="345" t="s">
        <v>97</v>
      </c>
      <c r="H90" s="345" t="s">
        <v>97</v>
      </c>
      <c r="I90" s="345" t="s">
        <v>97</v>
      </c>
      <c r="J90" s="345" t="s">
        <v>97</v>
      </c>
      <c r="K90" s="91"/>
    </row>
    <row r="91" spans="1:11" ht="16.899999999999999" customHeight="1" x14ac:dyDescent="0.2">
      <c r="A91" s="500"/>
      <c r="B91" s="487"/>
      <c r="C91" s="346" t="s">
        <v>416</v>
      </c>
      <c r="D91" s="345" t="s">
        <v>96</v>
      </c>
      <c r="E91" s="345" t="s">
        <v>97</v>
      </c>
      <c r="F91" s="89">
        <v>20</v>
      </c>
      <c r="G91" s="345" t="s">
        <v>97</v>
      </c>
      <c r="H91" s="345" t="s">
        <v>97</v>
      </c>
      <c r="I91" s="345" t="s">
        <v>97</v>
      </c>
      <c r="J91" s="345" t="s">
        <v>97</v>
      </c>
      <c r="K91" s="91"/>
    </row>
    <row r="92" spans="1:11" ht="15.75" customHeight="1" x14ac:dyDescent="0.2">
      <c r="A92" s="500"/>
      <c r="B92" s="487"/>
      <c r="C92" s="346" t="s">
        <v>285</v>
      </c>
      <c r="D92" s="345" t="s">
        <v>96</v>
      </c>
      <c r="E92" s="345" t="s">
        <v>97</v>
      </c>
      <c r="F92" s="89">
        <v>42</v>
      </c>
      <c r="G92" s="345" t="s">
        <v>97</v>
      </c>
      <c r="H92" s="345" t="s">
        <v>97</v>
      </c>
      <c r="I92" s="345" t="s">
        <v>97</v>
      </c>
      <c r="J92" s="345" t="s">
        <v>97</v>
      </c>
      <c r="K92" s="91"/>
    </row>
    <row r="93" spans="1:11" ht="28.9" customHeight="1" x14ac:dyDescent="0.2">
      <c r="A93" s="500"/>
      <c r="B93" s="487"/>
      <c r="C93" s="346" t="s">
        <v>411</v>
      </c>
      <c r="D93" s="345" t="s">
        <v>96</v>
      </c>
      <c r="E93" s="345" t="s">
        <v>97</v>
      </c>
      <c r="F93" s="89">
        <v>2</v>
      </c>
      <c r="G93" s="345" t="s">
        <v>97</v>
      </c>
      <c r="H93" s="345" t="s">
        <v>97</v>
      </c>
      <c r="I93" s="345" t="s">
        <v>97</v>
      </c>
      <c r="J93" s="345" t="s">
        <v>97</v>
      </c>
      <c r="K93" s="91"/>
    </row>
    <row r="94" spans="1:11" ht="30.75" customHeight="1" x14ac:dyDescent="0.2">
      <c r="A94" s="500"/>
      <c r="B94" s="487"/>
      <c r="C94" s="346" t="s">
        <v>286</v>
      </c>
      <c r="D94" s="345" t="s">
        <v>96</v>
      </c>
      <c r="E94" s="345" t="s">
        <v>97</v>
      </c>
      <c r="F94" s="89">
        <v>1</v>
      </c>
      <c r="G94" s="345" t="s">
        <v>97</v>
      </c>
      <c r="H94" s="345" t="s">
        <v>97</v>
      </c>
      <c r="I94" s="345" t="s">
        <v>97</v>
      </c>
      <c r="J94" s="345" t="s">
        <v>97</v>
      </c>
      <c r="K94" s="91"/>
    </row>
    <row r="95" spans="1:11" ht="54.75" customHeight="1" x14ac:dyDescent="0.2">
      <c r="A95" s="500"/>
      <c r="B95" s="487"/>
      <c r="C95" s="346" t="s">
        <v>417</v>
      </c>
      <c r="D95" s="345" t="s">
        <v>96</v>
      </c>
      <c r="E95" s="345" t="s">
        <v>97</v>
      </c>
      <c r="F95" s="89">
        <v>15</v>
      </c>
      <c r="G95" s="345">
        <v>14</v>
      </c>
      <c r="H95" s="345">
        <f>18-9</f>
        <v>9</v>
      </c>
      <c r="I95" s="345">
        <f>18-9+1</f>
        <v>10</v>
      </c>
      <c r="J95" s="345">
        <f>0+9+7</f>
        <v>16</v>
      </c>
      <c r="K95" s="91"/>
    </row>
    <row r="96" spans="1:11" ht="25.5" x14ac:dyDescent="0.2">
      <c r="A96" s="500"/>
      <c r="B96" s="487"/>
      <c r="C96" s="346" t="s">
        <v>313</v>
      </c>
      <c r="D96" s="345" t="s">
        <v>96</v>
      </c>
      <c r="E96" s="345" t="s">
        <v>97</v>
      </c>
      <c r="F96" s="89">
        <v>1</v>
      </c>
      <c r="G96" s="345" t="s">
        <v>97</v>
      </c>
      <c r="H96" s="345" t="s">
        <v>97</v>
      </c>
      <c r="I96" s="345" t="s">
        <v>97</v>
      </c>
      <c r="J96" s="345" t="s">
        <v>97</v>
      </c>
      <c r="K96" s="91"/>
    </row>
    <row r="97" spans="1:30" ht="30" customHeight="1" x14ac:dyDescent="0.2">
      <c r="A97" s="500"/>
      <c r="B97" s="487"/>
      <c r="C97" s="346" t="s">
        <v>366</v>
      </c>
      <c r="D97" s="345" t="s">
        <v>112</v>
      </c>
      <c r="E97" s="345" t="s">
        <v>97</v>
      </c>
      <c r="F97" s="83">
        <v>12.17</v>
      </c>
      <c r="G97" s="345">
        <v>24.06</v>
      </c>
      <c r="H97" s="345">
        <f>0+10.7+15.2+8.96</f>
        <v>34.86</v>
      </c>
      <c r="I97" s="345" t="s">
        <v>97</v>
      </c>
      <c r="J97" s="345" t="s">
        <v>97</v>
      </c>
      <c r="K97" s="91"/>
    </row>
    <row r="98" spans="1:30" ht="25.5" x14ac:dyDescent="0.2">
      <c r="A98" s="500"/>
      <c r="B98" s="487"/>
      <c r="C98" s="346" t="s">
        <v>379</v>
      </c>
      <c r="D98" s="345" t="s">
        <v>96</v>
      </c>
      <c r="E98" s="345" t="s">
        <v>97</v>
      </c>
      <c r="F98" s="345" t="s">
        <v>97</v>
      </c>
      <c r="G98" s="345" t="s">
        <v>97</v>
      </c>
      <c r="H98" s="345">
        <v>1</v>
      </c>
      <c r="I98" s="345" t="s">
        <v>97</v>
      </c>
      <c r="J98" s="345" t="s">
        <v>97</v>
      </c>
      <c r="K98" s="91"/>
    </row>
    <row r="99" spans="1:30" ht="42" customHeight="1" x14ac:dyDescent="0.2">
      <c r="A99" s="500"/>
      <c r="B99" s="487"/>
      <c r="C99" s="346" t="s">
        <v>111</v>
      </c>
      <c r="D99" s="345" t="s">
        <v>96</v>
      </c>
      <c r="E99" s="345" t="s">
        <v>97</v>
      </c>
      <c r="F99" s="345" t="s">
        <v>97</v>
      </c>
      <c r="G99" s="345">
        <v>11</v>
      </c>
      <c r="H99" s="345">
        <v>3</v>
      </c>
      <c r="I99" s="345" t="s">
        <v>97</v>
      </c>
      <c r="J99" s="345">
        <v>10</v>
      </c>
      <c r="K99" s="91"/>
    </row>
    <row r="100" spans="1:30" ht="42" customHeight="1" x14ac:dyDescent="0.2">
      <c r="A100" s="500"/>
      <c r="B100" s="487"/>
      <c r="C100" s="346" t="s">
        <v>1497</v>
      </c>
      <c r="D100" s="345" t="s">
        <v>96</v>
      </c>
      <c r="E100" s="345" t="s">
        <v>97</v>
      </c>
      <c r="F100" s="345" t="s">
        <v>97</v>
      </c>
      <c r="G100" s="86" t="s">
        <v>97</v>
      </c>
      <c r="H100" s="345" t="s">
        <v>97</v>
      </c>
      <c r="I100" s="345" t="s">
        <v>97</v>
      </c>
      <c r="J100" s="345">
        <v>1</v>
      </c>
      <c r="K100" s="91"/>
    </row>
    <row r="101" spans="1:30" ht="43.5" customHeight="1" x14ac:dyDescent="0.2">
      <c r="A101" s="500"/>
      <c r="B101" s="487"/>
      <c r="C101" s="346" t="s">
        <v>545</v>
      </c>
      <c r="D101" s="345" t="s">
        <v>96</v>
      </c>
      <c r="E101" s="345" t="s">
        <v>97</v>
      </c>
      <c r="F101" s="345">
        <v>6</v>
      </c>
      <c r="G101" s="86">
        <f>55+25</f>
        <v>80</v>
      </c>
      <c r="H101" s="345">
        <f>70-63+20-20+3</f>
        <v>10</v>
      </c>
      <c r="I101" s="345">
        <f>0+14-8+6</f>
        <v>12</v>
      </c>
      <c r="J101" s="345">
        <v>16</v>
      </c>
      <c r="K101" s="91"/>
    </row>
    <row r="102" spans="1:30" ht="29.25" customHeight="1" x14ac:dyDescent="0.2">
      <c r="A102" s="500"/>
      <c r="B102" s="487"/>
      <c r="C102" s="346" t="s">
        <v>401</v>
      </c>
      <c r="D102" s="345" t="s">
        <v>96</v>
      </c>
      <c r="E102" s="345" t="s">
        <v>97</v>
      </c>
      <c r="F102" s="345" t="s">
        <v>97</v>
      </c>
      <c r="G102" s="86" t="s">
        <v>97</v>
      </c>
      <c r="H102" s="345" t="s">
        <v>97</v>
      </c>
      <c r="I102" s="345" t="s">
        <v>97</v>
      </c>
      <c r="J102" s="345">
        <v>1</v>
      </c>
      <c r="K102" s="91"/>
    </row>
    <row r="103" spans="1:30" ht="29.25" customHeight="1" x14ac:dyDescent="0.2">
      <c r="A103" s="500"/>
      <c r="B103" s="487"/>
      <c r="C103" s="346" t="s">
        <v>565</v>
      </c>
      <c r="D103" s="345" t="s">
        <v>96</v>
      </c>
      <c r="E103" s="345" t="s">
        <v>97</v>
      </c>
      <c r="F103" s="345" t="s">
        <v>97</v>
      </c>
      <c r="G103" s="86" t="s">
        <v>97</v>
      </c>
      <c r="H103" s="345">
        <v>29</v>
      </c>
      <c r="I103" s="345">
        <v>20</v>
      </c>
      <c r="J103" s="345">
        <v>50</v>
      </c>
      <c r="K103" s="91"/>
    </row>
    <row r="104" spans="1:30" ht="29.25" customHeight="1" x14ac:dyDescent="0.2">
      <c r="A104" s="500"/>
      <c r="B104" s="487"/>
      <c r="C104" s="346" t="s">
        <v>1084</v>
      </c>
      <c r="D104" s="345" t="s">
        <v>113</v>
      </c>
      <c r="E104" s="345" t="s">
        <v>97</v>
      </c>
      <c r="F104" s="345" t="s">
        <v>97</v>
      </c>
      <c r="G104" s="345" t="s">
        <v>97</v>
      </c>
      <c r="H104" s="345" t="s">
        <v>97</v>
      </c>
      <c r="I104" s="345">
        <v>32.85</v>
      </c>
      <c r="J104" s="345">
        <f>46.1+13.9</f>
        <v>60</v>
      </c>
      <c r="K104" s="91"/>
    </row>
    <row r="105" spans="1:30" ht="29.25" customHeight="1" x14ac:dyDescent="0.2">
      <c r="A105" s="500"/>
      <c r="B105" s="487"/>
      <c r="C105" s="354" t="s">
        <v>1485</v>
      </c>
      <c r="D105" s="23" t="s">
        <v>96</v>
      </c>
      <c r="E105" s="345" t="s">
        <v>97</v>
      </c>
      <c r="F105" s="345" t="s">
        <v>97</v>
      </c>
      <c r="G105" s="345" t="s">
        <v>97</v>
      </c>
      <c r="H105" s="345" t="s">
        <v>97</v>
      </c>
      <c r="I105" s="345" t="s">
        <v>97</v>
      </c>
      <c r="J105" s="345">
        <v>1</v>
      </c>
      <c r="K105" s="91"/>
    </row>
    <row r="106" spans="1:30" ht="29.25" customHeight="1" x14ac:dyDescent="0.2">
      <c r="A106" s="499"/>
      <c r="B106" s="463"/>
      <c r="C106" s="354" t="s">
        <v>1486</v>
      </c>
      <c r="D106" s="23" t="s">
        <v>96</v>
      </c>
      <c r="E106" s="345" t="s">
        <v>97</v>
      </c>
      <c r="F106" s="345" t="s">
        <v>97</v>
      </c>
      <c r="G106" s="345" t="s">
        <v>97</v>
      </c>
      <c r="H106" s="345" t="s">
        <v>97</v>
      </c>
      <c r="I106" s="345" t="s">
        <v>97</v>
      </c>
      <c r="J106" s="345">
        <v>3</v>
      </c>
      <c r="K106" s="91"/>
    </row>
    <row r="107" spans="1:30" ht="70.5" customHeight="1" x14ac:dyDescent="0.2">
      <c r="A107" s="488" t="s">
        <v>437</v>
      </c>
      <c r="B107" s="482" t="s">
        <v>280</v>
      </c>
      <c r="C107" s="346" t="s">
        <v>546</v>
      </c>
      <c r="D107" s="345" t="s">
        <v>96</v>
      </c>
      <c r="E107" s="345" t="s">
        <v>97</v>
      </c>
      <c r="F107" s="345" t="s">
        <v>97</v>
      </c>
      <c r="G107" s="86" t="s">
        <v>97</v>
      </c>
      <c r="H107" s="345">
        <v>20</v>
      </c>
      <c r="I107" s="345">
        <v>35</v>
      </c>
      <c r="J107" s="345" t="s">
        <v>97</v>
      </c>
      <c r="K107" s="91"/>
    </row>
    <row r="108" spans="1:30" ht="70.5" customHeight="1" x14ac:dyDescent="0.2">
      <c r="A108" s="489"/>
      <c r="B108" s="490"/>
      <c r="C108" s="346" t="s">
        <v>158</v>
      </c>
      <c r="D108" s="345" t="s">
        <v>113</v>
      </c>
      <c r="E108" s="345">
        <v>178.35</v>
      </c>
      <c r="F108" s="345">
        <v>107.83</v>
      </c>
      <c r="G108" s="86">
        <f>87.87+1.35</f>
        <v>89.22</v>
      </c>
      <c r="H108" s="345">
        <f>5.8+18.4-5.8+1.38</f>
        <v>19.779999999999998</v>
      </c>
      <c r="I108" s="345">
        <f>22.67+26.626+2.802+2.002</f>
        <v>54.100000000000009</v>
      </c>
      <c r="J108" s="345" t="s">
        <v>97</v>
      </c>
      <c r="K108" s="91" t="s">
        <v>116</v>
      </c>
    </row>
    <row r="109" spans="1:30" ht="122.25" customHeight="1" x14ac:dyDescent="0.2">
      <c r="A109" s="323" t="s">
        <v>438</v>
      </c>
      <c r="B109" s="92" t="s">
        <v>157</v>
      </c>
      <c r="C109" s="346" t="s">
        <v>503</v>
      </c>
      <c r="D109" s="345" t="s">
        <v>113</v>
      </c>
      <c r="E109" s="345">
        <v>6.14</v>
      </c>
      <c r="F109" s="345">
        <v>13.8</v>
      </c>
      <c r="G109" s="93">
        <v>2.8</v>
      </c>
      <c r="H109" s="83">
        <f>10.78-0.8-0.2</f>
        <v>9.7799999999999994</v>
      </c>
      <c r="I109" s="83">
        <f>9.92-1.33</f>
        <v>8.59</v>
      </c>
      <c r="J109" s="345">
        <v>10</v>
      </c>
      <c r="K109" s="94" t="s">
        <v>179</v>
      </c>
    </row>
    <row r="110" spans="1:30" ht="71.25" customHeight="1" x14ac:dyDescent="0.2">
      <c r="A110" s="323" t="s">
        <v>439</v>
      </c>
      <c r="B110" s="92" t="s">
        <v>595</v>
      </c>
      <c r="C110" s="346" t="s">
        <v>304</v>
      </c>
      <c r="D110" s="345" t="s">
        <v>113</v>
      </c>
      <c r="E110" s="345" t="s">
        <v>97</v>
      </c>
      <c r="F110" s="95">
        <v>5998.03</v>
      </c>
      <c r="G110" s="95">
        <v>6096.57</v>
      </c>
      <c r="H110" s="83">
        <v>6296.92</v>
      </c>
      <c r="I110" s="83">
        <f>6296.92+18.894-17.78+10.01</f>
        <v>6308.0440000000008</v>
      </c>
      <c r="J110" s="83" t="s">
        <v>97</v>
      </c>
      <c r="K110" s="94"/>
    </row>
    <row r="111" spans="1:30" ht="63.75" customHeight="1" x14ac:dyDescent="0.2">
      <c r="A111" s="323" t="s">
        <v>1385</v>
      </c>
      <c r="B111" s="92" t="s">
        <v>1391</v>
      </c>
      <c r="C111" s="308" t="s">
        <v>1392</v>
      </c>
      <c r="D111" s="345" t="s">
        <v>96</v>
      </c>
      <c r="E111" s="85" t="s">
        <v>97</v>
      </c>
      <c r="F111" s="85" t="s">
        <v>97</v>
      </c>
      <c r="G111" s="85" t="s">
        <v>97</v>
      </c>
      <c r="H111" s="85" t="s">
        <v>97</v>
      </c>
      <c r="I111" s="85" t="s">
        <v>97</v>
      </c>
      <c r="J111" s="347">
        <v>1</v>
      </c>
      <c r="K111" s="94"/>
    </row>
    <row r="112" spans="1:30" ht="31.15" customHeight="1" x14ac:dyDescent="0.2">
      <c r="A112" s="56" t="s">
        <v>454</v>
      </c>
      <c r="B112" s="491" t="s">
        <v>1081</v>
      </c>
      <c r="C112" s="492"/>
      <c r="D112" s="492"/>
      <c r="E112" s="492"/>
      <c r="F112" s="492"/>
      <c r="G112" s="492"/>
      <c r="H112" s="492"/>
      <c r="I112" s="492"/>
      <c r="J112" s="493"/>
      <c r="K112" s="501"/>
      <c r="L112" s="501"/>
      <c r="M112" s="501"/>
      <c r="N112" s="501"/>
      <c r="O112" s="501"/>
      <c r="P112" s="501"/>
      <c r="Q112" s="501"/>
      <c r="R112" s="501"/>
      <c r="S112" s="501"/>
      <c r="T112" s="501"/>
      <c r="U112" s="501"/>
      <c r="V112" s="501"/>
      <c r="W112" s="501"/>
      <c r="X112" s="501"/>
      <c r="Y112" s="501"/>
      <c r="Z112" s="501"/>
      <c r="AA112" s="501"/>
      <c r="AB112" s="501"/>
      <c r="AC112" s="501"/>
      <c r="AD112" s="501"/>
    </row>
    <row r="113" spans="1:30" ht="17.45" customHeight="1" x14ac:dyDescent="0.2">
      <c r="A113" s="484" t="s">
        <v>407</v>
      </c>
      <c r="B113" s="484"/>
      <c r="C113" s="484"/>
      <c r="D113" s="484"/>
      <c r="E113" s="484"/>
      <c r="F113" s="484"/>
      <c r="G113" s="484"/>
      <c r="H113" s="484"/>
      <c r="I113" s="484"/>
      <c r="J113" s="484"/>
      <c r="K113" s="503"/>
      <c r="L113" s="503"/>
      <c r="M113" s="503"/>
      <c r="N113" s="503"/>
      <c r="O113" s="503"/>
      <c r="P113" s="503"/>
      <c r="Q113" s="503"/>
      <c r="R113" s="503"/>
      <c r="S113" s="503"/>
      <c r="T113" s="503"/>
      <c r="U113" s="503"/>
      <c r="V113" s="503"/>
      <c r="W113" s="503"/>
      <c r="X113" s="503"/>
      <c r="Y113" s="503"/>
      <c r="Z113" s="503"/>
      <c r="AA113" s="503"/>
      <c r="AB113" s="503"/>
      <c r="AC113" s="503"/>
      <c r="AD113" s="503"/>
    </row>
    <row r="114" spans="1:30" ht="40.15" customHeight="1" x14ac:dyDescent="0.2">
      <c r="A114" s="485" t="s">
        <v>1079</v>
      </c>
      <c r="B114" s="485"/>
      <c r="C114" s="485"/>
      <c r="D114" s="485"/>
      <c r="E114" s="485"/>
      <c r="F114" s="485"/>
      <c r="G114" s="485"/>
      <c r="H114" s="485"/>
      <c r="I114" s="485"/>
      <c r="J114" s="485"/>
      <c r="K114" s="501"/>
      <c r="L114" s="501"/>
      <c r="M114" s="501"/>
      <c r="N114" s="501"/>
      <c r="O114" s="501"/>
      <c r="P114" s="501"/>
      <c r="Q114" s="501"/>
      <c r="R114" s="501"/>
      <c r="S114" s="501"/>
      <c r="T114" s="501"/>
      <c r="U114" s="501"/>
      <c r="V114" s="501"/>
      <c r="W114" s="501"/>
      <c r="X114" s="501"/>
      <c r="Y114" s="501"/>
      <c r="Z114" s="501"/>
      <c r="AA114" s="501"/>
      <c r="AB114" s="501"/>
      <c r="AC114" s="501"/>
      <c r="AD114" s="501"/>
    </row>
    <row r="115" spans="1:30" ht="36" customHeight="1" x14ac:dyDescent="0.2">
      <c r="A115" s="56" t="s">
        <v>38</v>
      </c>
      <c r="B115" s="491" t="s">
        <v>455</v>
      </c>
      <c r="C115" s="492"/>
      <c r="D115" s="492"/>
      <c r="E115" s="492"/>
      <c r="F115" s="492"/>
      <c r="G115" s="492"/>
      <c r="H115" s="492"/>
      <c r="I115" s="492"/>
      <c r="J115" s="493"/>
      <c r="K115" s="501"/>
      <c r="L115" s="501"/>
      <c r="M115" s="501"/>
      <c r="N115" s="501"/>
      <c r="O115" s="501"/>
      <c r="P115" s="501"/>
      <c r="Q115" s="501"/>
      <c r="R115" s="501"/>
      <c r="S115" s="501"/>
      <c r="T115" s="501"/>
      <c r="U115" s="501"/>
      <c r="V115" s="501"/>
      <c r="W115" s="501"/>
      <c r="X115" s="501"/>
      <c r="Y115" s="501"/>
      <c r="Z115" s="501"/>
      <c r="AA115" s="501"/>
      <c r="AB115" s="501"/>
      <c r="AC115" s="501"/>
      <c r="AD115" s="501"/>
    </row>
    <row r="116" spans="1:30" ht="90.75" customHeight="1" x14ac:dyDescent="0.2">
      <c r="A116" s="323" t="s">
        <v>426</v>
      </c>
      <c r="B116" s="92" t="s">
        <v>129</v>
      </c>
      <c r="C116" s="50" t="s">
        <v>117</v>
      </c>
      <c r="D116" s="338" t="s">
        <v>114</v>
      </c>
      <c r="E116" s="71">
        <v>6198.38</v>
      </c>
      <c r="F116" s="331">
        <v>6198.38</v>
      </c>
      <c r="G116" s="331">
        <v>6296.92</v>
      </c>
      <c r="H116" s="331">
        <f>6296.92+18.894</f>
        <v>6315.8140000000003</v>
      </c>
      <c r="I116" s="331">
        <f>6296.92+18.894-17.78+10.01+22.47</f>
        <v>6330.514000000001</v>
      </c>
      <c r="J116" s="331">
        <v>6330.51</v>
      </c>
    </row>
    <row r="117" spans="1:30" ht="30.6" customHeight="1" x14ac:dyDescent="0.2">
      <c r="A117" s="323" t="s">
        <v>456</v>
      </c>
      <c r="B117" s="92" t="s">
        <v>118</v>
      </c>
      <c r="C117" s="50" t="s">
        <v>290</v>
      </c>
      <c r="D117" s="338" t="s">
        <v>114</v>
      </c>
      <c r="E117" s="71">
        <v>1.95</v>
      </c>
      <c r="F117" s="331">
        <v>1.95</v>
      </c>
      <c r="G117" s="331">
        <v>2.14</v>
      </c>
      <c r="H117" s="331">
        <v>2.14</v>
      </c>
      <c r="I117" s="331">
        <v>2.14</v>
      </c>
      <c r="J117" s="331">
        <f>1.95+0.19</f>
        <v>2.14</v>
      </c>
    </row>
    <row r="118" spans="1:30" x14ac:dyDescent="0.2">
      <c r="A118" s="46" t="s">
        <v>39</v>
      </c>
      <c r="B118" s="505" t="s">
        <v>469</v>
      </c>
      <c r="C118" s="506"/>
      <c r="D118" s="506"/>
      <c r="E118" s="506"/>
      <c r="F118" s="506"/>
      <c r="G118" s="506"/>
      <c r="H118" s="506"/>
      <c r="I118" s="506"/>
      <c r="J118" s="507"/>
    </row>
    <row r="119" spans="1:30" ht="31.15" customHeight="1" x14ac:dyDescent="0.2">
      <c r="A119" s="323" t="s">
        <v>427</v>
      </c>
      <c r="B119" s="92" t="s">
        <v>72</v>
      </c>
      <c r="C119" s="354" t="s">
        <v>119</v>
      </c>
      <c r="D119" s="345" t="s">
        <v>96</v>
      </c>
      <c r="E119" s="63">
        <v>29</v>
      </c>
      <c r="F119" s="345">
        <v>29</v>
      </c>
      <c r="G119" s="345">
        <v>29</v>
      </c>
      <c r="H119" s="345">
        <v>29</v>
      </c>
      <c r="I119" s="345">
        <v>29</v>
      </c>
      <c r="J119" s="345">
        <v>29</v>
      </c>
    </row>
    <row r="120" spans="1:30" ht="39" customHeight="1" x14ac:dyDescent="0.2">
      <c r="A120" s="488" t="s">
        <v>457</v>
      </c>
      <c r="B120" s="482" t="s">
        <v>514</v>
      </c>
      <c r="C120" s="346" t="s">
        <v>362</v>
      </c>
      <c r="D120" s="345" t="s">
        <v>96</v>
      </c>
      <c r="E120" s="345" t="s">
        <v>97</v>
      </c>
      <c r="F120" s="345">
        <v>1</v>
      </c>
      <c r="G120" s="345">
        <v>2</v>
      </c>
      <c r="H120" s="345" t="s">
        <v>97</v>
      </c>
      <c r="I120" s="345">
        <v>1</v>
      </c>
      <c r="J120" s="345">
        <v>1</v>
      </c>
    </row>
    <row r="121" spans="1:30" ht="39" customHeight="1" x14ac:dyDescent="0.2">
      <c r="A121" s="495"/>
      <c r="B121" s="483"/>
      <c r="C121" s="346" t="s">
        <v>363</v>
      </c>
      <c r="D121" s="345" t="s">
        <v>96</v>
      </c>
      <c r="E121" s="345" t="s">
        <v>97</v>
      </c>
      <c r="F121" s="345" t="s">
        <v>97</v>
      </c>
      <c r="G121" s="345">
        <v>1</v>
      </c>
      <c r="H121" s="345" t="s">
        <v>97</v>
      </c>
      <c r="I121" s="345" t="s">
        <v>97</v>
      </c>
      <c r="J121" s="345" t="s">
        <v>97</v>
      </c>
    </row>
    <row r="122" spans="1:30" ht="39" customHeight="1" x14ac:dyDescent="0.2">
      <c r="A122" s="489"/>
      <c r="B122" s="490"/>
      <c r="C122" s="346" t="s">
        <v>506</v>
      </c>
      <c r="D122" s="345" t="s">
        <v>96</v>
      </c>
      <c r="E122" s="345" t="s">
        <v>97</v>
      </c>
      <c r="F122" s="345" t="s">
        <v>97</v>
      </c>
      <c r="G122" s="345" t="s">
        <v>97</v>
      </c>
      <c r="H122" s="345">
        <v>1</v>
      </c>
      <c r="I122" s="345" t="s">
        <v>97</v>
      </c>
      <c r="J122" s="345">
        <v>1</v>
      </c>
    </row>
    <row r="123" spans="1:30" ht="165.75" customHeight="1" x14ac:dyDescent="0.2">
      <c r="A123" s="323" t="s">
        <v>458</v>
      </c>
      <c r="B123" s="354" t="s">
        <v>1324</v>
      </c>
      <c r="C123" s="50" t="s">
        <v>1310</v>
      </c>
      <c r="D123" s="338" t="s">
        <v>96</v>
      </c>
      <c r="E123" s="338" t="s">
        <v>97</v>
      </c>
      <c r="F123" s="338">
        <v>2</v>
      </c>
      <c r="G123" s="338" t="s">
        <v>97</v>
      </c>
      <c r="H123" s="338" t="s">
        <v>97</v>
      </c>
      <c r="I123" s="338">
        <v>1</v>
      </c>
      <c r="J123" s="338" t="s">
        <v>97</v>
      </c>
    </row>
    <row r="124" spans="1:30" ht="26.25" customHeight="1" x14ac:dyDescent="0.2">
      <c r="A124" s="323" t="s">
        <v>459</v>
      </c>
      <c r="B124" s="92" t="s">
        <v>328</v>
      </c>
      <c r="C124" s="50" t="s">
        <v>329</v>
      </c>
      <c r="D124" s="345" t="s">
        <v>96</v>
      </c>
      <c r="E124" s="345" t="s">
        <v>97</v>
      </c>
      <c r="F124" s="345">
        <v>1</v>
      </c>
      <c r="G124" s="345" t="s">
        <v>97</v>
      </c>
      <c r="H124" s="345" t="s">
        <v>97</v>
      </c>
      <c r="I124" s="345" t="s">
        <v>97</v>
      </c>
      <c r="J124" s="345" t="s">
        <v>97</v>
      </c>
    </row>
    <row r="125" spans="1:30" ht="204.75" customHeight="1" x14ac:dyDescent="0.2">
      <c r="A125" s="323" t="s">
        <v>548</v>
      </c>
      <c r="B125" s="99" t="s">
        <v>1325</v>
      </c>
      <c r="C125" s="354" t="s">
        <v>551</v>
      </c>
      <c r="D125" s="345" t="s">
        <v>96</v>
      </c>
      <c r="E125" s="345" t="s">
        <v>97</v>
      </c>
      <c r="F125" s="345" t="s">
        <v>97</v>
      </c>
      <c r="G125" s="345" t="s">
        <v>97</v>
      </c>
      <c r="H125" s="345">
        <v>1</v>
      </c>
      <c r="I125" s="345">
        <v>4</v>
      </c>
      <c r="J125" s="345" t="s">
        <v>97</v>
      </c>
    </row>
    <row r="126" spans="1:30" ht="31.15" customHeight="1" x14ac:dyDescent="0.2">
      <c r="A126" s="56" t="s">
        <v>470</v>
      </c>
      <c r="B126" s="491" t="s">
        <v>1078</v>
      </c>
      <c r="C126" s="492"/>
      <c r="D126" s="492"/>
      <c r="E126" s="492"/>
      <c r="F126" s="492"/>
      <c r="G126" s="492"/>
      <c r="H126" s="492"/>
      <c r="I126" s="492"/>
      <c r="J126" s="493"/>
    </row>
    <row r="127" spans="1:30" ht="19.899999999999999" customHeight="1" x14ac:dyDescent="0.2">
      <c r="A127" s="484" t="s">
        <v>128</v>
      </c>
      <c r="B127" s="484"/>
      <c r="C127" s="484"/>
      <c r="D127" s="484"/>
      <c r="E127" s="484"/>
      <c r="F127" s="484"/>
      <c r="G127" s="484"/>
      <c r="H127" s="484"/>
      <c r="I127" s="484"/>
      <c r="J127" s="484"/>
    </row>
    <row r="128" spans="1:30" ht="36" customHeight="1" x14ac:dyDescent="0.2">
      <c r="A128" s="485" t="s">
        <v>1077</v>
      </c>
      <c r="B128" s="485"/>
      <c r="C128" s="485"/>
      <c r="D128" s="485"/>
      <c r="E128" s="485"/>
      <c r="F128" s="485"/>
      <c r="G128" s="485"/>
      <c r="H128" s="485"/>
      <c r="I128" s="485"/>
      <c r="J128" s="485"/>
    </row>
    <row r="129" spans="1:10" ht="18" customHeight="1" x14ac:dyDescent="0.2">
      <c r="A129" s="56" t="s">
        <v>32</v>
      </c>
      <c r="B129" s="491" t="s">
        <v>461</v>
      </c>
      <c r="C129" s="492"/>
      <c r="D129" s="492"/>
      <c r="E129" s="492"/>
      <c r="F129" s="492"/>
      <c r="G129" s="492"/>
      <c r="H129" s="492"/>
      <c r="I129" s="492"/>
      <c r="J129" s="493"/>
    </row>
    <row r="130" spans="1:10" ht="28.15" customHeight="1" x14ac:dyDescent="0.2">
      <c r="A130" s="323" t="s">
        <v>428</v>
      </c>
      <c r="B130" s="92" t="s">
        <v>45</v>
      </c>
      <c r="C130" s="354" t="s">
        <v>110</v>
      </c>
      <c r="D130" s="347" t="s">
        <v>96</v>
      </c>
      <c r="E130" s="72">
        <v>100</v>
      </c>
      <c r="F130" s="72">
        <v>50</v>
      </c>
      <c r="G130" s="72">
        <v>50</v>
      </c>
      <c r="H130" s="72" t="s">
        <v>97</v>
      </c>
      <c r="I130" s="72">
        <v>639</v>
      </c>
      <c r="J130" s="72">
        <v>416</v>
      </c>
    </row>
    <row r="131" spans="1:10" ht="28.15" customHeight="1" x14ac:dyDescent="0.2">
      <c r="A131" s="323" t="s">
        <v>615</v>
      </c>
      <c r="B131" s="92" t="s">
        <v>616</v>
      </c>
      <c r="C131" s="354" t="s">
        <v>617</v>
      </c>
      <c r="D131" s="347" t="s">
        <v>96</v>
      </c>
      <c r="E131" s="72" t="s">
        <v>97</v>
      </c>
      <c r="F131" s="72" t="s">
        <v>97</v>
      </c>
      <c r="G131" s="72" t="s">
        <v>97</v>
      </c>
      <c r="H131" s="72" t="s">
        <v>97</v>
      </c>
      <c r="I131" s="72" t="s">
        <v>97</v>
      </c>
      <c r="J131" s="72" t="s">
        <v>97</v>
      </c>
    </row>
    <row r="132" spans="1:10" ht="18" customHeight="1" x14ac:dyDescent="0.2">
      <c r="A132" s="56" t="s">
        <v>3</v>
      </c>
      <c r="B132" s="491" t="s">
        <v>462</v>
      </c>
      <c r="C132" s="492"/>
      <c r="D132" s="492"/>
      <c r="E132" s="492"/>
      <c r="F132" s="492"/>
      <c r="G132" s="492"/>
      <c r="H132" s="492"/>
      <c r="I132" s="492"/>
      <c r="J132" s="493"/>
    </row>
    <row r="133" spans="1:10" ht="64.5" customHeight="1" x14ac:dyDescent="0.2">
      <c r="A133" s="323" t="s">
        <v>429</v>
      </c>
      <c r="B133" s="92" t="s">
        <v>325</v>
      </c>
      <c r="C133" s="92" t="s">
        <v>133</v>
      </c>
      <c r="D133" s="338" t="s">
        <v>134</v>
      </c>
      <c r="E133" s="96" t="s">
        <v>97</v>
      </c>
      <c r="F133" s="72">
        <v>828</v>
      </c>
      <c r="G133" s="72">
        <v>828</v>
      </c>
      <c r="H133" s="72">
        <f>828+49+145</f>
        <v>1022</v>
      </c>
      <c r="I133" s="72">
        <f>828+49+112</f>
        <v>989</v>
      </c>
      <c r="J133" s="72">
        <f>877-29+128</f>
        <v>976</v>
      </c>
    </row>
    <row r="134" spans="1:10" ht="137.25" customHeight="1" x14ac:dyDescent="0.2">
      <c r="A134" s="338" t="s">
        <v>463</v>
      </c>
      <c r="B134" s="92" t="s">
        <v>324</v>
      </c>
      <c r="C134" s="92" t="s">
        <v>378</v>
      </c>
      <c r="D134" s="338" t="s">
        <v>134</v>
      </c>
      <c r="E134" s="96" t="s">
        <v>97</v>
      </c>
      <c r="F134" s="72">
        <v>1116</v>
      </c>
      <c r="G134" s="72">
        <f>1674+789</f>
        <v>2463</v>
      </c>
      <c r="H134" s="97" t="s">
        <v>97</v>
      </c>
      <c r="I134" s="97" t="s">
        <v>97</v>
      </c>
      <c r="J134" s="97" t="s">
        <v>97</v>
      </c>
    </row>
    <row r="135" spans="1:10" ht="36.75" customHeight="1" x14ac:dyDescent="0.2">
      <c r="A135" s="338" t="s">
        <v>464</v>
      </c>
      <c r="B135" s="92" t="s">
        <v>302</v>
      </c>
      <c r="C135" s="354" t="s">
        <v>133</v>
      </c>
      <c r="D135" s="338" t="s">
        <v>134</v>
      </c>
      <c r="E135" s="96" t="s">
        <v>97</v>
      </c>
      <c r="F135" s="96" t="s">
        <v>97</v>
      </c>
      <c r="G135" s="72" t="s">
        <v>97</v>
      </c>
      <c r="H135" s="72" t="s">
        <v>97</v>
      </c>
      <c r="I135" s="72" t="s">
        <v>97</v>
      </c>
      <c r="J135" s="72" t="s">
        <v>97</v>
      </c>
    </row>
    <row r="136" spans="1:10" ht="33" customHeight="1" x14ac:dyDescent="0.2">
      <c r="A136" s="466" t="s">
        <v>465</v>
      </c>
      <c r="B136" s="494" t="s">
        <v>596</v>
      </c>
      <c r="C136" s="354" t="s">
        <v>132</v>
      </c>
      <c r="D136" s="338" t="s">
        <v>109</v>
      </c>
      <c r="E136" s="96" t="s">
        <v>131</v>
      </c>
      <c r="F136" s="97">
        <v>90</v>
      </c>
      <c r="G136" s="97">
        <v>90</v>
      </c>
      <c r="H136" s="97">
        <v>90</v>
      </c>
      <c r="I136" s="97" t="s">
        <v>589</v>
      </c>
      <c r="J136" s="97" t="s">
        <v>589</v>
      </c>
    </row>
    <row r="137" spans="1:10" ht="31.9" customHeight="1" x14ac:dyDescent="0.2">
      <c r="A137" s="466"/>
      <c r="B137" s="494"/>
      <c r="C137" s="354" t="s">
        <v>185</v>
      </c>
      <c r="D137" s="338" t="s">
        <v>105</v>
      </c>
      <c r="E137" s="72">
        <f>2</f>
        <v>2</v>
      </c>
      <c r="F137" s="72">
        <v>6</v>
      </c>
      <c r="G137" s="72">
        <v>10</v>
      </c>
      <c r="H137" s="72">
        <f>8+2+3</f>
        <v>13</v>
      </c>
      <c r="I137" s="72">
        <f>8+5+6</f>
        <v>19</v>
      </c>
      <c r="J137" s="72">
        <f>2+6+5+12+5+10</f>
        <v>40</v>
      </c>
    </row>
    <row r="138" spans="1:10" ht="33.6" customHeight="1" x14ac:dyDescent="0.2">
      <c r="A138" s="466"/>
      <c r="B138" s="494"/>
      <c r="C138" s="354" t="s">
        <v>186</v>
      </c>
      <c r="D138" s="338" t="s">
        <v>105</v>
      </c>
      <c r="E138" s="72">
        <v>50</v>
      </c>
      <c r="F138" s="72">
        <v>78</v>
      </c>
      <c r="G138" s="72">
        <v>78</v>
      </c>
      <c r="H138" s="72">
        <f>77+1+1</f>
        <v>79</v>
      </c>
      <c r="I138" s="72">
        <f>77+2</f>
        <v>79</v>
      </c>
      <c r="J138" s="72">
        <f>50+27+2+1-2</f>
        <v>78</v>
      </c>
    </row>
    <row r="139" spans="1:10" ht="17.25" customHeight="1" x14ac:dyDescent="0.2">
      <c r="A139" s="56" t="s">
        <v>33</v>
      </c>
      <c r="B139" s="492" t="s">
        <v>466</v>
      </c>
      <c r="C139" s="492"/>
      <c r="D139" s="492"/>
      <c r="E139" s="492"/>
      <c r="F139" s="492"/>
      <c r="G139" s="492"/>
      <c r="H139" s="492"/>
      <c r="I139" s="492"/>
      <c r="J139" s="493"/>
    </row>
    <row r="140" spans="1:10" ht="147" customHeight="1" x14ac:dyDescent="0.2">
      <c r="A140" s="338" t="s">
        <v>430</v>
      </c>
      <c r="B140" s="50" t="s">
        <v>597</v>
      </c>
      <c r="C140" s="50" t="s">
        <v>350</v>
      </c>
      <c r="D140" s="338" t="s">
        <v>109</v>
      </c>
      <c r="E140" s="72" t="s">
        <v>97</v>
      </c>
      <c r="F140" s="72">
        <v>23</v>
      </c>
      <c r="G140" s="72">
        <v>43</v>
      </c>
      <c r="H140" s="72">
        <v>63</v>
      </c>
      <c r="I140" s="72">
        <v>83</v>
      </c>
      <c r="J140" s="72">
        <v>100</v>
      </c>
    </row>
    <row r="141" spans="1:10" ht="59.25" customHeight="1" x14ac:dyDescent="0.2">
      <c r="A141" s="338" t="s">
        <v>496</v>
      </c>
      <c r="B141" s="98" t="s">
        <v>497</v>
      </c>
      <c r="C141" s="50" t="s">
        <v>350</v>
      </c>
      <c r="D141" s="338" t="s">
        <v>109</v>
      </c>
      <c r="E141" s="72" t="s">
        <v>97</v>
      </c>
      <c r="F141" s="72" t="s">
        <v>97</v>
      </c>
      <c r="G141" s="72">
        <v>37.4</v>
      </c>
      <c r="H141" s="72">
        <v>44.8</v>
      </c>
      <c r="I141" s="72">
        <v>57.5</v>
      </c>
      <c r="J141" s="72">
        <v>70.3</v>
      </c>
    </row>
    <row r="142" spans="1:10" ht="83.25" customHeight="1" x14ac:dyDescent="0.2">
      <c r="A142" s="338" t="s">
        <v>557</v>
      </c>
      <c r="B142" s="98" t="s">
        <v>587</v>
      </c>
      <c r="C142" s="50" t="s">
        <v>563</v>
      </c>
      <c r="D142" s="338" t="s">
        <v>105</v>
      </c>
      <c r="E142" s="72" t="s">
        <v>97</v>
      </c>
      <c r="F142" s="72" t="s">
        <v>97</v>
      </c>
      <c r="G142" s="72" t="s">
        <v>97</v>
      </c>
      <c r="H142" s="72" t="s">
        <v>97</v>
      </c>
      <c r="I142" s="72">
        <v>14</v>
      </c>
      <c r="J142" s="72" t="s">
        <v>97</v>
      </c>
    </row>
    <row r="143" spans="1:10" ht="18" customHeight="1" x14ac:dyDescent="0.2">
      <c r="A143" s="56" t="s">
        <v>541</v>
      </c>
      <c r="B143" s="491" t="s">
        <v>547</v>
      </c>
      <c r="C143" s="492"/>
      <c r="D143" s="492"/>
      <c r="E143" s="492"/>
      <c r="F143" s="492"/>
      <c r="G143" s="492"/>
      <c r="H143" s="492"/>
      <c r="I143" s="492"/>
      <c r="J143" s="493"/>
    </row>
    <row r="144" spans="1:10" ht="35.25" customHeight="1" x14ac:dyDescent="0.2">
      <c r="A144" s="462" t="s">
        <v>542</v>
      </c>
      <c r="B144" s="480" t="s">
        <v>543</v>
      </c>
      <c r="C144" s="354" t="s">
        <v>518</v>
      </c>
      <c r="D144" s="338" t="s">
        <v>517</v>
      </c>
      <c r="E144" s="72" t="s">
        <v>97</v>
      </c>
      <c r="F144" s="72" t="s">
        <v>97</v>
      </c>
      <c r="G144" s="72" t="s">
        <v>97</v>
      </c>
      <c r="H144" s="72" t="s">
        <v>613</v>
      </c>
      <c r="I144" s="72" t="s">
        <v>613</v>
      </c>
      <c r="J144" s="72" t="s">
        <v>613</v>
      </c>
    </row>
    <row r="145" spans="1:10" ht="96.75" customHeight="1" x14ac:dyDescent="0.2">
      <c r="A145" s="463"/>
      <c r="B145" s="481"/>
      <c r="C145" s="50" t="s">
        <v>505</v>
      </c>
      <c r="D145" s="338" t="s">
        <v>504</v>
      </c>
      <c r="E145" s="72" t="s">
        <v>97</v>
      </c>
      <c r="F145" s="72" t="s">
        <v>97</v>
      </c>
      <c r="G145" s="72" t="s">
        <v>97</v>
      </c>
      <c r="H145" s="71">
        <v>175181.82</v>
      </c>
      <c r="I145" s="71">
        <f>175181.82-63149.65</f>
        <v>112032.17000000001</v>
      </c>
      <c r="J145" s="71">
        <f>175181.82-63149.65-57028.17</f>
        <v>55004.000000000015</v>
      </c>
    </row>
    <row r="146" spans="1:10" ht="16.5" customHeight="1" x14ac:dyDescent="0.2">
      <c r="A146" s="56" t="s">
        <v>1430</v>
      </c>
      <c r="B146" s="491" t="s">
        <v>1431</v>
      </c>
      <c r="C146" s="492"/>
      <c r="D146" s="492"/>
      <c r="E146" s="492"/>
      <c r="F146" s="492"/>
      <c r="G146" s="492"/>
      <c r="H146" s="492"/>
      <c r="I146" s="492"/>
      <c r="J146" s="493"/>
    </row>
    <row r="147" spans="1:10" ht="41.25" customHeight="1" x14ac:dyDescent="0.2">
      <c r="A147" s="338" t="s">
        <v>1432</v>
      </c>
      <c r="B147" s="50" t="s">
        <v>1433</v>
      </c>
      <c r="C147" s="50" t="s">
        <v>1434</v>
      </c>
      <c r="D147" s="338" t="s">
        <v>105</v>
      </c>
      <c r="E147" s="72" t="s">
        <v>97</v>
      </c>
      <c r="F147" s="72" t="s">
        <v>97</v>
      </c>
      <c r="G147" s="72" t="s">
        <v>97</v>
      </c>
      <c r="H147" s="72" t="s">
        <v>97</v>
      </c>
      <c r="I147" s="72" t="s">
        <v>97</v>
      </c>
      <c r="J147" s="72">
        <v>2</v>
      </c>
    </row>
    <row r="148" spans="1:10" x14ac:dyDescent="0.2">
      <c r="C148" s="47"/>
      <c r="D148" s="47"/>
      <c r="E148" s="47"/>
    </row>
  </sheetData>
  <mergeCells count="84">
    <mergeCell ref="B146:J146"/>
    <mergeCell ref="B62:J62"/>
    <mergeCell ref="A28:A30"/>
    <mergeCell ref="B28:B30"/>
    <mergeCell ref="A31:A32"/>
    <mergeCell ref="B31:B32"/>
    <mergeCell ref="A45:A47"/>
    <mergeCell ref="B45:B47"/>
    <mergeCell ref="B48:J48"/>
    <mergeCell ref="B59:J59"/>
    <mergeCell ref="A41:A42"/>
    <mergeCell ref="B41:B42"/>
    <mergeCell ref="B50:J50"/>
    <mergeCell ref="A37:A38"/>
    <mergeCell ref="B37:B38"/>
    <mergeCell ref="A136:A138"/>
    <mergeCell ref="A10:J10"/>
    <mergeCell ref="A12:J12"/>
    <mergeCell ref="A13:J13"/>
    <mergeCell ref="B11:J11"/>
    <mergeCell ref="B14:J14"/>
    <mergeCell ref="B22:B23"/>
    <mergeCell ref="A22:A23"/>
    <mergeCell ref="B27:J27"/>
    <mergeCell ref="A25:A26"/>
    <mergeCell ref="B25:B26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F7:F8"/>
    <mergeCell ref="G2:J2"/>
    <mergeCell ref="B132:J132"/>
    <mergeCell ref="U115:AD115"/>
    <mergeCell ref="A128:J128"/>
    <mergeCell ref="A127:J127"/>
    <mergeCell ref="B115:J115"/>
    <mergeCell ref="B118:J118"/>
    <mergeCell ref="B126:J126"/>
    <mergeCell ref="B68:B73"/>
    <mergeCell ref="A77:A78"/>
    <mergeCell ref="A79:A82"/>
    <mergeCell ref="B77:B78"/>
    <mergeCell ref="K115:T115"/>
    <mergeCell ref="B43:B44"/>
    <mergeCell ref="A43:A44"/>
    <mergeCell ref="A83:A106"/>
    <mergeCell ref="B91:B106"/>
    <mergeCell ref="U114:AD114"/>
    <mergeCell ref="A63:A64"/>
    <mergeCell ref="U112:AD112"/>
    <mergeCell ref="K113:T113"/>
    <mergeCell ref="U113:AD113"/>
    <mergeCell ref="K112:T112"/>
    <mergeCell ref="A114:J114"/>
    <mergeCell ref="K114:T114"/>
    <mergeCell ref="A113:J113"/>
    <mergeCell ref="B65:B67"/>
    <mergeCell ref="A65:A67"/>
    <mergeCell ref="A68:A73"/>
    <mergeCell ref="A144:A145"/>
    <mergeCell ref="B144:B145"/>
    <mergeCell ref="B83:B90"/>
    <mergeCell ref="A60:J60"/>
    <mergeCell ref="A61:J61"/>
    <mergeCell ref="B63:B64"/>
    <mergeCell ref="B79:B82"/>
    <mergeCell ref="A107:A108"/>
    <mergeCell ref="B107:B108"/>
    <mergeCell ref="B143:J143"/>
    <mergeCell ref="B129:J129"/>
    <mergeCell ref="B112:J112"/>
    <mergeCell ref="B136:B138"/>
    <mergeCell ref="B120:B122"/>
    <mergeCell ref="A120:A122"/>
    <mergeCell ref="B139:J13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5" firstPageNumber="50" fitToHeight="0" orientation="landscape" useFirstPageNumber="1" r:id="rId1"/>
  <headerFooter>
    <oddHeader>&amp;C&amp;P</oddHeader>
  </headerFooter>
  <rowBreaks count="10" manualBreakCount="10">
    <brk id="20" max="9" man="1"/>
    <brk id="39" max="9" man="1"/>
    <brk id="52" max="9" man="1"/>
    <brk id="64" max="9" man="1"/>
    <brk id="78" max="9" man="1"/>
    <brk id="94" max="9" man="1"/>
    <brk id="108" max="9" man="1"/>
    <brk id="119" max="9" man="1"/>
    <brk id="127" max="9" man="1"/>
    <brk id="139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конеч.рез.</vt:lpstr>
      <vt:lpstr>1.переченьПБДД</vt:lpstr>
      <vt:lpstr>2.переченьМРАД</vt:lpstr>
      <vt:lpstr>3.меропр.</vt:lpstr>
      <vt:lpstr>4.индик.</vt:lpstr>
      <vt:lpstr>'1.переченьПБДД'!Заголовки_для_печати</vt:lpstr>
      <vt:lpstr>'2.переченьМРАД'!Заголовки_для_печати</vt:lpstr>
      <vt:lpstr>'3.меропр.'!Заголовки_для_печати</vt:lpstr>
      <vt:lpstr>'4.индик.'!Заголовки_для_печати</vt:lpstr>
      <vt:lpstr>конеч.рез.!Заголовки_для_печати</vt:lpstr>
      <vt:lpstr>'1.переченьПБДД'!Область_печати</vt:lpstr>
      <vt:lpstr>'2.переченьМРАД'!Область_печати</vt:lpstr>
      <vt:lpstr>'3.меропр.'!Область_печати</vt:lpstr>
      <vt:lpstr>'4.индик.'!Область_печати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2025-05-15T07:41:09Z</cp:lastPrinted>
  <dcterms:created xsi:type="dcterms:W3CDTF">2014-07-04T09:02:24Z</dcterms:created>
  <dcterms:modified xsi:type="dcterms:W3CDTF">2025-05-15T07:41:12Z</dcterms:modified>
</cp:coreProperties>
</file>