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rhoz\netshare\tumplan\эл.почта\ОТЧЕТЫ ЭКОНОМИСТЫ\Программа\Проекты постановлений\Программа 2021-2025\изм. Дума реш.1097\"/>
    </mc:Choice>
  </mc:AlternateContent>
  <xr:revisionPtr revIDLastSave="0" documentId="13_ncr:1_{36EDF382-C3D9-4265-9E0D-B6F23D6DD145}" xr6:coauthVersionLast="47" xr6:coauthVersionMax="47" xr10:uidLastSave="{00000000-0000-0000-0000-000000000000}"/>
  <bookViews>
    <workbookView xWindow="-120" yWindow="-120" windowWidth="29040" windowHeight="15840" tabRatio="599" activeTab="4" xr2:uid="{00000000-000D-0000-FFFF-FFFF00000000}"/>
  </bookViews>
  <sheets>
    <sheet name="конеч.рез." sheetId="9" r:id="rId1"/>
    <sheet name="1.переченьПБДД" sheetId="5" r:id="rId2"/>
    <sheet name="2.переченьМРАД" sheetId="1" r:id="rId3"/>
    <sheet name="3.меропр." sheetId="4" r:id="rId4"/>
    <sheet name="4.индик." sheetId="8" r:id="rId5"/>
  </sheets>
  <externalReferences>
    <externalReference r:id="rId6"/>
    <externalReference r:id="rId7"/>
  </externalReferences>
  <definedNames>
    <definedName name="_xlnm._FilterDatabase" localSheetId="1" hidden="1">'1.переченьПБДД'!#REF!</definedName>
    <definedName name="_xlnm._FilterDatabase" localSheetId="2" hidden="1">'2.переченьМРАД'!$A$4:$AC$6</definedName>
    <definedName name="_xlnm._FilterDatabase" localSheetId="3" hidden="1">'3.меропр.'!#REF!</definedName>
    <definedName name="Aс1">'3.меропр.'!#REF!</definedName>
    <definedName name="_xlnm.Print_Titles" localSheetId="1">'1.переченьПБДД'!$4:$7</definedName>
    <definedName name="_xlnm.Print_Titles" localSheetId="2">'2.переченьМРАД'!$4:$7</definedName>
    <definedName name="_xlnm.Print_Titles" localSheetId="3">'3.меропр.'!$4:$7</definedName>
    <definedName name="_xlnm.Print_Titles" localSheetId="4">'4.индик.'!$5:$9</definedName>
    <definedName name="_xlnm.Print_Titles" localSheetId="0">'конеч.рез.'!$3:$5</definedName>
    <definedName name="_xlnm.Print_Area" localSheetId="1">'1.переченьПБДД'!$A$1:$AB$267</definedName>
    <definedName name="_xlnm.Print_Area" localSheetId="2">'2.переченьМРАД'!$A$1:$AC$515</definedName>
    <definedName name="_xlnm.Print_Area" localSheetId="3">'3.меропр.'!$A$1:$AD$73</definedName>
    <definedName name="_xlnm.Print_Area" localSheetId="4">'4.индик.'!$A$1:$J$98</definedName>
    <definedName name="_xlnm.Print_Area" localSheetId="0">'конеч.рез.'!$A$1:$I$25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6" i="1" l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28" i="1"/>
  <c r="F40" i="4"/>
  <c r="W41" i="4" l="1"/>
  <c r="V41" i="4"/>
  <c r="U41" i="4"/>
  <c r="C240" i="1" l="1"/>
  <c r="D240" i="1"/>
  <c r="D239" i="1"/>
  <c r="U240" i="1"/>
  <c r="F256" i="1"/>
  <c r="D251" i="1"/>
  <c r="K108" i="1" l="1"/>
  <c r="K47" i="1"/>
  <c r="C64" i="1" l="1"/>
  <c r="D64" i="1"/>
  <c r="F64" i="1"/>
  <c r="K64" i="1"/>
  <c r="U39" i="4"/>
  <c r="C104" i="1" l="1"/>
  <c r="N104" i="1"/>
  <c r="K104" i="1" s="1"/>
  <c r="C248" i="1"/>
  <c r="F248" i="1"/>
  <c r="P248" i="1"/>
  <c r="U248" i="1"/>
  <c r="Z248" i="1"/>
  <c r="D248" i="1" l="1"/>
  <c r="F71" i="4" l="1"/>
  <c r="F38" i="1"/>
  <c r="J56" i="4" l="1"/>
  <c r="O56" i="4"/>
  <c r="T56" i="4"/>
  <c r="Y56" i="4"/>
  <c r="J65" i="4"/>
  <c r="T65" i="4"/>
  <c r="Y65" i="4"/>
  <c r="F13" i="4"/>
  <c r="Y14" i="4"/>
  <c r="T14" i="4"/>
  <c r="T18" i="4"/>
  <c r="O14" i="4"/>
  <c r="AD14" i="4" s="1"/>
  <c r="J14" i="4"/>
  <c r="E14" i="4"/>
  <c r="AA267" i="5"/>
  <c r="Z267" i="5"/>
  <c r="Y267" i="5"/>
  <c r="V267" i="5"/>
  <c r="U267" i="5"/>
  <c r="T267" i="5"/>
  <c r="Q267" i="5"/>
  <c r="P267" i="5"/>
  <c r="O267" i="5"/>
  <c r="N267" i="5"/>
  <c r="L267" i="5"/>
  <c r="K267" i="5"/>
  <c r="J267" i="5"/>
  <c r="I267" i="5"/>
  <c r="G267" i="5"/>
  <c r="F267" i="5"/>
  <c r="E267" i="5"/>
  <c r="D267" i="5"/>
  <c r="W22" i="5"/>
  <c r="R22" i="5"/>
  <c r="M22" i="5"/>
  <c r="H22" i="5"/>
  <c r="C22" i="5"/>
  <c r="AB22" i="5" l="1"/>
  <c r="G86" i="1"/>
  <c r="H86" i="1"/>
  <c r="J86" i="1"/>
  <c r="L86" i="1"/>
  <c r="M86" i="1"/>
  <c r="O86" i="1"/>
  <c r="Q86" i="1"/>
  <c r="R86" i="1"/>
  <c r="S86" i="1"/>
  <c r="T86" i="1"/>
  <c r="V86" i="1"/>
  <c r="W86" i="1"/>
  <c r="Y86" i="1"/>
  <c r="AA86" i="1"/>
  <c r="AB86" i="1"/>
  <c r="AC86" i="1"/>
  <c r="E86" i="1"/>
  <c r="Z85" i="1"/>
  <c r="U85" i="1"/>
  <c r="P85" i="1"/>
  <c r="K85" i="1"/>
  <c r="F85" i="1"/>
  <c r="Z84" i="1"/>
  <c r="U84" i="1"/>
  <c r="P84" i="1"/>
  <c r="K84" i="1"/>
  <c r="F84" i="1"/>
  <c r="H256" i="1"/>
  <c r="U148" i="1"/>
  <c r="Z149" i="1"/>
  <c r="U149" i="1"/>
  <c r="P149" i="1"/>
  <c r="K149" i="1"/>
  <c r="F149" i="1"/>
  <c r="C149" i="1"/>
  <c r="Z148" i="1"/>
  <c r="P148" i="1"/>
  <c r="K148" i="1"/>
  <c r="F148" i="1"/>
  <c r="C148" i="1"/>
  <c r="D85" i="1" l="1"/>
  <c r="D84" i="1"/>
  <c r="D149" i="1"/>
  <c r="D148" i="1"/>
  <c r="P225" i="1"/>
  <c r="F225" i="1"/>
  <c r="C225" i="1"/>
  <c r="D225" i="1" l="1"/>
  <c r="AA39" i="4"/>
  <c r="Z39" i="4"/>
  <c r="Q39" i="4"/>
  <c r="P39" i="4"/>
  <c r="L39" i="4"/>
  <c r="V39" i="4"/>
  <c r="AC108" i="1"/>
  <c r="AA108" i="1"/>
  <c r="AB108" i="1"/>
  <c r="Y108" i="1"/>
  <c r="V108" i="1"/>
  <c r="T108" i="1"/>
  <c r="Q108" i="1"/>
  <c r="R108" i="1"/>
  <c r="S108" i="1"/>
  <c r="O108" i="1"/>
  <c r="L108" i="1"/>
  <c r="M108" i="1"/>
  <c r="J108" i="1"/>
  <c r="G108" i="1"/>
  <c r="E108" i="1"/>
  <c r="K88" i="1"/>
  <c r="U107" i="1"/>
  <c r="K107" i="1"/>
  <c r="C107" i="1"/>
  <c r="D107" i="1" l="1"/>
  <c r="J16" i="4"/>
  <c r="AE82" i="4"/>
  <c r="AF82" i="4"/>
  <c r="AG82" i="4"/>
  <c r="AH82" i="4"/>
  <c r="AH80" i="4"/>
  <c r="AG80" i="4"/>
  <c r="AF80" i="4"/>
  <c r="AE80" i="4"/>
  <c r="AH78" i="4"/>
  <c r="AG78" i="4"/>
  <c r="AF78" i="4"/>
  <c r="AE78" i="4"/>
  <c r="AH76" i="4"/>
  <c r="AG76" i="4"/>
  <c r="AF76" i="4"/>
  <c r="AE76" i="4"/>
  <c r="AH74" i="4"/>
  <c r="AG74" i="4"/>
  <c r="AF74" i="4"/>
  <c r="AE74" i="4"/>
  <c r="P224" i="1"/>
  <c r="F224" i="1"/>
  <c r="C224" i="1"/>
  <c r="P79" i="4"/>
  <c r="P50" i="4"/>
  <c r="P57" i="4" s="1"/>
  <c r="K50" i="4"/>
  <c r="K57" i="4" s="1"/>
  <c r="K79" i="4" s="1"/>
  <c r="G57" i="4"/>
  <c r="G79" i="4" s="1"/>
  <c r="H57" i="4"/>
  <c r="H79" i="4" s="1"/>
  <c r="I57" i="4"/>
  <c r="I79" i="4" s="1"/>
  <c r="L57" i="4"/>
  <c r="L79" i="4" s="1"/>
  <c r="M57" i="4"/>
  <c r="M79" i="4" s="1"/>
  <c r="N57" i="4"/>
  <c r="N79" i="4" s="1"/>
  <c r="Q57" i="4"/>
  <c r="Q79" i="4" s="1"/>
  <c r="R57" i="4"/>
  <c r="R79" i="4" s="1"/>
  <c r="S57" i="4"/>
  <c r="S79" i="4" s="1"/>
  <c r="V57" i="4"/>
  <c r="V79" i="4" s="1"/>
  <c r="W57" i="4"/>
  <c r="W79" i="4" s="1"/>
  <c r="X57" i="4"/>
  <c r="X79" i="4" s="1"/>
  <c r="AA57" i="4"/>
  <c r="AA79" i="4" s="1"/>
  <c r="AB57" i="4"/>
  <c r="AB79" i="4" s="1"/>
  <c r="AC57" i="4"/>
  <c r="AC79" i="4" s="1"/>
  <c r="E56" i="4"/>
  <c r="AD56" i="4" s="1"/>
  <c r="F53" i="4"/>
  <c r="F50" i="4"/>
  <c r="AH79" i="4" l="1"/>
  <c r="AG79" i="4"/>
  <c r="AF79" i="4"/>
  <c r="D224" i="1"/>
  <c r="K97" i="1"/>
  <c r="F97" i="1"/>
  <c r="C97" i="1"/>
  <c r="D97" i="1" l="1"/>
  <c r="E396" i="1"/>
  <c r="G396" i="1"/>
  <c r="H396" i="1"/>
  <c r="I396" i="1"/>
  <c r="J396" i="1"/>
  <c r="L396" i="1"/>
  <c r="M396" i="1"/>
  <c r="N396" i="1"/>
  <c r="O396" i="1"/>
  <c r="Q396" i="1"/>
  <c r="R396" i="1"/>
  <c r="S396" i="1"/>
  <c r="T396" i="1"/>
  <c r="V396" i="1"/>
  <c r="W396" i="1"/>
  <c r="X396" i="1"/>
  <c r="Y396" i="1"/>
  <c r="AA396" i="1"/>
  <c r="AB396" i="1"/>
  <c r="AC396" i="1"/>
  <c r="H43" i="5" l="1"/>
  <c r="F212" i="1"/>
  <c r="F213" i="1"/>
  <c r="H513" i="1"/>
  <c r="Z421" i="1"/>
  <c r="U421" i="1"/>
  <c r="P421" i="1"/>
  <c r="K421" i="1"/>
  <c r="F421" i="1"/>
  <c r="C421" i="1"/>
  <c r="D421" i="1" l="1"/>
  <c r="C85" i="5"/>
  <c r="P221" i="1"/>
  <c r="F221" i="1"/>
  <c r="C221" i="1"/>
  <c r="D221" i="1" l="1"/>
  <c r="E65" i="4"/>
  <c r="AD65" i="4" s="1"/>
  <c r="Y64" i="4"/>
  <c r="T64" i="4"/>
  <c r="J64" i="4"/>
  <c r="E64" i="4"/>
  <c r="AD64" i="4" l="1"/>
  <c r="F67" i="4"/>
  <c r="H61" i="1"/>
  <c r="I61" i="1"/>
  <c r="G61" i="1"/>
  <c r="C63" i="1"/>
  <c r="F63" i="1"/>
  <c r="D63" i="1" s="1"/>
  <c r="U62" i="1"/>
  <c r="P62" i="1"/>
  <c r="F62" i="1"/>
  <c r="C62" i="1"/>
  <c r="F57" i="1"/>
  <c r="I68" i="1"/>
  <c r="I86" i="1" s="1"/>
  <c r="F69" i="1"/>
  <c r="C263" i="5"/>
  <c r="C265" i="5"/>
  <c r="E25" i="4"/>
  <c r="F55" i="4"/>
  <c r="F57" i="4" s="1"/>
  <c r="F79" i="4" s="1"/>
  <c r="F223" i="1"/>
  <c r="C223" i="1"/>
  <c r="P223" i="1"/>
  <c r="K223" i="1"/>
  <c r="D62" i="1" l="1"/>
  <c r="F61" i="1"/>
  <c r="D223" i="1"/>
  <c r="F211" i="1"/>
  <c r="W256" i="1"/>
  <c r="I101" i="1"/>
  <c r="AB256" i="1"/>
  <c r="AB258" i="1"/>
  <c r="AC258" i="1"/>
  <c r="F208" i="1" l="1"/>
  <c r="F207" i="1"/>
  <c r="F204" i="1"/>
  <c r="F180" i="1"/>
  <c r="S250" i="1"/>
  <c r="P41" i="4" s="1"/>
  <c r="K226" i="1"/>
  <c r="F77" i="1"/>
  <c r="K96" i="1"/>
  <c r="C96" i="1"/>
  <c r="F96" i="1"/>
  <c r="N13" i="1"/>
  <c r="C61" i="1"/>
  <c r="P61" i="1"/>
  <c r="U61" i="1"/>
  <c r="F220" i="1"/>
  <c r="P258" i="1"/>
  <c r="E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I44" i="1"/>
  <c r="H44" i="1"/>
  <c r="G44" i="1"/>
  <c r="C46" i="1"/>
  <c r="C45" i="1"/>
  <c r="F46" i="1"/>
  <c r="D46" i="1" s="1"/>
  <c r="F45" i="1"/>
  <c r="J9" i="1"/>
  <c r="P222" i="1"/>
  <c r="F222" i="1"/>
  <c r="C222" i="1"/>
  <c r="Q41" i="4"/>
  <c r="L41" i="4"/>
  <c r="K41" i="4"/>
  <c r="I256" i="1"/>
  <c r="P226" i="1"/>
  <c r="F226" i="1"/>
  <c r="C226" i="1"/>
  <c r="U104" i="1"/>
  <c r="P106" i="1"/>
  <c r="P104" i="1"/>
  <c r="D61" i="1" l="1"/>
  <c r="D96" i="1"/>
  <c r="P250" i="1"/>
  <c r="G41" i="4"/>
  <c r="F44" i="1"/>
  <c r="D45" i="1"/>
  <c r="D222" i="1"/>
  <c r="Z118" i="1"/>
  <c r="Z120" i="1"/>
  <c r="Z122" i="1"/>
  <c r="Z124" i="1"/>
  <c r="Z126" i="1"/>
  <c r="Z128" i="1"/>
  <c r="Z125" i="1"/>
  <c r="Z121" i="1"/>
  <c r="Z123" i="1"/>
  <c r="Z127" i="1"/>
  <c r="Z119" i="1"/>
  <c r="D44" i="1" l="1"/>
  <c r="Z115" i="1"/>
  <c r="Z254" i="1" l="1"/>
  <c r="U254" i="1"/>
  <c r="P254" i="1"/>
  <c r="F254" i="1"/>
  <c r="C254" i="1"/>
  <c r="Z253" i="1"/>
  <c r="U253" i="1"/>
  <c r="P253" i="1"/>
  <c r="F253" i="1"/>
  <c r="C253" i="1"/>
  <c r="Z252" i="1"/>
  <c r="U252" i="1"/>
  <c r="P252" i="1"/>
  <c r="F252" i="1"/>
  <c r="C252" i="1"/>
  <c r="Z251" i="1"/>
  <c r="U251" i="1"/>
  <c r="P251" i="1"/>
  <c r="F251" i="1"/>
  <c r="C251" i="1"/>
  <c r="Z250" i="1"/>
  <c r="U250" i="1"/>
  <c r="F250" i="1"/>
  <c r="C250" i="1"/>
  <c r="Z249" i="1"/>
  <c r="U249" i="1"/>
  <c r="P249" i="1"/>
  <c r="F249" i="1"/>
  <c r="C249" i="1"/>
  <c r="Z247" i="1"/>
  <c r="U247" i="1"/>
  <c r="P247" i="1"/>
  <c r="F247" i="1"/>
  <c r="C247" i="1"/>
  <c r="Z246" i="1"/>
  <c r="U246" i="1"/>
  <c r="P246" i="1"/>
  <c r="F246" i="1"/>
  <c r="C246" i="1"/>
  <c r="Z245" i="1"/>
  <c r="U245" i="1"/>
  <c r="P245" i="1"/>
  <c r="F245" i="1"/>
  <c r="C245" i="1"/>
  <c r="Z244" i="1"/>
  <c r="U244" i="1"/>
  <c r="P244" i="1"/>
  <c r="F244" i="1"/>
  <c r="C244" i="1"/>
  <c r="Z243" i="1"/>
  <c r="U243" i="1"/>
  <c r="P243" i="1"/>
  <c r="F243" i="1"/>
  <c r="C243" i="1"/>
  <c r="Z242" i="1"/>
  <c r="U242" i="1"/>
  <c r="P242" i="1"/>
  <c r="F242" i="1"/>
  <c r="C242" i="1"/>
  <c r="Z241" i="1"/>
  <c r="U241" i="1"/>
  <c r="P241" i="1"/>
  <c r="F241" i="1"/>
  <c r="C241" i="1"/>
  <c r="Z240" i="1"/>
  <c r="P240" i="1"/>
  <c r="F240" i="1"/>
  <c r="X45" i="4"/>
  <c r="X77" i="4" s="1"/>
  <c r="AC45" i="4"/>
  <c r="AC77" i="4" s="1"/>
  <c r="I45" i="4"/>
  <c r="I77" i="4" s="1"/>
  <c r="N45" i="4"/>
  <c r="N77" i="4" s="1"/>
  <c r="S45" i="4"/>
  <c r="S77" i="4" s="1"/>
  <c r="AB41" i="4"/>
  <c r="AA41" i="4"/>
  <c r="Z41" i="4"/>
  <c r="R41" i="4"/>
  <c r="M41" i="4"/>
  <c r="J41" i="4" s="1"/>
  <c r="H41" i="4"/>
  <c r="AB39" i="4"/>
  <c r="W39" i="4"/>
  <c r="R39" i="4"/>
  <c r="AH77" i="4" l="1"/>
  <c r="D253" i="1"/>
  <c r="D254" i="1"/>
  <c r="D250" i="1"/>
  <c r="D247" i="1"/>
  <c r="D252" i="1"/>
  <c r="D249" i="1"/>
  <c r="Y39" i="4"/>
  <c r="T41" i="4"/>
  <c r="D243" i="1"/>
  <c r="D242" i="1"/>
  <c r="D244" i="1"/>
  <c r="D246" i="1"/>
  <c r="D241" i="1"/>
  <c r="D245" i="1"/>
  <c r="O41" i="4"/>
  <c r="Y41" i="4"/>
  <c r="T39" i="4"/>
  <c r="O39" i="4"/>
  <c r="H40" i="4" l="1"/>
  <c r="AA40" i="4" l="1"/>
  <c r="X67" i="1"/>
  <c r="E93" i="8" l="1"/>
  <c r="P115" i="1" l="1"/>
  <c r="W259" i="5"/>
  <c r="R259" i="5"/>
  <c r="AB259" i="5" l="1"/>
  <c r="U105" i="1"/>
  <c r="U106" i="1"/>
  <c r="X74" i="1"/>
  <c r="X73" i="1"/>
  <c r="U72" i="1"/>
  <c r="U59" i="1"/>
  <c r="U60" i="1"/>
  <c r="U54" i="1"/>
  <c r="X53" i="1"/>
  <c r="W53" i="1"/>
  <c r="U58" i="1"/>
  <c r="U55" i="1"/>
  <c r="U56" i="1"/>
  <c r="X86" i="1" l="1"/>
  <c r="U53" i="1"/>
  <c r="U57" i="1"/>
  <c r="U31" i="1"/>
  <c r="U32" i="1"/>
  <c r="U30" i="1"/>
  <c r="U27" i="1"/>
  <c r="U28" i="1"/>
  <c r="U26" i="1"/>
  <c r="U23" i="1"/>
  <c r="U24" i="1"/>
  <c r="U22" i="1"/>
  <c r="W21" i="1"/>
  <c r="X21" i="1"/>
  <c r="C509" i="1" l="1"/>
  <c r="F509" i="1"/>
  <c r="K509" i="1"/>
  <c r="P509" i="1"/>
  <c r="U509" i="1"/>
  <c r="Z509" i="1"/>
  <c r="F420" i="1"/>
  <c r="I513" i="1"/>
  <c r="F44" i="4"/>
  <c r="D509" i="1" l="1"/>
  <c r="F41" i="4" l="1"/>
  <c r="E41" i="4" s="1"/>
  <c r="AD41" i="4" s="1"/>
  <c r="Z420" i="1"/>
  <c r="U420" i="1"/>
  <c r="P420" i="1"/>
  <c r="K420" i="1"/>
  <c r="C420" i="1"/>
  <c r="D420" i="1" l="1"/>
  <c r="F15" i="8"/>
  <c r="AB44" i="4" l="1"/>
  <c r="AB45" i="4" s="1"/>
  <c r="AB77" i="4" s="1"/>
  <c r="AA44" i="4"/>
  <c r="Z44" i="4"/>
  <c r="W44" i="4"/>
  <c r="W45" i="4" s="1"/>
  <c r="W77" i="4" s="1"/>
  <c r="V44" i="4"/>
  <c r="U44" i="4"/>
  <c r="Q44" i="4"/>
  <c r="R44" i="4"/>
  <c r="R45" i="4" s="1"/>
  <c r="R77" i="4" s="1"/>
  <c r="P44" i="4"/>
  <c r="M44" i="4"/>
  <c r="L44" i="4"/>
  <c r="K44" i="4"/>
  <c r="H44" i="4"/>
  <c r="G44" i="4"/>
  <c r="Z513" i="1"/>
  <c r="U513" i="1"/>
  <c r="P513" i="1"/>
  <c r="K513" i="1"/>
  <c r="F513" i="1"/>
  <c r="C513" i="1"/>
  <c r="Z512" i="1"/>
  <c r="U512" i="1"/>
  <c r="P512" i="1"/>
  <c r="K512" i="1"/>
  <c r="F512" i="1"/>
  <c r="C512" i="1"/>
  <c r="E256" i="1"/>
  <c r="G256" i="1"/>
  <c r="G40" i="4"/>
  <c r="E40" i="4" s="1"/>
  <c r="AD40" i="4" s="1"/>
  <c r="J256" i="1"/>
  <c r="L256" i="1"/>
  <c r="O256" i="1"/>
  <c r="Q256" i="1"/>
  <c r="T256" i="1"/>
  <c r="V256" i="1"/>
  <c r="Y256" i="1"/>
  <c r="AA256" i="1"/>
  <c r="Y44" i="4" l="1"/>
  <c r="E44" i="4"/>
  <c r="O44" i="4"/>
  <c r="J44" i="4"/>
  <c r="T44" i="4"/>
  <c r="D513" i="1"/>
  <c r="D512" i="1"/>
  <c r="Z83" i="1"/>
  <c r="U83" i="1"/>
  <c r="P83" i="1"/>
  <c r="K83" i="1"/>
  <c r="F83" i="1"/>
  <c r="Z82" i="1"/>
  <c r="U82" i="1"/>
  <c r="P82" i="1"/>
  <c r="K82" i="1"/>
  <c r="F82" i="1"/>
  <c r="Z81" i="1"/>
  <c r="U81" i="1"/>
  <c r="P81" i="1"/>
  <c r="K81" i="1"/>
  <c r="F81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5" i="1"/>
  <c r="C213" i="1"/>
  <c r="C216" i="1"/>
  <c r="C217" i="1"/>
  <c r="C218" i="1"/>
  <c r="C214" i="1"/>
  <c r="C219" i="1"/>
  <c r="C220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5" i="1"/>
  <c r="F206" i="1"/>
  <c r="F209" i="1"/>
  <c r="F210" i="1"/>
  <c r="F215" i="1"/>
  <c r="F216" i="1"/>
  <c r="F217" i="1"/>
  <c r="F218" i="1"/>
  <c r="F214" i="1"/>
  <c r="F219" i="1"/>
  <c r="P220" i="1"/>
  <c r="P219" i="1"/>
  <c r="P214" i="1"/>
  <c r="P218" i="1"/>
  <c r="P217" i="1"/>
  <c r="P216" i="1"/>
  <c r="P213" i="1"/>
  <c r="P215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K80" i="1"/>
  <c r="K79" i="1"/>
  <c r="K76" i="1"/>
  <c r="K77" i="1"/>
  <c r="K78" i="1"/>
  <c r="K72" i="1"/>
  <c r="K73" i="1"/>
  <c r="K74" i="1"/>
  <c r="K75" i="1"/>
  <c r="K71" i="1"/>
  <c r="K70" i="1"/>
  <c r="K69" i="1"/>
  <c r="AD44" i="4" l="1"/>
  <c r="D82" i="1"/>
  <c r="D217" i="1"/>
  <c r="D210" i="1"/>
  <c r="D203" i="1"/>
  <c r="D195" i="1"/>
  <c r="D83" i="1"/>
  <c r="D220" i="1"/>
  <c r="D212" i="1"/>
  <c r="D206" i="1"/>
  <c r="D199" i="1"/>
  <c r="D214" i="1"/>
  <c r="D81" i="1"/>
  <c r="D191" i="1"/>
  <c r="D187" i="1"/>
  <c r="D183" i="1"/>
  <c r="D179" i="1"/>
  <c r="D175" i="1"/>
  <c r="D171" i="1"/>
  <c r="D167" i="1"/>
  <c r="D163" i="1"/>
  <c r="D159" i="1"/>
  <c r="D155" i="1"/>
  <c r="D219" i="1"/>
  <c r="D216" i="1"/>
  <c r="D209" i="1"/>
  <c r="D205" i="1"/>
  <c r="D202" i="1"/>
  <c r="D198" i="1"/>
  <c r="D194" i="1"/>
  <c r="D190" i="1"/>
  <c r="D186" i="1"/>
  <c r="D182" i="1"/>
  <c r="D178" i="1"/>
  <c r="D174" i="1"/>
  <c r="D170" i="1"/>
  <c r="D166" i="1"/>
  <c r="D162" i="1"/>
  <c r="D158" i="1"/>
  <c r="D154" i="1"/>
  <c r="D213" i="1"/>
  <c r="D208" i="1"/>
  <c r="D204" i="1"/>
  <c r="D201" i="1"/>
  <c r="D197" i="1"/>
  <c r="D193" i="1"/>
  <c r="D189" i="1"/>
  <c r="D185" i="1"/>
  <c r="D181" i="1"/>
  <c r="D177" i="1"/>
  <c r="D173" i="1"/>
  <c r="D169" i="1"/>
  <c r="D165" i="1"/>
  <c r="D161" i="1"/>
  <c r="D157" i="1"/>
  <c r="D153" i="1"/>
  <c r="D218" i="1"/>
  <c r="D215" i="1"/>
  <c r="D211" i="1"/>
  <c r="D207" i="1"/>
  <c r="D200" i="1"/>
  <c r="D196" i="1"/>
  <c r="D192" i="1"/>
  <c r="D188" i="1"/>
  <c r="D184" i="1"/>
  <c r="D180" i="1"/>
  <c r="D176" i="1"/>
  <c r="D172" i="1"/>
  <c r="D168" i="1"/>
  <c r="D164" i="1"/>
  <c r="D160" i="1"/>
  <c r="D156" i="1"/>
  <c r="Z80" i="1"/>
  <c r="U80" i="1"/>
  <c r="P80" i="1"/>
  <c r="F80" i="1"/>
  <c r="Z79" i="1"/>
  <c r="U79" i="1"/>
  <c r="P79" i="1"/>
  <c r="F79" i="1"/>
  <c r="D80" i="1" l="1"/>
  <c r="D79" i="1"/>
  <c r="C44" i="1"/>
  <c r="C43" i="1" l="1"/>
  <c r="P43" i="1"/>
  <c r="K43" i="1"/>
  <c r="F43" i="1"/>
  <c r="F42" i="1"/>
  <c r="K42" i="1"/>
  <c r="P42" i="1"/>
  <c r="H39" i="4"/>
  <c r="M39" i="4"/>
  <c r="D43" i="1" l="1"/>
  <c r="D42" i="1"/>
  <c r="C42" i="1"/>
  <c r="C228" i="1"/>
  <c r="F228" i="1"/>
  <c r="P228" i="1"/>
  <c r="U228" i="1"/>
  <c r="Z228" i="1"/>
  <c r="T23" i="4"/>
  <c r="Y23" i="4"/>
  <c r="AD23" i="4" l="1"/>
  <c r="D228" i="1"/>
  <c r="R263" i="5"/>
  <c r="W263" i="5"/>
  <c r="X92" i="5"/>
  <c r="S92" i="5"/>
  <c r="Y25" i="4"/>
  <c r="T25" i="4"/>
  <c r="Z20" i="4"/>
  <c r="U20" i="4"/>
  <c r="M92" i="5"/>
  <c r="H92" i="5"/>
  <c r="C92" i="5"/>
  <c r="P20" i="4"/>
  <c r="K20" i="4"/>
  <c r="F20" i="4"/>
  <c r="O13" i="1"/>
  <c r="R92" i="5" l="1"/>
  <c r="W92" i="5"/>
  <c r="AB92" i="5" s="1"/>
  <c r="AB263" i="5"/>
  <c r="AD25" i="4"/>
  <c r="AA41" i="1"/>
  <c r="V41" i="1"/>
  <c r="Q41" i="1"/>
  <c r="P41" i="1" s="1"/>
  <c r="L41" i="1"/>
  <c r="K41" i="1" s="1"/>
  <c r="F41" i="1"/>
  <c r="C41" i="1"/>
  <c r="F40" i="1"/>
  <c r="D41" i="1" l="1"/>
  <c r="Z67" i="4"/>
  <c r="Z66" i="4"/>
  <c r="U67" i="4"/>
  <c r="U66" i="4"/>
  <c r="P67" i="4"/>
  <c r="P66" i="4"/>
  <c r="K67" i="4"/>
  <c r="K66" i="4"/>
  <c r="P99" i="1" l="1"/>
  <c r="U99" i="1"/>
  <c r="K99" i="1"/>
  <c r="C99" i="1"/>
  <c r="D99" i="1" l="1"/>
  <c r="S53" i="1" l="1"/>
  <c r="M13" i="1"/>
  <c r="S21" i="1"/>
  <c r="O57" i="1"/>
  <c r="R53" i="1"/>
  <c r="U426" i="1"/>
  <c r="U427" i="1"/>
  <c r="U428" i="1"/>
  <c r="U429" i="1"/>
  <c r="O430" i="1"/>
  <c r="F255" i="1" l="1"/>
  <c r="C229" i="1"/>
  <c r="P14" i="1" l="1"/>
  <c r="P13" i="1" s="1"/>
  <c r="S13" i="1"/>
  <c r="Z255" i="1" l="1"/>
  <c r="U255" i="1"/>
  <c r="P255" i="1"/>
  <c r="C255" i="1"/>
  <c r="D255" i="1" l="1"/>
  <c r="C40" i="1"/>
  <c r="C38" i="1"/>
  <c r="C37" i="1" s="1"/>
  <c r="E37" i="1"/>
  <c r="Z152" i="1" l="1"/>
  <c r="U152" i="1"/>
  <c r="P152" i="1"/>
  <c r="K152" i="1"/>
  <c r="F152" i="1"/>
  <c r="C152" i="1"/>
  <c r="Z151" i="1"/>
  <c r="U151" i="1"/>
  <c r="P151" i="1"/>
  <c r="K151" i="1"/>
  <c r="F151" i="1"/>
  <c r="C151" i="1"/>
  <c r="Z78" i="1"/>
  <c r="U78" i="1"/>
  <c r="P78" i="1"/>
  <c r="F78" i="1"/>
  <c r="Z77" i="1"/>
  <c r="U77" i="1"/>
  <c r="P77" i="1"/>
  <c r="Z76" i="1"/>
  <c r="U76" i="1"/>
  <c r="P76" i="1"/>
  <c r="F76" i="1"/>
  <c r="Z75" i="1"/>
  <c r="U75" i="1"/>
  <c r="P75" i="1"/>
  <c r="F75" i="1"/>
  <c r="D151" i="1" l="1"/>
  <c r="D77" i="1"/>
  <c r="D152" i="1"/>
  <c r="D76" i="1"/>
  <c r="D78" i="1"/>
  <c r="D75" i="1"/>
  <c r="F72" i="1"/>
  <c r="AC71" i="4" l="1"/>
  <c r="AC81" i="4" s="1"/>
  <c r="AB71" i="4"/>
  <c r="AB81" i="4" s="1"/>
  <c r="AA71" i="4"/>
  <c r="AA81" i="4" s="1"/>
  <c r="Z71" i="4"/>
  <c r="Z81" i="4" s="1"/>
  <c r="X71" i="4"/>
  <c r="X81" i="4" s="1"/>
  <c r="W71" i="4"/>
  <c r="W81" i="4" s="1"/>
  <c r="V71" i="4"/>
  <c r="V81" i="4" s="1"/>
  <c r="U71" i="4"/>
  <c r="U81" i="4" s="1"/>
  <c r="S71" i="4"/>
  <c r="S81" i="4" s="1"/>
  <c r="R71" i="4"/>
  <c r="R81" i="4" s="1"/>
  <c r="Q71" i="4"/>
  <c r="Q81" i="4" s="1"/>
  <c r="N71" i="4"/>
  <c r="N81" i="4" s="1"/>
  <c r="M71" i="4"/>
  <c r="M81" i="4" s="1"/>
  <c r="L71" i="4"/>
  <c r="L81" i="4" s="1"/>
  <c r="I71" i="4"/>
  <c r="I81" i="4" s="1"/>
  <c r="H71" i="4"/>
  <c r="H81" i="4" s="1"/>
  <c r="AG81" i="4" s="1"/>
  <c r="G71" i="4"/>
  <c r="G81" i="4" s="1"/>
  <c r="AH70" i="4"/>
  <c r="AG70" i="4"/>
  <c r="AF70" i="4"/>
  <c r="AE70" i="4"/>
  <c r="Y69" i="4"/>
  <c r="T69" i="4"/>
  <c r="O69" i="4"/>
  <c r="J69" i="4"/>
  <c r="E69" i="4"/>
  <c r="Y67" i="4"/>
  <c r="T67" i="4"/>
  <c r="P71" i="4"/>
  <c r="P81" i="4" s="1"/>
  <c r="K71" i="4"/>
  <c r="K81" i="4" s="1"/>
  <c r="Y66" i="4"/>
  <c r="T66" i="4"/>
  <c r="O66" i="4"/>
  <c r="J66" i="4"/>
  <c r="Y62" i="4"/>
  <c r="T62" i="4"/>
  <c r="O62" i="4"/>
  <c r="J62" i="4"/>
  <c r="E62" i="4"/>
  <c r="Y55" i="4"/>
  <c r="T55" i="4"/>
  <c r="O55" i="4"/>
  <c r="J55" i="4"/>
  <c r="E55" i="4"/>
  <c r="Y54" i="4"/>
  <c r="T54" i="4"/>
  <c r="O54" i="4"/>
  <c r="J54" i="4"/>
  <c r="E54" i="4"/>
  <c r="AH53" i="4"/>
  <c r="AG53" i="4"/>
  <c r="AF53" i="4"/>
  <c r="U53" i="4"/>
  <c r="T53" i="4" s="1"/>
  <c r="O53" i="4"/>
  <c r="J53" i="4"/>
  <c r="E53" i="4"/>
  <c r="AH51" i="4"/>
  <c r="AG51" i="4"/>
  <c r="AF51" i="4"/>
  <c r="U51" i="4"/>
  <c r="T51" i="4" s="1"/>
  <c r="O51" i="4"/>
  <c r="J51" i="4"/>
  <c r="AH50" i="4"/>
  <c r="AG50" i="4"/>
  <c r="AF50" i="4"/>
  <c r="O50" i="4"/>
  <c r="J50" i="4"/>
  <c r="E50" i="4"/>
  <c r="H38" i="4"/>
  <c r="H36" i="4"/>
  <c r="AC30" i="4"/>
  <c r="AC75" i="4" s="1"/>
  <c r="AB30" i="4"/>
  <c r="AB75" i="4" s="1"/>
  <c r="AA30" i="4"/>
  <c r="AA75" i="4" s="1"/>
  <c r="X30" i="4"/>
  <c r="X75" i="4" s="1"/>
  <c r="W30" i="4"/>
  <c r="W75" i="4" s="1"/>
  <c r="V30" i="4"/>
  <c r="V75" i="4" s="1"/>
  <c r="S30" i="4"/>
  <c r="S75" i="4" s="1"/>
  <c r="R30" i="4"/>
  <c r="R75" i="4" s="1"/>
  <c r="Q30" i="4"/>
  <c r="Q75" i="4" s="1"/>
  <c r="P30" i="4"/>
  <c r="P75" i="4" s="1"/>
  <c r="N30" i="4"/>
  <c r="N75" i="4" s="1"/>
  <c r="M30" i="4"/>
  <c r="M75" i="4" s="1"/>
  <c r="L30" i="4"/>
  <c r="L75" i="4" s="1"/>
  <c r="K30" i="4"/>
  <c r="K75" i="4" s="1"/>
  <c r="I30" i="4"/>
  <c r="I75" i="4" s="1"/>
  <c r="H30" i="4"/>
  <c r="H75" i="4" s="1"/>
  <c r="G30" i="4"/>
  <c r="G75" i="4" s="1"/>
  <c r="AF75" i="4" s="1"/>
  <c r="Z29" i="4"/>
  <c r="Z30" i="4" s="1"/>
  <c r="Z75" i="4" s="1"/>
  <c r="U29" i="4"/>
  <c r="U30" i="4" s="1"/>
  <c r="U75" i="4" s="1"/>
  <c r="O29" i="4"/>
  <c r="J29" i="4"/>
  <c r="E29" i="4"/>
  <c r="Y27" i="4"/>
  <c r="T27" i="4"/>
  <c r="O27" i="4"/>
  <c r="J27" i="4"/>
  <c r="E27" i="4"/>
  <c r="Y26" i="4"/>
  <c r="T26" i="4"/>
  <c r="O26" i="4"/>
  <c r="J26" i="4"/>
  <c r="E26" i="4"/>
  <c r="O24" i="4"/>
  <c r="J24" i="4"/>
  <c r="E24" i="4"/>
  <c r="O22" i="4"/>
  <c r="J22" i="4"/>
  <c r="E22" i="4"/>
  <c r="O21" i="4"/>
  <c r="J21" i="4"/>
  <c r="E21" i="4"/>
  <c r="Y20" i="4"/>
  <c r="T20" i="4"/>
  <c r="O20" i="4"/>
  <c r="J20" i="4"/>
  <c r="E20" i="4"/>
  <c r="Y18" i="4"/>
  <c r="O18" i="4"/>
  <c r="J18" i="4"/>
  <c r="E18" i="4"/>
  <c r="O17" i="4"/>
  <c r="J17" i="4"/>
  <c r="F30" i="4"/>
  <c r="F75" i="4" s="1"/>
  <c r="AE75" i="4" s="1"/>
  <c r="E16" i="4"/>
  <c r="AD16" i="4" s="1"/>
  <c r="O15" i="4"/>
  <c r="J15" i="4"/>
  <c r="E15" i="4"/>
  <c r="O13" i="4"/>
  <c r="J13" i="4"/>
  <c r="E13" i="4"/>
  <c r="Z507" i="1"/>
  <c r="U507" i="1"/>
  <c r="P507" i="1"/>
  <c r="K507" i="1"/>
  <c r="F507" i="1"/>
  <c r="C507" i="1"/>
  <c r="Z506" i="1"/>
  <c r="Y506" i="1"/>
  <c r="C506" i="1" s="1"/>
  <c r="U506" i="1"/>
  <c r="P506" i="1"/>
  <c r="K506" i="1"/>
  <c r="F506" i="1"/>
  <c r="Z505" i="1"/>
  <c r="Y505" i="1"/>
  <c r="C505" i="1" s="1"/>
  <c r="U505" i="1"/>
  <c r="P505" i="1"/>
  <c r="K505" i="1"/>
  <c r="F505" i="1"/>
  <c r="Z504" i="1"/>
  <c r="U504" i="1"/>
  <c r="P504" i="1"/>
  <c r="K504" i="1"/>
  <c r="F504" i="1"/>
  <c r="C504" i="1"/>
  <c r="Z503" i="1"/>
  <c r="Y503" i="1"/>
  <c r="C503" i="1" s="1"/>
  <c r="U503" i="1"/>
  <c r="P503" i="1"/>
  <c r="K503" i="1"/>
  <c r="F503" i="1"/>
  <c r="Z502" i="1"/>
  <c r="U502" i="1"/>
  <c r="P502" i="1"/>
  <c r="K502" i="1"/>
  <c r="F502" i="1"/>
  <c r="C502" i="1"/>
  <c r="Z501" i="1"/>
  <c r="U501" i="1"/>
  <c r="P501" i="1"/>
  <c r="K501" i="1"/>
  <c r="F501" i="1"/>
  <c r="C501" i="1"/>
  <c r="Z500" i="1"/>
  <c r="U500" i="1"/>
  <c r="P500" i="1"/>
  <c r="K500" i="1"/>
  <c r="F500" i="1"/>
  <c r="C500" i="1"/>
  <c r="Z499" i="1"/>
  <c r="U499" i="1"/>
  <c r="P499" i="1"/>
  <c r="K499" i="1"/>
  <c r="F499" i="1"/>
  <c r="C499" i="1"/>
  <c r="Z498" i="1"/>
  <c r="U498" i="1"/>
  <c r="P498" i="1"/>
  <c r="K498" i="1"/>
  <c r="F498" i="1"/>
  <c r="C498" i="1"/>
  <c r="Y497" i="1"/>
  <c r="U497" i="1"/>
  <c r="P497" i="1"/>
  <c r="K497" i="1"/>
  <c r="F497" i="1"/>
  <c r="Z496" i="1"/>
  <c r="Y496" i="1"/>
  <c r="C496" i="1" s="1"/>
  <c r="U496" i="1"/>
  <c r="P496" i="1"/>
  <c r="K496" i="1"/>
  <c r="F496" i="1"/>
  <c r="Z495" i="1"/>
  <c r="U495" i="1"/>
  <c r="P495" i="1"/>
  <c r="K495" i="1"/>
  <c r="F495" i="1"/>
  <c r="C495" i="1"/>
  <c r="Z494" i="1"/>
  <c r="U494" i="1"/>
  <c r="P494" i="1"/>
  <c r="K494" i="1"/>
  <c r="F494" i="1"/>
  <c r="C494" i="1"/>
  <c r="Z493" i="1"/>
  <c r="U493" i="1"/>
  <c r="P493" i="1"/>
  <c r="K493" i="1"/>
  <c r="F493" i="1"/>
  <c r="C493" i="1"/>
  <c r="Z492" i="1"/>
  <c r="U492" i="1"/>
  <c r="P492" i="1"/>
  <c r="O488" i="1"/>
  <c r="K492" i="1"/>
  <c r="F492" i="1"/>
  <c r="Z491" i="1"/>
  <c r="U491" i="1"/>
  <c r="P491" i="1"/>
  <c r="K491" i="1"/>
  <c r="F491" i="1"/>
  <c r="C491" i="1"/>
  <c r="Z490" i="1"/>
  <c r="U490" i="1"/>
  <c r="P490" i="1"/>
  <c r="K490" i="1"/>
  <c r="F490" i="1"/>
  <c r="C490" i="1"/>
  <c r="Z489" i="1"/>
  <c r="U489" i="1"/>
  <c r="P489" i="1"/>
  <c r="K489" i="1"/>
  <c r="F489" i="1"/>
  <c r="C489" i="1"/>
  <c r="AB488" i="1"/>
  <c r="AA488" i="1"/>
  <c r="X488" i="1"/>
  <c r="W488" i="1"/>
  <c r="V488" i="1"/>
  <c r="T488" i="1"/>
  <c r="R488" i="1"/>
  <c r="Q488" i="1"/>
  <c r="N488" i="1"/>
  <c r="M488" i="1"/>
  <c r="L488" i="1"/>
  <c r="J488" i="1"/>
  <c r="I488" i="1"/>
  <c r="H488" i="1"/>
  <c r="G488" i="1"/>
  <c r="E488" i="1"/>
  <c r="Z487" i="1"/>
  <c r="U487" i="1"/>
  <c r="P487" i="1"/>
  <c r="K487" i="1"/>
  <c r="F487" i="1"/>
  <c r="C487" i="1"/>
  <c r="Z486" i="1"/>
  <c r="U486" i="1"/>
  <c r="P486" i="1"/>
  <c r="K486" i="1"/>
  <c r="F486" i="1"/>
  <c r="C486" i="1"/>
  <c r="Z485" i="1"/>
  <c r="U485" i="1"/>
  <c r="P485" i="1"/>
  <c r="K485" i="1"/>
  <c r="F485" i="1"/>
  <c r="C485" i="1"/>
  <c r="Z484" i="1"/>
  <c r="U484" i="1"/>
  <c r="P484" i="1"/>
  <c r="C484" i="1"/>
  <c r="K484" i="1"/>
  <c r="F484" i="1"/>
  <c r="Z483" i="1"/>
  <c r="U483" i="1"/>
  <c r="P483" i="1"/>
  <c r="K483" i="1"/>
  <c r="F483" i="1"/>
  <c r="C483" i="1"/>
  <c r="Z482" i="1"/>
  <c r="U482" i="1"/>
  <c r="P482" i="1"/>
  <c r="K482" i="1"/>
  <c r="F482" i="1"/>
  <c r="C482" i="1"/>
  <c r="Z481" i="1"/>
  <c r="U481" i="1"/>
  <c r="P481" i="1"/>
  <c r="C481" i="1"/>
  <c r="K481" i="1"/>
  <c r="F481" i="1"/>
  <c r="Z480" i="1"/>
  <c r="U480" i="1"/>
  <c r="P480" i="1"/>
  <c r="C480" i="1"/>
  <c r="K480" i="1"/>
  <c r="F480" i="1"/>
  <c r="Z479" i="1"/>
  <c r="U479" i="1"/>
  <c r="P479" i="1"/>
  <c r="C479" i="1"/>
  <c r="K479" i="1"/>
  <c r="F479" i="1"/>
  <c r="Z478" i="1"/>
  <c r="U478" i="1"/>
  <c r="P478" i="1"/>
  <c r="C478" i="1"/>
  <c r="K478" i="1"/>
  <c r="F478" i="1"/>
  <c r="Z477" i="1"/>
  <c r="U477" i="1"/>
  <c r="P477" i="1"/>
  <c r="C477" i="1"/>
  <c r="K477" i="1"/>
  <c r="F477" i="1"/>
  <c r="Z476" i="1"/>
  <c r="U476" i="1"/>
  <c r="P476" i="1"/>
  <c r="K476" i="1"/>
  <c r="F476" i="1"/>
  <c r="C476" i="1"/>
  <c r="Z475" i="1"/>
  <c r="U475" i="1"/>
  <c r="P475" i="1"/>
  <c r="K475" i="1"/>
  <c r="F475" i="1"/>
  <c r="C475" i="1"/>
  <c r="Z474" i="1"/>
  <c r="U474" i="1"/>
  <c r="P474" i="1"/>
  <c r="K474" i="1"/>
  <c r="F474" i="1"/>
  <c r="C474" i="1"/>
  <c r="Z473" i="1"/>
  <c r="U473" i="1"/>
  <c r="P473" i="1"/>
  <c r="K473" i="1"/>
  <c r="F473" i="1"/>
  <c r="C473" i="1"/>
  <c r="Z472" i="1"/>
  <c r="U472" i="1"/>
  <c r="P472" i="1"/>
  <c r="K472" i="1"/>
  <c r="F472" i="1"/>
  <c r="C472" i="1"/>
  <c r="Z471" i="1"/>
  <c r="U471" i="1"/>
  <c r="P471" i="1"/>
  <c r="C471" i="1"/>
  <c r="K471" i="1"/>
  <c r="F471" i="1"/>
  <c r="Z470" i="1"/>
  <c r="U470" i="1"/>
  <c r="P470" i="1"/>
  <c r="K470" i="1"/>
  <c r="F470" i="1"/>
  <c r="C470" i="1"/>
  <c r="Z469" i="1"/>
  <c r="U469" i="1"/>
  <c r="P469" i="1"/>
  <c r="C469" i="1"/>
  <c r="K469" i="1"/>
  <c r="F469" i="1"/>
  <c r="Z468" i="1"/>
  <c r="U468" i="1"/>
  <c r="P468" i="1"/>
  <c r="K468" i="1"/>
  <c r="F468" i="1"/>
  <c r="C468" i="1"/>
  <c r="Z467" i="1"/>
  <c r="U467" i="1"/>
  <c r="P467" i="1"/>
  <c r="K467" i="1"/>
  <c r="F467" i="1"/>
  <c r="C467" i="1"/>
  <c r="Z466" i="1"/>
  <c r="U466" i="1"/>
  <c r="P466" i="1"/>
  <c r="C466" i="1"/>
  <c r="K466" i="1"/>
  <c r="F466" i="1"/>
  <c r="Z465" i="1"/>
  <c r="U465" i="1"/>
  <c r="P465" i="1"/>
  <c r="K465" i="1"/>
  <c r="F465" i="1"/>
  <c r="C465" i="1"/>
  <c r="Z464" i="1"/>
  <c r="U464" i="1"/>
  <c r="P464" i="1"/>
  <c r="C464" i="1"/>
  <c r="K464" i="1"/>
  <c r="F464" i="1"/>
  <c r="Z463" i="1"/>
  <c r="U463" i="1"/>
  <c r="P463" i="1"/>
  <c r="K463" i="1"/>
  <c r="F463" i="1"/>
  <c r="C463" i="1"/>
  <c r="Z462" i="1"/>
  <c r="U462" i="1"/>
  <c r="P462" i="1"/>
  <c r="K462" i="1"/>
  <c r="F462" i="1"/>
  <c r="C462" i="1"/>
  <c r="Z461" i="1"/>
  <c r="U461" i="1"/>
  <c r="P461" i="1"/>
  <c r="K461" i="1"/>
  <c r="F461" i="1"/>
  <c r="C461" i="1"/>
  <c r="Z460" i="1"/>
  <c r="U460" i="1"/>
  <c r="P460" i="1"/>
  <c r="K460" i="1"/>
  <c r="F460" i="1"/>
  <c r="C460" i="1"/>
  <c r="Z459" i="1"/>
  <c r="U459" i="1"/>
  <c r="P459" i="1"/>
  <c r="C459" i="1"/>
  <c r="K459" i="1"/>
  <c r="F459" i="1"/>
  <c r="Z458" i="1"/>
  <c r="U458" i="1"/>
  <c r="P458" i="1"/>
  <c r="C458" i="1"/>
  <c r="K458" i="1"/>
  <c r="F458" i="1"/>
  <c r="Z457" i="1"/>
  <c r="U457" i="1"/>
  <c r="P457" i="1"/>
  <c r="C457" i="1"/>
  <c r="K457" i="1"/>
  <c r="F457" i="1"/>
  <c r="Z456" i="1"/>
  <c r="U456" i="1"/>
  <c r="P456" i="1"/>
  <c r="C456" i="1"/>
  <c r="K456" i="1"/>
  <c r="F456" i="1"/>
  <c r="Z455" i="1"/>
  <c r="U455" i="1"/>
  <c r="P455" i="1"/>
  <c r="K455" i="1"/>
  <c r="F455" i="1"/>
  <c r="C455" i="1"/>
  <c r="Z454" i="1"/>
  <c r="U454" i="1"/>
  <c r="P454" i="1"/>
  <c r="K454" i="1"/>
  <c r="F454" i="1"/>
  <c r="C454" i="1"/>
  <c r="Z453" i="1"/>
  <c r="U453" i="1"/>
  <c r="P453" i="1"/>
  <c r="K453" i="1"/>
  <c r="F453" i="1"/>
  <c r="C453" i="1"/>
  <c r="Z452" i="1"/>
  <c r="U452" i="1"/>
  <c r="P452" i="1"/>
  <c r="K452" i="1"/>
  <c r="F452" i="1"/>
  <c r="C452" i="1"/>
  <c r="Z451" i="1"/>
  <c r="U451" i="1"/>
  <c r="P451" i="1"/>
  <c r="C451" i="1"/>
  <c r="K451" i="1"/>
  <c r="F451" i="1"/>
  <c r="Z450" i="1"/>
  <c r="U450" i="1"/>
  <c r="P450" i="1"/>
  <c r="K450" i="1"/>
  <c r="F450" i="1"/>
  <c r="C450" i="1"/>
  <c r="Z449" i="1"/>
  <c r="U449" i="1"/>
  <c r="P449" i="1"/>
  <c r="K449" i="1"/>
  <c r="F449" i="1"/>
  <c r="C449" i="1"/>
  <c r="Z448" i="1"/>
  <c r="U448" i="1"/>
  <c r="P448" i="1"/>
  <c r="K448" i="1"/>
  <c r="F448" i="1"/>
  <c r="C448" i="1"/>
  <c r="Z447" i="1"/>
  <c r="U447" i="1"/>
  <c r="P447" i="1"/>
  <c r="K447" i="1"/>
  <c r="F447" i="1"/>
  <c r="C447" i="1"/>
  <c r="Z446" i="1"/>
  <c r="U446" i="1"/>
  <c r="P446" i="1"/>
  <c r="K446" i="1"/>
  <c r="F446" i="1"/>
  <c r="Z445" i="1"/>
  <c r="U445" i="1"/>
  <c r="P445" i="1"/>
  <c r="K445" i="1"/>
  <c r="F445" i="1"/>
  <c r="C445" i="1"/>
  <c r="Z444" i="1"/>
  <c r="U444" i="1"/>
  <c r="P444" i="1"/>
  <c r="K444" i="1"/>
  <c r="F444" i="1"/>
  <c r="C444" i="1"/>
  <c r="Z443" i="1"/>
  <c r="U443" i="1"/>
  <c r="P443" i="1"/>
  <c r="K443" i="1"/>
  <c r="F443" i="1"/>
  <c r="C443" i="1"/>
  <c r="Z442" i="1"/>
  <c r="U442" i="1"/>
  <c r="P442" i="1"/>
  <c r="K442" i="1"/>
  <c r="F442" i="1"/>
  <c r="C442" i="1"/>
  <c r="Z441" i="1"/>
  <c r="U441" i="1"/>
  <c r="P441" i="1"/>
  <c r="K441" i="1"/>
  <c r="F441" i="1"/>
  <c r="C441" i="1"/>
  <c r="Z440" i="1"/>
  <c r="U440" i="1"/>
  <c r="P440" i="1"/>
  <c r="K440" i="1"/>
  <c r="F440" i="1"/>
  <c r="C440" i="1"/>
  <c r="Z439" i="1"/>
  <c r="U439" i="1"/>
  <c r="P439" i="1"/>
  <c r="K439" i="1"/>
  <c r="F439" i="1"/>
  <c r="C439" i="1"/>
  <c r="Z438" i="1"/>
  <c r="U438" i="1"/>
  <c r="P438" i="1"/>
  <c r="K438" i="1"/>
  <c r="F438" i="1"/>
  <c r="C438" i="1"/>
  <c r="AC437" i="1"/>
  <c r="AB437" i="1"/>
  <c r="AA437" i="1"/>
  <c r="Y437" i="1"/>
  <c r="X437" i="1"/>
  <c r="W437" i="1"/>
  <c r="V437" i="1"/>
  <c r="T437" i="1"/>
  <c r="R437" i="1"/>
  <c r="Q437" i="1"/>
  <c r="N437" i="1"/>
  <c r="M437" i="1"/>
  <c r="L437" i="1"/>
  <c r="J437" i="1"/>
  <c r="I437" i="1"/>
  <c r="H437" i="1"/>
  <c r="G437" i="1"/>
  <c r="E437" i="1"/>
  <c r="Z436" i="1"/>
  <c r="U436" i="1"/>
  <c r="P436" i="1"/>
  <c r="K436" i="1"/>
  <c r="F436" i="1"/>
  <c r="C436" i="1"/>
  <c r="Z435" i="1"/>
  <c r="U435" i="1"/>
  <c r="P435" i="1"/>
  <c r="K435" i="1"/>
  <c r="F435" i="1"/>
  <c r="C435" i="1"/>
  <c r="Z434" i="1"/>
  <c r="U434" i="1"/>
  <c r="P434" i="1"/>
  <c r="K434" i="1"/>
  <c r="F434" i="1"/>
  <c r="C434" i="1"/>
  <c r="Z433" i="1"/>
  <c r="U433" i="1"/>
  <c r="P433" i="1"/>
  <c r="K433" i="1"/>
  <c r="F433" i="1"/>
  <c r="C433" i="1"/>
  <c r="Z432" i="1"/>
  <c r="U432" i="1"/>
  <c r="P432" i="1"/>
  <c r="K432" i="1"/>
  <c r="F432" i="1"/>
  <c r="C432" i="1"/>
  <c r="Z431" i="1"/>
  <c r="U431" i="1"/>
  <c r="P431" i="1"/>
  <c r="K431" i="1"/>
  <c r="F431" i="1"/>
  <c r="C431" i="1"/>
  <c r="AC430" i="1"/>
  <c r="AB430" i="1"/>
  <c r="AA430" i="1"/>
  <c r="Y430" i="1"/>
  <c r="X430" i="1"/>
  <c r="W430" i="1"/>
  <c r="V430" i="1"/>
  <c r="T430" i="1"/>
  <c r="S430" i="1"/>
  <c r="R430" i="1"/>
  <c r="Q430" i="1"/>
  <c r="N430" i="1"/>
  <c r="M430" i="1"/>
  <c r="L430" i="1"/>
  <c r="J430" i="1"/>
  <c r="I430" i="1"/>
  <c r="H430" i="1"/>
  <c r="G430" i="1"/>
  <c r="E430" i="1"/>
  <c r="Z429" i="1"/>
  <c r="P429" i="1"/>
  <c r="K429" i="1"/>
  <c r="F429" i="1"/>
  <c r="C429" i="1"/>
  <c r="Z428" i="1"/>
  <c r="P428" i="1"/>
  <c r="K428" i="1"/>
  <c r="F428" i="1"/>
  <c r="C428" i="1"/>
  <c r="Z427" i="1"/>
  <c r="P427" i="1"/>
  <c r="K427" i="1"/>
  <c r="F427" i="1"/>
  <c r="C427" i="1"/>
  <c r="Z426" i="1"/>
  <c r="P426" i="1"/>
  <c r="K426" i="1"/>
  <c r="F426" i="1"/>
  <c r="C426" i="1"/>
  <c r="Z425" i="1"/>
  <c r="U425" i="1"/>
  <c r="T425" i="1"/>
  <c r="P425" i="1"/>
  <c r="K425" i="1"/>
  <c r="F425" i="1"/>
  <c r="AC424" i="1"/>
  <c r="AB424" i="1"/>
  <c r="AA424" i="1"/>
  <c r="Y424" i="1"/>
  <c r="W424" i="1"/>
  <c r="V424" i="1"/>
  <c r="S424" i="1"/>
  <c r="R424" i="1"/>
  <c r="Q424" i="1"/>
  <c r="O424" i="1"/>
  <c r="N424" i="1"/>
  <c r="M424" i="1"/>
  <c r="L424" i="1"/>
  <c r="J424" i="1"/>
  <c r="I424" i="1"/>
  <c r="H424" i="1"/>
  <c r="G424" i="1"/>
  <c r="E424" i="1"/>
  <c r="K423" i="1"/>
  <c r="Z419" i="1"/>
  <c r="U419" i="1"/>
  <c r="P419" i="1"/>
  <c r="K419" i="1"/>
  <c r="F419" i="1"/>
  <c r="C419" i="1"/>
  <c r="Z418" i="1"/>
  <c r="U418" i="1"/>
  <c r="P418" i="1"/>
  <c r="K418" i="1"/>
  <c r="F418" i="1"/>
  <c r="C418" i="1"/>
  <c r="Z417" i="1"/>
  <c r="U417" i="1"/>
  <c r="P417" i="1"/>
  <c r="K417" i="1"/>
  <c r="F417" i="1"/>
  <c r="C417" i="1"/>
  <c r="Z416" i="1"/>
  <c r="U416" i="1"/>
  <c r="P416" i="1"/>
  <c r="K416" i="1"/>
  <c r="F416" i="1"/>
  <c r="C416" i="1"/>
  <c r="Z415" i="1"/>
  <c r="U415" i="1"/>
  <c r="P415" i="1"/>
  <c r="K415" i="1"/>
  <c r="F415" i="1"/>
  <c r="C415" i="1"/>
  <c r="Z414" i="1"/>
  <c r="U414" i="1"/>
  <c r="P414" i="1"/>
  <c r="K414" i="1"/>
  <c r="F414" i="1"/>
  <c r="C414" i="1"/>
  <c r="Z413" i="1"/>
  <c r="U413" i="1"/>
  <c r="P413" i="1"/>
  <c r="K413" i="1"/>
  <c r="F413" i="1"/>
  <c r="C413" i="1"/>
  <c r="Z412" i="1"/>
  <c r="U412" i="1"/>
  <c r="P412" i="1"/>
  <c r="K412" i="1"/>
  <c r="F412" i="1"/>
  <c r="C412" i="1"/>
  <c r="Z411" i="1"/>
  <c r="U411" i="1"/>
  <c r="P411" i="1"/>
  <c r="K411" i="1"/>
  <c r="F411" i="1"/>
  <c r="C411" i="1"/>
  <c r="Z410" i="1"/>
  <c r="U410" i="1"/>
  <c r="P410" i="1"/>
  <c r="K410" i="1"/>
  <c r="F410" i="1"/>
  <c r="C410" i="1"/>
  <c r="Z409" i="1"/>
  <c r="U409" i="1"/>
  <c r="P409" i="1"/>
  <c r="K409" i="1"/>
  <c r="F409" i="1"/>
  <c r="C409" i="1"/>
  <c r="Z408" i="1"/>
  <c r="U408" i="1"/>
  <c r="P408" i="1"/>
  <c r="K408" i="1"/>
  <c r="F408" i="1"/>
  <c r="C408" i="1"/>
  <c r="Z407" i="1"/>
  <c r="U407" i="1"/>
  <c r="P407" i="1"/>
  <c r="K407" i="1"/>
  <c r="F407" i="1"/>
  <c r="C407" i="1"/>
  <c r="Z406" i="1"/>
  <c r="U406" i="1"/>
  <c r="P406" i="1"/>
  <c r="K406" i="1"/>
  <c r="F406" i="1"/>
  <c r="C406" i="1"/>
  <c r="Z405" i="1"/>
  <c r="U405" i="1"/>
  <c r="P405" i="1"/>
  <c r="K405" i="1"/>
  <c r="F405" i="1"/>
  <c r="C405" i="1"/>
  <c r="Z404" i="1"/>
  <c r="U404" i="1"/>
  <c r="P404" i="1"/>
  <c r="K404" i="1"/>
  <c r="F404" i="1"/>
  <c r="C404" i="1"/>
  <c r="Z403" i="1"/>
  <c r="U403" i="1"/>
  <c r="P403" i="1"/>
  <c r="K403" i="1"/>
  <c r="F403" i="1"/>
  <c r="C403" i="1"/>
  <c r="Z402" i="1"/>
  <c r="U402" i="1"/>
  <c r="P402" i="1"/>
  <c r="K402" i="1"/>
  <c r="F402" i="1"/>
  <c r="C402" i="1"/>
  <c r="Z401" i="1"/>
  <c r="U401" i="1"/>
  <c r="P401" i="1"/>
  <c r="K401" i="1"/>
  <c r="F401" i="1"/>
  <c r="C401" i="1"/>
  <c r="Z400" i="1"/>
  <c r="U400" i="1"/>
  <c r="P400" i="1"/>
  <c r="K400" i="1"/>
  <c r="F400" i="1"/>
  <c r="C400" i="1"/>
  <c r="Z399" i="1"/>
  <c r="U399" i="1"/>
  <c r="P399" i="1"/>
  <c r="K399" i="1"/>
  <c r="F399" i="1"/>
  <c r="C399" i="1"/>
  <c r="Z398" i="1"/>
  <c r="U398" i="1"/>
  <c r="P398" i="1"/>
  <c r="K398" i="1"/>
  <c r="F398" i="1"/>
  <c r="C398" i="1"/>
  <c r="Z397" i="1"/>
  <c r="U397" i="1"/>
  <c r="P397" i="1"/>
  <c r="K397" i="1"/>
  <c r="F397" i="1"/>
  <c r="C397" i="1"/>
  <c r="Z395" i="1"/>
  <c r="U395" i="1"/>
  <c r="P395" i="1"/>
  <c r="K395" i="1"/>
  <c r="F395" i="1"/>
  <c r="C395" i="1"/>
  <c r="Z394" i="1"/>
  <c r="U394" i="1"/>
  <c r="P394" i="1"/>
  <c r="K394" i="1"/>
  <c r="F394" i="1"/>
  <c r="C394" i="1"/>
  <c r="AC393" i="1"/>
  <c r="AB393" i="1"/>
  <c r="AA393" i="1"/>
  <c r="Y393" i="1"/>
  <c r="X393" i="1"/>
  <c r="W393" i="1"/>
  <c r="V393" i="1"/>
  <c r="T393" i="1"/>
  <c r="S393" i="1"/>
  <c r="R393" i="1"/>
  <c r="Q393" i="1"/>
  <c r="O393" i="1"/>
  <c r="N393" i="1"/>
  <c r="M393" i="1"/>
  <c r="L393" i="1"/>
  <c r="J393" i="1"/>
  <c r="I393" i="1"/>
  <c r="H393" i="1"/>
  <c r="G393" i="1"/>
  <c r="E393" i="1"/>
  <c r="Z392" i="1"/>
  <c r="U392" i="1"/>
  <c r="P392" i="1"/>
  <c r="K392" i="1"/>
  <c r="F392" i="1"/>
  <c r="C392" i="1"/>
  <c r="Z391" i="1"/>
  <c r="U391" i="1"/>
  <c r="P391" i="1"/>
  <c r="K391" i="1"/>
  <c r="F391" i="1"/>
  <c r="C391" i="1"/>
  <c r="Z390" i="1"/>
  <c r="Y390" i="1"/>
  <c r="C390" i="1" s="1"/>
  <c r="U390" i="1"/>
  <c r="P390" i="1"/>
  <c r="K390" i="1"/>
  <c r="F390" i="1"/>
  <c r="Z389" i="1"/>
  <c r="Y389" i="1"/>
  <c r="C389" i="1" s="1"/>
  <c r="U389" i="1"/>
  <c r="P389" i="1"/>
  <c r="K389" i="1"/>
  <c r="F389" i="1"/>
  <c r="Z388" i="1"/>
  <c r="U388" i="1"/>
  <c r="P388" i="1"/>
  <c r="K388" i="1"/>
  <c r="F388" i="1"/>
  <c r="C388" i="1"/>
  <c r="Z387" i="1"/>
  <c r="U387" i="1"/>
  <c r="P387" i="1"/>
  <c r="K387" i="1"/>
  <c r="F387" i="1"/>
  <c r="C387" i="1"/>
  <c r="Z386" i="1"/>
  <c r="U386" i="1"/>
  <c r="P386" i="1"/>
  <c r="K386" i="1"/>
  <c r="F386" i="1"/>
  <c r="C386" i="1"/>
  <c r="Z385" i="1"/>
  <c r="U385" i="1"/>
  <c r="P385" i="1"/>
  <c r="K385" i="1"/>
  <c r="F385" i="1"/>
  <c r="C385" i="1"/>
  <c r="Z384" i="1"/>
  <c r="U384" i="1"/>
  <c r="P384" i="1"/>
  <c r="K384" i="1"/>
  <c r="F384" i="1"/>
  <c r="C384" i="1"/>
  <c r="Z383" i="1"/>
  <c r="Y383" i="1"/>
  <c r="C383" i="1" s="1"/>
  <c r="U383" i="1"/>
  <c r="P383" i="1"/>
  <c r="K383" i="1"/>
  <c r="F383" i="1"/>
  <c r="Z382" i="1"/>
  <c r="Y382" i="1"/>
  <c r="C382" i="1" s="1"/>
  <c r="U382" i="1"/>
  <c r="P382" i="1"/>
  <c r="K382" i="1"/>
  <c r="F382" i="1"/>
  <c r="Z381" i="1"/>
  <c r="U381" i="1"/>
  <c r="P381" i="1"/>
  <c r="K381" i="1"/>
  <c r="F381" i="1"/>
  <c r="C381" i="1"/>
  <c r="Z380" i="1"/>
  <c r="U380" i="1"/>
  <c r="P380" i="1"/>
  <c r="K380" i="1"/>
  <c r="F380" i="1"/>
  <c r="C380" i="1"/>
  <c r="Z379" i="1"/>
  <c r="Y379" i="1"/>
  <c r="C379" i="1" s="1"/>
  <c r="U379" i="1"/>
  <c r="P379" i="1"/>
  <c r="K379" i="1"/>
  <c r="F379" i="1"/>
  <c r="Z378" i="1"/>
  <c r="U378" i="1"/>
  <c r="P378" i="1"/>
  <c r="K378" i="1"/>
  <c r="F378" i="1"/>
  <c r="C378" i="1"/>
  <c r="Z377" i="1"/>
  <c r="U377" i="1"/>
  <c r="P377" i="1"/>
  <c r="K377" i="1"/>
  <c r="F377" i="1"/>
  <c r="C377" i="1"/>
  <c r="Z376" i="1"/>
  <c r="Y376" i="1"/>
  <c r="C376" i="1" s="1"/>
  <c r="U376" i="1"/>
  <c r="P376" i="1"/>
  <c r="K376" i="1"/>
  <c r="F376" i="1"/>
  <c r="Z375" i="1"/>
  <c r="U375" i="1"/>
  <c r="P375" i="1"/>
  <c r="K375" i="1"/>
  <c r="F375" i="1"/>
  <c r="C375" i="1"/>
  <c r="Z374" i="1"/>
  <c r="U374" i="1"/>
  <c r="P374" i="1"/>
  <c r="K374" i="1"/>
  <c r="F374" i="1"/>
  <c r="C374" i="1"/>
  <c r="Z373" i="1"/>
  <c r="U373" i="1"/>
  <c r="P373" i="1"/>
  <c r="K373" i="1"/>
  <c r="F373" i="1"/>
  <c r="C373" i="1"/>
  <c r="Z372" i="1"/>
  <c r="Y372" i="1"/>
  <c r="C372" i="1" s="1"/>
  <c r="U372" i="1"/>
  <c r="P372" i="1"/>
  <c r="K372" i="1"/>
  <c r="F372" i="1"/>
  <c r="Z371" i="1"/>
  <c r="U371" i="1"/>
  <c r="P371" i="1"/>
  <c r="K371" i="1"/>
  <c r="F371" i="1"/>
  <c r="C371" i="1"/>
  <c r="Z370" i="1"/>
  <c r="Y370" i="1"/>
  <c r="C370" i="1" s="1"/>
  <c r="U370" i="1"/>
  <c r="P370" i="1"/>
  <c r="K370" i="1"/>
  <c r="F370" i="1"/>
  <c r="Z369" i="1"/>
  <c r="U369" i="1"/>
  <c r="P369" i="1"/>
  <c r="K369" i="1"/>
  <c r="F369" i="1"/>
  <c r="C369" i="1"/>
  <c r="Z368" i="1"/>
  <c r="U368" i="1"/>
  <c r="P368" i="1"/>
  <c r="K368" i="1"/>
  <c r="F368" i="1"/>
  <c r="C368" i="1"/>
  <c r="Z367" i="1"/>
  <c r="Y367" i="1"/>
  <c r="C367" i="1" s="1"/>
  <c r="U367" i="1"/>
  <c r="P367" i="1"/>
  <c r="K367" i="1"/>
  <c r="F367" i="1"/>
  <c r="Z366" i="1"/>
  <c r="Y366" i="1"/>
  <c r="C366" i="1" s="1"/>
  <c r="U366" i="1"/>
  <c r="P366" i="1"/>
  <c r="K366" i="1"/>
  <c r="F366" i="1"/>
  <c r="Z365" i="1"/>
  <c r="U365" i="1"/>
  <c r="P365" i="1"/>
  <c r="K365" i="1"/>
  <c r="F365" i="1"/>
  <c r="C365" i="1"/>
  <c r="Z364" i="1"/>
  <c r="U364" i="1"/>
  <c r="P364" i="1"/>
  <c r="K364" i="1"/>
  <c r="F364" i="1"/>
  <c r="C364" i="1"/>
  <c r="Z363" i="1"/>
  <c r="U363" i="1"/>
  <c r="P363" i="1"/>
  <c r="K363" i="1"/>
  <c r="F363" i="1"/>
  <c r="C363" i="1"/>
  <c r="Z362" i="1"/>
  <c r="Y362" i="1"/>
  <c r="C362" i="1" s="1"/>
  <c r="U362" i="1"/>
  <c r="P362" i="1"/>
  <c r="K362" i="1"/>
  <c r="F362" i="1"/>
  <c r="Z361" i="1"/>
  <c r="Y361" i="1"/>
  <c r="C361" i="1" s="1"/>
  <c r="U361" i="1"/>
  <c r="P361" i="1"/>
  <c r="K361" i="1"/>
  <c r="F361" i="1"/>
  <c r="Z360" i="1"/>
  <c r="Y360" i="1"/>
  <c r="C360" i="1" s="1"/>
  <c r="U360" i="1"/>
  <c r="P360" i="1"/>
  <c r="K360" i="1"/>
  <c r="F360" i="1"/>
  <c r="Z359" i="1"/>
  <c r="Y359" i="1"/>
  <c r="C359" i="1" s="1"/>
  <c r="U359" i="1"/>
  <c r="P359" i="1"/>
  <c r="K359" i="1"/>
  <c r="F359" i="1"/>
  <c r="Z358" i="1"/>
  <c r="Y358" i="1"/>
  <c r="C358" i="1" s="1"/>
  <c r="U358" i="1"/>
  <c r="P358" i="1"/>
  <c r="K358" i="1"/>
  <c r="F358" i="1"/>
  <c r="Z357" i="1"/>
  <c r="Y357" i="1"/>
  <c r="C357" i="1" s="1"/>
  <c r="U357" i="1"/>
  <c r="P357" i="1"/>
  <c r="K357" i="1"/>
  <c r="F357" i="1"/>
  <c r="Z356" i="1"/>
  <c r="U356" i="1"/>
  <c r="P356" i="1"/>
  <c r="K356" i="1"/>
  <c r="F356" i="1"/>
  <c r="C356" i="1"/>
  <c r="Z355" i="1"/>
  <c r="U355" i="1"/>
  <c r="P355" i="1"/>
  <c r="K355" i="1"/>
  <c r="F355" i="1"/>
  <c r="C355" i="1"/>
  <c r="Z354" i="1"/>
  <c r="Y354" i="1"/>
  <c r="C354" i="1" s="1"/>
  <c r="U354" i="1"/>
  <c r="P354" i="1"/>
  <c r="K354" i="1"/>
  <c r="F354" i="1"/>
  <c r="Z353" i="1"/>
  <c r="Y353" i="1"/>
  <c r="C353" i="1" s="1"/>
  <c r="U353" i="1"/>
  <c r="P353" i="1"/>
  <c r="K353" i="1"/>
  <c r="F353" i="1"/>
  <c r="Z352" i="1"/>
  <c r="U352" i="1"/>
  <c r="P352" i="1"/>
  <c r="K352" i="1"/>
  <c r="F352" i="1"/>
  <c r="C352" i="1"/>
  <c r="Z351" i="1"/>
  <c r="Y351" i="1"/>
  <c r="C351" i="1" s="1"/>
  <c r="U351" i="1"/>
  <c r="P351" i="1"/>
  <c r="K351" i="1"/>
  <c r="F351" i="1"/>
  <c r="Z350" i="1"/>
  <c r="U350" i="1"/>
  <c r="P350" i="1"/>
  <c r="K350" i="1"/>
  <c r="F350" i="1"/>
  <c r="C350" i="1"/>
  <c r="Z349" i="1"/>
  <c r="U349" i="1"/>
  <c r="P349" i="1"/>
  <c r="K349" i="1"/>
  <c r="F349" i="1"/>
  <c r="C349" i="1"/>
  <c r="Z348" i="1"/>
  <c r="U348" i="1"/>
  <c r="P348" i="1"/>
  <c r="K348" i="1"/>
  <c r="F348" i="1"/>
  <c r="C348" i="1"/>
  <c r="Z347" i="1"/>
  <c r="U347" i="1"/>
  <c r="P347" i="1"/>
  <c r="K347" i="1"/>
  <c r="F347" i="1"/>
  <c r="C347" i="1"/>
  <c r="Z346" i="1"/>
  <c r="Y346" i="1"/>
  <c r="C346" i="1" s="1"/>
  <c r="U346" i="1"/>
  <c r="P346" i="1"/>
  <c r="K346" i="1"/>
  <c r="F346" i="1"/>
  <c r="Z345" i="1"/>
  <c r="Y345" i="1"/>
  <c r="C345" i="1" s="1"/>
  <c r="U345" i="1"/>
  <c r="P345" i="1"/>
  <c r="K345" i="1"/>
  <c r="F345" i="1"/>
  <c r="Z344" i="1"/>
  <c r="U344" i="1"/>
  <c r="P344" i="1"/>
  <c r="K344" i="1"/>
  <c r="F344" i="1"/>
  <c r="C344" i="1"/>
  <c r="Z343" i="1"/>
  <c r="U343" i="1"/>
  <c r="P343" i="1"/>
  <c r="K343" i="1"/>
  <c r="F343" i="1"/>
  <c r="C343" i="1"/>
  <c r="Z342" i="1"/>
  <c r="U342" i="1"/>
  <c r="P342" i="1"/>
  <c r="K342" i="1"/>
  <c r="F342" i="1"/>
  <c r="C342" i="1"/>
  <c r="Z341" i="1"/>
  <c r="U341" i="1"/>
  <c r="P341" i="1"/>
  <c r="K341" i="1"/>
  <c r="F341" i="1"/>
  <c r="C341" i="1"/>
  <c r="Z340" i="1"/>
  <c r="U340" i="1"/>
  <c r="P340" i="1"/>
  <c r="K340" i="1"/>
  <c r="F340" i="1"/>
  <c r="C340" i="1"/>
  <c r="Z339" i="1"/>
  <c r="U339" i="1"/>
  <c r="P339" i="1"/>
  <c r="K339" i="1"/>
  <c r="F339" i="1"/>
  <c r="C339" i="1"/>
  <c r="Z338" i="1"/>
  <c r="U338" i="1"/>
  <c r="P338" i="1"/>
  <c r="K338" i="1"/>
  <c r="F338" i="1"/>
  <c r="C338" i="1"/>
  <c r="Z337" i="1"/>
  <c r="U337" i="1"/>
  <c r="P337" i="1"/>
  <c r="K337" i="1"/>
  <c r="F337" i="1"/>
  <c r="C337" i="1"/>
  <c r="Z336" i="1"/>
  <c r="Y336" i="1"/>
  <c r="C336" i="1" s="1"/>
  <c r="U336" i="1"/>
  <c r="P336" i="1"/>
  <c r="K336" i="1"/>
  <c r="F336" i="1"/>
  <c r="Z335" i="1"/>
  <c r="U335" i="1"/>
  <c r="P335" i="1"/>
  <c r="K335" i="1"/>
  <c r="F335" i="1"/>
  <c r="C335" i="1"/>
  <c r="Z334" i="1"/>
  <c r="Y334" i="1"/>
  <c r="C334" i="1" s="1"/>
  <c r="U334" i="1"/>
  <c r="P334" i="1"/>
  <c r="K334" i="1"/>
  <c r="F334" i="1"/>
  <c r="Z333" i="1"/>
  <c r="Y333" i="1"/>
  <c r="C333" i="1" s="1"/>
  <c r="U333" i="1"/>
  <c r="P333" i="1"/>
  <c r="K333" i="1"/>
  <c r="F333" i="1"/>
  <c r="Z332" i="1"/>
  <c r="Y332" i="1"/>
  <c r="C332" i="1" s="1"/>
  <c r="U332" i="1"/>
  <c r="P332" i="1"/>
  <c r="K332" i="1"/>
  <c r="F332" i="1"/>
  <c r="Z331" i="1"/>
  <c r="U331" i="1"/>
  <c r="P331" i="1"/>
  <c r="K331" i="1"/>
  <c r="F331" i="1"/>
  <c r="C331" i="1"/>
  <c r="Z330" i="1"/>
  <c r="U330" i="1"/>
  <c r="P330" i="1"/>
  <c r="K330" i="1"/>
  <c r="F330" i="1"/>
  <c r="C330" i="1"/>
  <c r="Z329" i="1"/>
  <c r="Y329" i="1"/>
  <c r="C329" i="1" s="1"/>
  <c r="U329" i="1"/>
  <c r="P329" i="1"/>
  <c r="K329" i="1"/>
  <c r="F329" i="1"/>
  <c r="Z328" i="1"/>
  <c r="U328" i="1"/>
  <c r="P328" i="1"/>
  <c r="K328" i="1"/>
  <c r="F328" i="1"/>
  <c r="C328" i="1"/>
  <c r="Z327" i="1"/>
  <c r="U327" i="1"/>
  <c r="P327" i="1"/>
  <c r="K327" i="1"/>
  <c r="F327" i="1"/>
  <c r="C327" i="1"/>
  <c r="Z326" i="1"/>
  <c r="U326" i="1"/>
  <c r="P326" i="1"/>
  <c r="K326" i="1"/>
  <c r="F326" i="1"/>
  <c r="C326" i="1"/>
  <c r="Z325" i="1"/>
  <c r="U325" i="1"/>
  <c r="P325" i="1"/>
  <c r="K325" i="1"/>
  <c r="F325" i="1"/>
  <c r="C325" i="1"/>
  <c r="Z324" i="1"/>
  <c r="U324" i="1"/>
  <c r="P324" i="1"/>
  <c r="K324" i="1"/>
  <c r="F324" i="1"/>
  <c r="C324" i="1"/>
  <c r="Z323" i="1"/>
  <c r="Y323" i="1"/>
  <c r="C323" i="1" s="1"/>
  <c r="U323" i="1"/>
  <c r="P323" i="1"/>
  <c r="K323" i="1"/>
  <c r="F323" i="1"/>
  <c r="Z322" i="1"/>
  <c r="Y322" i="1"/>
  <c r="C322" i="1" s="1"/>
  <c r="U322" i="1"/>
  <c r="P322" i="1"/>
  <c r="K322" i="1"/>
  <c r="F322" i="1"/>
  <c r="Z321" i="1"/>
  <c r="U321" i="1"/>
  <c r="P321" i="1"/>
  <c r="K321" i="1"/>
  <c r="F321" i="1"/>
  <c r="C321" i="1"/>
  <c r="Z320" i="1"/>
  <c r="U320" i="1"/>
  <c r="P320" i="1"/>
  <c r="K320" i="1"/>
  <c r="F320" i="1"/>
  <c r="C320" i="1"/>
  <c r="Z319" i="1"/>
  <c r="Y319" i="1"/>
  <c r="C319" i="1" s="1"/>
  <c r="U319" i="1"/>
  <c r="P319" i="1"/>
  <c r="K319" i="1"/>
  <c r="F319" i="1"/>
  <c r="Z318" i="1"/>
  <c r="U318" i="1"/>
  <c r="P318" i="1"/>
  <c r="K318" i="1"/>
  <c r="F318" i="1"/>
  <c r="C318" i="1"/>
  <c r="Z317" i="1"/>
  <c r="U317" i="1"/>
  <c r="P317" i="1"/>
  <c r="K317" i="1"/>
  <c r="F317" i="1"/>
  <c r="C317" i="1"/>
  <c r="Z316" i="1"/>
  <c r="U316" i="1"/>
  <c r="P316" i="1"/>
  <c r="K316" i="1"/>
  <c r="F316" i="1"/>
  <c r="C316" i="1"/>
  <c r="Z315" i="1"/>
  <c r="U315" i="1"/>
  <c r="P315" i="1"/>
  <c r="K315" i="1"/>
  <c r="F315" i="1"/>
  <c r="C315" i="1"/>
  <c r="Y314" i="1"/>
  <c r="U314" i="1"/>
  <c r="P314" i="1"/>
  <c r="K314" i="1"/>
  <c r="F314" i="1"/>
  <c r="Z313" i="1"/>
  <c r="Y313" i="1"/>
  <c r="C313" i="1" s="1"/>
  <c r="U313" i="1"/>
  <c r="P313" i="1"/>
  <c r="K313" i="1"/>
  <c r="F313" i="1"/>
  <c r="Z312" i="1"/>
  <c r="U312" i="1"/>
  <c r="P312" i="1"/>
  <c r="K312" i="1"/>
  <c r="F312" i="1"/>
  <c r="C312" i="1"/>
  <c r="Z311" i="1"/>
  <c r="U311" i="1"/>
  <c r="T311" i="1"/>
  <c r="C311" i="1" s="1"/>
  <c r="P311" i="1"/>
  <c r="K311" i="1"/>
  <c r="F311" i="1"/>
  <c r="Z310" i="1"/>
  <c r="U310" i="1"/>
  <c r="P310" i="1"/>
  <c r="K310" i="1"/>
  <c r="F310" i="1"/>
  <c r="C310" i="1"/>
  <c r="Z309" i="1"/>
  <c r="U309" i="1"/>
  <c r="T309" i="1"/>
  <c r="C309" i="1" s="1"/>
  <c r="P309" i="1"/>
  <c r="K309" i="1"/>
  <c r="F309" i="1"/>
  <c r="Z308" i="1"/>
  <c r="U308" i="1"/>
  <c r="T308" i="1"/>
  <c r="C308" i="1" s="1"/>
  <c r="P308" i="1"/>
  <c r="K308" i="1"/>
  <c r="F308" i="1"/>
  <c r="Z307" i="1"/>
  <c r="U307" i="1"/>
  <c r="P307" i="1"/>
  <c r="K307" i="1"/>
  <c r="F307" i="1"/>
  <c r="C307" i="1"/>
  <c r="Z306" i="1"/>
  <c r="U306" i="1"/>
  <c r="T306" i="1"/>
  <c r="C306" i="1" s="1"/>
  <c r="P306" i="1"/>
  <c r="K306" i="1"/>
  <c r="F306" i="1"/>
  <c r="Z305" i="1"/>
  <c r="U305" i="1"/>
  <c r="T305" i="1"/>
  <c r="C305" i="1" s="1"/>
  <c r="P305" i="1"/>
  <c r="K305" i="1"/>
  <c r="F305" i="1"/>
  <c r="Z304" i="1"/>
  <c r="U304" i="1"/>
  <c r="P304" i="1"/>
  <c r="K304" i="1"/>
  <c r="F304" i="1"/>
  <c r="C304" i="1"/>
  <c r="Z303" i="1"/>
  <c r="U303" i="1"/>
  <c r="P303" i="1"/>
  <c r="K303" i="1"/>
  <c r="F303" i="1"/>
  <c r="C303" i="1"/>
  <c r="Z302" i="1"/>
  <c r="U302" i="1"/>
  <c r="T302" i="1"/>
  <c r="C302" i="1" s="1"/>
  <c r="P302" i="1"/>
  <c r="K302" i="1"/>
  <c r="F302" i="1"/>
  <c r="Z301" i="1"/>
  <c r="U301" i="1"/>
  <c r="T301" i="1"/>
  <c r="C301" i="1" s="1"/>
  <c r="P301" i="1"/>
  <c r="K301" i="1"/>
  <c r="F301" i="1"/>
  <c r="Z300" i="1"/>
  <c r="U300" i="1"/>
  <c r="P300" i="1"/>
  <c r="K300" i="1"/>
  <c r="F300" i="1"/>
  <c r="C300" i="1"/>
  <c r="Z299" i="1"/>
  <c r="U299" i="1"/>
  <c r="P299" i="1"/>
  <c r="K299" i="1"/>
  <c r="F299" i="1"/>
  <c r="C299" i="1"/>
  <c r="Z298" i="1"/>
  <c r="U298" i="1"/>
  <c r="T298" i="1"/>
  <c r="C298" i="1" s="1"/>
  <c r="P298" i="1"/>
  <c r="K298" i="1"/>
  <c r="F298" i="1"/>
  <c r="Z297" i="1"/>
  <c r="U297" i="1"/>
  <c r="P297" i="1"/>
  <c r="K297" i="1"/>
  <c r="F297" i="1"/>
  <c r="C297" i="1"/>
  <c r="Z296" i="1"/>
  <c r="U296" i="1"/>
  <c r="T296" i="1"/>
  <c r="C296" i="1" s="1"/>
  <c r="P296" i="1"/>
  <c r="K296" i="1"/>
  <c r="F296" i="1"/>
  <c r="Z295" i="1"/>
  <c r="U295" i="1"/>
  <c r="T295" i="1"/>
  <c r="C295" i="1" s="1"/>
  <c r="P295" i="1"/>
  <c r="K295" i="1"/>
  <c r="F295" i="1"/>
  <c r="Z294" i="1"/>
  <c r="U294" i="1"/>
  <c r="P294" i="1"/>
  <c r="K294" i="1"/>
  <c r="F294" i="1"/>
  <c r="C294" i="1"/>
  <c r="Z293" i="1"/>
  <c r="U293" i="1"/>
  <c r="P293" i="1"/>
  <c r="K293" i="1"/>
  <c r="F293" i="1"/>
  <c r="C293" i="1"/>
  <c r="Z292" i="1"/>
  <c r="U292" i="1"/>
  <c r="T292" i="1"/>
  <c r="C292" i="1" s="1"/>
  <c r="P292" i="1"/>
  <c r="K292" i="1"/>
  <c r="F292" i="1"/>
  <c r="Z291" i="1"/>
  <c r="U291" i="1"/>
  <c r="T291" i="1"/>
  <c r="C291" i="1" s="1"/>
  <c r="P291" i="1"/>
  <c r="K291" i="1"/>
  <c r="F291" i="1"/>
  <c r="Z290" i="1"/>
  <c r="U290" i="1"/>
  <c r="P290" i="1"/>
  <c r="K290" i="1"/>
  <c r="F290" i="1"/>
  <c r="C290" i="1"/>
  <c r="Z289" i="1"/>
  <c r="U289" i="1"/>
  <c r="T289" i="1"/>
  <c r="C289" i="1" s="1"/>
  <c r="P289" i="1"/>
  <c r="K289" i="1"/>
  <c r="F289" i="1"/>
  <c r="Z288" i="1"/>
  <c r="U288" i="1"/>
  <c r="P288" i="1"/>
  <c r="K288" i="1"/>
  <c r="F288" i="1"/>
  <c r="C288" i="1"/>
  <c r="Z287" i="1"/>
  <c r="U287" i="1"/>
  <c r="P287" i="1"/>
  <c r="K287" i="1"/>
  <c r="F287" i="1"/>
  <c r="C287" i="1"/>
  <c r="Z286" i="1"/>
  <c r="U286" i="1"/>
  <c r="T286" i="1"/>
  <c r="C286" i="1" s="1"/>
  <c r="P286" i="1"/>
  <c r="K286" i="1"/>
  <c r="F286" i="1"/>
  <c r="Z285" i="1"/>
  <c r="U285" i="1"/>
  <c r="P285" i="1"/>
  <c r="K285" i="1"/>
  <c r="F285" i="1"/>
  <c r="C285" i="1"/>
  <c r="Z284" i="1"/>
  <c r="U284" i="1"/>
  <c r="T284" i="1"/>
  <c r="C284" i="1" s="1"/>
  <c r="P284" i="1"/>
  <c r="K284" i="1"/>
  <c r="F284" i="1"/>
  <c r="Z283" i="1"/>
  <c r="U283" i="1"/>
  <c r="P283" i="1"/>
  <c r="K283" i="1"/>
  <c r="F283" i="1"/>
  <c r="C283" i="1"/>
  <c r="Z282" i="1"/>
  <c r="U282" i="1"/>
  <c r="P282" i="1"/>
  <c r="K282" i="1"/>
  <c r="F282" i="1"/>
  <c r="C282" i="1"/>
  <c r="Z281" i="1"/>
  <c r="U281" i="1"/>
  <c r="P281" i="1"/>
  <c r="K281" i="1"/>
  <c r="F281" i="1"/>
  <c r="C281" i="1"/>
  <c r="Z280" i="1"/>
  <c r="U280" i="1"/>
  <c r="P280" i="1"/>
  <c r="K280" i="1"/>
  <c r="F280" i="1"/>
  <c r="C280" i="1"/>
  <c r="Z279" i="1"/>
  <c r="U279" i="1"/>
  <c r="T279" i="1"/>
  <c r="C279" i="1" s="1"/>
  <c r="P279" i="1"/>
  <c r="K279" i="1"/>
  <c r="F279" i="1"/>
  <c r="Z278" i="1"/>
  <c r="U278" i="1"/>
  <c r="T278" i="1"/>
  <c r="C278" i="1" s="1"/>
  <c r="P278" i="1"/>
  <c r="K278" i="1"/>
  <c r="F278" i="1"/>
  <c r="Z277" i="1"/>
  <c r="U277" i="1"/>
  <c r="P277" i="1"/>
  <c r="K277" i="1"/>
  <c r="F277" i="1"/>
  <c r="C277" i="1"/>
  <c r="Z276" i="1"/>
  <c r="U276" i="1"/>
  <c r="P276" i="1"/>
  <c r="K276" i="1"/>
  <c r="F276" i="1"/>
  <c r="C276" i="1"/>
  <c r="Z275" i="1"/>
  <c r="U275" i="1"/>
  <c r="P275" i="1"/>
  <c r="K275" i="1"/>
  <c r="F275" i="1"/>
  <c r="C275" i="1"/>
  <c r="Z274" i="1"/>
  <c r="U274" i="1"/>
  <c r="P274" i="1"/>
  <c r="K274" i="1"/>
  <c r="F274" i="1"/>
  <c r="C274" i="1"/>
  <c r="Z273" i="1"/>
  <c r="U273" i="1"/>
  <c r="P273" i="1"/>
  <c r="K273" i="1"/>
  <c r="F273" i="1"/>
  <c r="C273" i="1"/>
  <c r="Z272" i="1"/>
  <c r="U272" i="1"/>
  <c r="P272" i="1"/>
  <c r="K272" i="1"/>
  <c r="F272" i="1"/>
  <c r="C272" i="1"/>
  <c r="Z271" i="1"/>
  <c r="U271" i="1"/>
  <c r="T271" i="1"/>
  <c r="C271" i="1" s="1"/>
  <c r="P271" i="1"/>
  <c r="K271" i="1"/>
  <c r="F271" i="1"/>
  <c r="Z270" i="1"/>
  <c r="U270" i="1"/>
  <c r="T270" i="1"/>
  <c r="C270" i="1" s="1"/>
  <c r="P270" i="1"/>
  <c r="K270" i="1"/>
  <c r="F270" i="1"/>
  <c r="Z269" i="1"/>
  <c r="U269" i="1"/>
  <c r="T269" i="1"/>
  <c r="C269" i="1" s="1"/>
  <c r="P269" i="1"/>
  <c r="K269" i="1"/>
  <c r="F269" i="1"/>
  <c r="Z268" i="1"/>
  <c r="U268" i="1"/>
  <c r="P268" i="1"/>
  <c r="K268" i="1"/>
  <c r="F268" i="1"/>
  <c r="C268" i="1"/>
  <c r="Z267" i="1"/>
  <c r="U267" i="1"/>
  <c r="T267" i="1"/>
  <c r="C267" i="1" s="1"/>
  <c r="P267" i="1"/>
  <c r="K267" i="1"/>
  <c r="F267" i="1"/>
  <c r="Z266" i="1"/>
  <c r="U266" i="1"/>
  <c r="T266" i="1"/>
  <c r="C266" i="1" s="1"/>
  <c r="P266" i="1"/>
  <c r="K266" i="1"/>
  <c r="F266" i="1"/>
  <c r="Z265" i="1"/>
  <c r="U265" i="1"/>
  <c r="P265" i="1"/>
  <c r="K265" i="1"/>
  <c r="F265" i="1"/>
  <c r="C265" i="1"/>
  <c r="Z264" i="1"/>
  <c r="U264" i="1"/>
  <c r="T264" i="1"/>
  <c r="C264" i="1" s="1"/>
  <c r="P264" i="1"/>
  <c r="K264" i="1"/>
  <c r="F264" i="1"/>
  <c r="AB263" i="1"/>
  <c r="AA263" i="1"/>
  <c r="W263" i="1"/>
  <c r="V263" i="1"/>
  <c r="S263" i="1"/>
  <c r="R263" i="1"/>
  <c r="Q263" i="1"/>
  <c r="O263" i="1"/>
  <c r="N263" i="1"/>
  <c r="M263" i="1"/>
  <c r="L263" i="1"/>
  <c r="J263" i="1"/>
  <c r="I263" i="1"/>
  <c r="H263" i="1"/>
  <c r="G263" i="1"/>
  <c r="E263" i="1"/>
  <c r="AA260" i="1"/>
  <c r="Y260" i="1"/>
  <c r="V260" i="1"/>
  <c r="T260" i="1"/>
  <c r="S260" i="1"/>
  <c r="P42" i="4" s="1"/>
  <c r="R260" i="1"/>
  <c r="Q42" i="4" s="1"/>
  <c r="Q260" i="1"/>
  <c r="O260" i="1"/>
  <c r="N260" i="1"/>
  <c r="K42" i="4" s="1"/>
  <c r="M260" i="1"/>
  <c r="L42" i="4" s="1"/>
  <c r="L260" i="1"/>
  <c r="J260" i="1"/>
  <c r="I260" i="1"/>
  <c r="F42" i="4" s="1"/>
  <c r="H260" i="1"/>
  <c r="G42" i="4" s="1"/>
  <c r="G260" i="1"/>
  <c r="E260" i="1"/>
  <c r="Z259" i="1"/>
  <c r="U259" i="1"/>
  <c r="K259" i="1"/>
  <c r="AC260" i="1"/>
  <c r="Z42" i="4" s="1"/>
  <c r="X260" i="1"/>
  <c r="U42" i="4" s="1"/>
  <c r="P260" i="1"/>
  <c r="K258" i="1"/>
  <c r="F258" i="1"/>
  <c r="F260" i="1" s="1"/>
  <c r="C258" i="1"/>
  <c r="C260" i="1" s="1"/>
  <c r="Z150" i="1"/>
  <c r="U150" i="1"/>
  <c r="P150" i="1"/>
  <c r="K150" i="1"/>
  <c r="F150" i="1"/>
  <c r="C150" i="1"/>
  <c r="Z232" i="1"/>
  <c r="U232" i="1"/>
  <c r="P232" i="1"/>
  <c r="F232" i="1"/>
  <c r="C232" i="1"/>
  <c r="Z238" i="1"/>
  <c r="U238" i="1"/>
  <c r="P238" i="1"/>
  <c r="F238" i="1"/>
  <c r="C238" i="1"/>
  <c r="Z237" i="1"/>
  <c r="U237" i="1"/>
  <c r="P237" i="1"/>
  <c r="F237" i="1"/>
  <c r="C237" i="1"/>
  <c r="Z239" i="1"/>
  <c r="U239" i="1"/>
  <c r="P239" i="1"/>
  <c r="F239" i="1"/>
  <c r="C239" i="1"/>
  <c r="Z229" i="1"/>
  <c r="U229" i="1"/>
  <c r="P229" i="1"/>
  <c r="F229" i="1"/>
  <c r="P147" i="1"/>
  <c r="K147" i="1"/>
  <c r="F147" i="1"/>
  <c r="C147" i="1"/>
  <c r="P146" i="1"/>
  <c r="K146" i="1"/>
  <c r="F146" i="1"/>
  <c r="C146" i="1"/>
  <c r="P145" i="1"/>
  <c r="K145" i="1"/>
  <c r="F145" i="1"/>
  <c r="C145" i="1"/>
  <c r="P144" i="1"/>
  <c r="K144" i="1"/>
  <c r="F144" i="1"/>
  <c r="C144" i="1"/>
  <c r="U143" i="1"/>
  <c r="P143" i="1"/>
  <c r="K143" i="1"/>
  <c r="F143" i="1"/>
  <c r="C143" i="1"/>
  <c r="U142" i="1"/>
  <c r="P142" i="1"/>
  <c r="K142" i="1"/>
  <c r="F142" i="1"/>
  <c r="C142" i="1"/>
  <c r="U141" i="1"/>
  <c r="P141" i="1"/>
  <c r="K141" i="1"/>
  <c r="F141" i="1"/>
  <c r="C141" i="1"/>
  <c r="U140" i="1"/>
  <c r="P140" i="1"/>
  <c r="K140" i="1"/>
  <c r="F140" i="1"/>
  <c r="C140" i="1"/>
  <c r="U139" i="1"/>
  <c r="P139" i="1"/>
  <c r="K139" i="1"/>
  <c r="F139" i="1"/>
  <c r="C139" i="1"/>
  <c r="U138" i="1"/>
  <c r="P138" i="1"/>
  <c r="K138" i="1"/>
  <c r="F138" i="1"/>
  <c r="C138" i="1"/>
  <c r="U137" i="1"/>
  <c r="P137" i="1"/>
  <c r="K137" i="1"/>
  <c r="F137" i="1"/>
  <c r="C137" i="1"/>
  <c r="U136" i="1"/>
  <c r="P136" i="1"/>
  <c r="K136" i="1"/>
  <c r="F136" i="1"/>
  <c r="C136" i="1"/>
  <c r="Z135" i="1"/>
  <c r="P135" i="1"/>
  <c r="K135" i="1"/>
  <c r="F135" i="1"/>
  <c r="C135" i="1"/>
  <c r="Z134" i="1"/>
  <c r="P134" i="1"/>
  <c r="K134" i="1"/>
  <c r="F134" i="1"/>
  <c r="C134" i="1"/>
  <c r="Z133" i="1"/>
  <c r="P133" i="1"/>
  <c r="K133" i="1"/>
  <c r="F133" i="1"/>
  <c r="C133" i="1"/>
  <c r="Z132" i="1"/>
  <c r="P132" i="1"/>
  <c r="K132" i="1"/>
  <c r="F132" i="1"/>
  <c r="C132" i="1"/>
  <c r="Z131" i="1"/>
  <c r="P131" i="1"/>
  <c r="K131" i="1"/>
  <c r="F131" i="1"/>
  <c r="C131" i="1"/>
  <c r="Z130" i="1"/>
  <c r="P130" i="1"/>
  <c r="K130" i="1"/>
  <c r="F130" i="1"/>
  <c r="C130" i="1"/>
  <c r="Z129" i="1"/>
  <c r="P129" i="1"/>
  <c r="K129" i="1"/>
  <c r="F129" i="1"/>
  <c r="C129" i="1"/>
  <c r="U128" i="1"/>
  <c r="K128" i="1"/>
  <c r="F128" i="1"/>
  <c r="C128" i="1"/>
  <c r="U127" i="1"/>
  <c r="K127" i="1"/>
  <c r="F127" i="1"/>
  <c r="C127" i="1"/>
  <c r="U126" i="1"/>
  <c r="K126" i="1"/>
  <c r="F126" i="1"/>
  <c r="C126" i="1"/>
  <c r="U125" i="1"/>
  <c r="K125" i="1"/>
  <c r="F125" i="1"/>
  <c r="C125" i="1"/>
  <c r="U124" i="1"/>
  <c r="K124" i="1"/>
  <c r="F124" i="1"/>
  <c r="C124" i="1"/>
  <c r="U123" i="1"/>
  <c r="K123" i="1"/>
  <c r="F123" i="1"/>
  <c r="C123" i="1"/>
  <c r="U122" i="1"/>
  <c r="K122" i="1"/>
  <c r="F122" i="1"/>
  <c r="C122" i="1"/>
  <c r="U121" i="1"/>
  <c r="K121" i="1"/>
  <c r="F121" i="1"/>
  <c r="C121" i="1"/>
  <c r="U120" i="1"/>
  <c r="K120" i="1"/>
  <c r="F120" i="1"/>
  <c r="C120" i="1"/>
  <c r="U119" i="1"/>
  <c r="K119" i="1"/>
  <c r="F119" i="1"/>
  <c r="C119" i="1"/>
  <c r="U118" i="1"/>
  <c r="K118" i="1"/>
  <c r="F118" i="1"/>
  <c r="C118" i="1"/>
  <c r="Z117" i="1"/>
  <c r="S117" i="1"/>
  <c r="R117" i="1"/>
  <c r="F117" i="1"/>
  <c r="C117" i="1"/>
  <c r="Z116" i="1"/>
  <c r="P116" i="1"/>
  <c r="F116" i="1"/>
  <c r="C116" i="1"/>
  <c r="F115" i="1"/>
  <c r="C115" i="1"/>
  <c r="Z114" i="1"/>
  <c r="P114" i="1"/>
  <c r="F114" i="1"/>
  <c r="C114" i="1"/>
  <c r="Z113" i="1"/>
  <c r="P113" i="1"/>
  <c r="F113" i="1"/>
  <c r="C113" i="1"/>
  <c r="Z112" i="1"/>
  <c r="P112" i="1"/>
  <c r="F112" i="1"/>
  <c r="C112" i="1"/>
  <c r="Z236" i="1"/>
  <c r="U236" i="1"/>
  <c r="P236" i="1"/>
  <c r="F236" i="1"/>
  <c r="C236" i="1"/>
  <c r="Z111" i="1"/>
  <c r="U111" i="1"/>
  <c r="P111" i="1"/>
  <c r="K111" i="1"/>
  <c r="F111" i="1"/>
  <c r="C111" i="1"/>
  <c r="Z233" i="1"/>
  <c r="U233" i="1"/>
  <c r="P233" i="1"/>
  <c r="F233" i="1"/>
  <c r="C233" i="1"/>
  <c r="Z230" i="1"/>
  <c r="U230" i="1"/>
  <c r="P230" i="1"/>
  <c r="F230" i="1"/>
  <c r="C230" i="1"/>
  <c r="Z110" i="1"/>
  <c r="U110" i="1"/>
  <c r="P110" i="1"/>
  <c r="K110" i="1"/>
  <c r="F110" i="1"/>
  <c r="C110" i="1"/>
  <c r="Z231" i="1"/>
  <c r="U231" i="1"/>
  <c r="P231" i="1"/>
  <c r="F231" i="1"/>
  <c r="C231" i="1"/>
  <c r="Z234" i="1"/>
  <c r="U234" i="1"/>
  <c r="P234" i="1"/>
  <c r="F234" i="1"/>
  <c r="C234" i="1"/>
  <c r="Z235" i="1"/>
  <c r="U235" i="1"/>
  <c r="P235" i="1"/>
  <c r="F235" i="1"/>
  <c r="C235" i="1"/>
  <c r="L38" i="4"/>
  <c r="U95" i="1"/>
  <c r="K95" i="1"/>
  <c r="C95" i="1"/>
  <c r="U94" i="1"/>
  <c r="K94" i="1"/>
  <c r="C94" i="1"/>
  <c r="X93" i="1"/>
  <c r="X108" i="1" s="1"/>
  <c r="W93" i="1"/>
  <c r="W108" i="1" s="1"/>
  <c r="K93" i="1"/>
  <c r="D93" i="1" s="1"/>
  <c r="C93" i="1"/>
  <c r="Z92" i="1"/>
  <c r="K92" i="1"/>
  <c r="C92" i="1"/>
  <c r="D91" i="1"/>
  <c r="C91" i="1"/>
  <c r="U90" i="1"/>
  <c r="D90" i="1" s="1"/>
  <c r="K89" i="1"/>
  <c r="C89" i="1"/>
  <c r="K101" i="1"/>
  <c r="F101" i="1"/>
  <c r="C101" i="1"/>
  <c r="U88" i="1"/>
  <c r="C88" i="1"/>
  <c r="U98" i="1"/>
  <c r="P98" i="1"/>
  <c r="P108" i="1" s="1"/>
  <c r="K98" i="1"/>
  <c r="C98" i="1"/>
  <c r="P38" i="4"/>
  <c r="Q38" i="4"/>
  <c r="K106" i="1"/>
  <c r="D106" i="1" s="1"/>
  <c r="C106" i="1"/>
  <c r="K105" i="1"/>
  <c r="F105" i="1"/>
  <c r="C105" i="1"/>
  <c r="Z104" i="1"/>
  <c r="D104" i="1" s="1"/>
  <c r="I104" i="1"/>
  <c r="H104" i="1"/>
  <c r="N103" i="1"/>
  <c r="C103" i="1"/>
  <c r="Z102" i="1"/>
  <c r="K102" i="1"/>
  <c r="C102" i="1"/>
  <c r="Z37" i="4"/>
  <c r="AA37" i="4"/>
  <c r="U37" i="4"/>
  <c r="V37" i="4"/>
  <c r="P37" i="4"/>
  <c r="Q37" i="4"/>
  <c r="L37" i="4"/>
  <c r="F37" i="4"/>
  <c r="G37" i="4"/>
  <c r="Z74" i="1"/>
  <c r="U74" i="1"/>
  <c r="P74" i="1"/>
  <c r="F74" i="1"/>
  <c r="Z73" i="1"/>
  <c r="U73" i="1"/>
  <c r="P73" i="1"/>
  <c r="Z72" i="1"/>
  <c r="P72" i="1"/>
  <c r="U71" i="1"/>
  <c r="Z70" i="1"/>
  <c r="P70" i="1"/>
  <c r="P69" i="1"/>
  <c r="P68" i="1"/>
  <c r="K68" i="1"/>
  <c r="F68" i="1"/>
  <c r="Z67" i="1"/>
  <c r="U67" i="1"/>
  <c r="U86" i="1" s="1"/>
  <c r="P67" i="1"/>
  <c r="N67" i="1"/>
  <c r="N86" i="1" s="1"/>
  <c r="F67" i="1"/>
  <c r="C67" i="1"/>
  <c r="C86" i="1" s="1"/>
  <c r="P60" i="1"/>
  <c r="C60" i="1"/>
  <c r="P59" i="1"/>
  <c r="D59" i="1" s="1"/>
  <c r="C59" i="1"/>
  <c r="D58" i="1"/>
  <c r="C58" i="1"/>
  <c r="AC57" i="1"/>
  <c r="AB57" i="1"/>
  <c r="AA57" i="1"/>
  <c r="Z57" i="1"/>
  <c r="Y57" i="1"/>
  <c r="X57" i="1"/>
  <c r="W57" i="1"/>
  <c r="V57" i="1"/>
  <c r="T57" i="1"/>
  <c r="S57" i="1"/>
  <c r="R57" i="1"/>
  <c r="Q57" i="1"/>
  <c r="N57" i="1"/>
  <c r="M57" i="1"/>
  <c r="L57" i="1"/>
  <c r="K57" i="1"/>
  <c r="J57" i="1"/>
  <c r="I57" i="1"/>
  <c r="H57" i="1"/>
  <c r="G57" i="1"/>
  <c r="E57" i="1"/>
  <c r="P56" i="1"/>
  <c r="K56" i="1"/>
  <c r="P55" i="1"/>
  <c r="K55" i="1"/>
  <c r="C55" i="1"/>
  <c r="P54" i="1"/>
  <c r="M54" i="1"/>
  <c r="K54" i="1" s="1"/>
  <c r="C54" i="1"/>
  <c r="AC53" i="1"/>
  <c r="AB53" i="1"/>
  <c r="AA53" i="1"/>
  <c r="Z53" i="1"/>
  <c r="Y53" i="1"/>
  <c r="V53" i="1"/>
  <c r="T53" i="1"/>
  <c r="Q53" i="1"/>
  <c r="O53" i="1"/>
  <c r="N53" i="1"/>
  <c r="L53" i="1"/>
  <c r="J53" i="1"/>
  <c r="I53" i="1"/>
  <c r="H53" i="1"/>
  <c r="G53" i="1"/>
  <c r="H42" i="4" s="1"/>
  <c r="F53" i="1"/>
  <c r="E53" i="1"/>
  <c r="U52" i="1"/>
  <c r="K52" i="1"/>
  <c r="U51" i="1"/>
  <c r="K51" i="1"/>
  <c r="X49" i="1"/>
  <c r="X65" i="1" s="1"/>
  <c r="W49" i="1"/>
  <c r="S50" i="1"/>
  <c r="S49" i="1" s="1"/>
  <c r="S65" i="1" s="1"/>
  <c r="R50" i="1"/>
  <c r="R49" i="1" s="1"/>
  <c r="M50" i="1"/>
  <c r="K50" i="1" s="1"/>
  <c r="C50" i="1"/>
  <c r="C49" i="1" s="1"/>
  <c r="AC49" i="1"/>
  <c r="AC65" i="1" s="1"/>
  <c r="AB49" i="1"/>
  <c r="AA49" i="1"/>
  <c r="AA65" i="1" s="1"/>
  <c r="Z49" i="1"/>
  <c r="Y49" i="1"/>
  <c r="Y65" i="1" s="1"/>
  <c r="V49" i="1"/>
  <c r="T49" i="1"/>
  <c r="T65" i="1" s="1"/>
  <c r="Q49" i="1"/>
  <c r="P49" i="1"/>
  <c r="O49" i="1"/>
  <c r="O65" i="1" s="1"/>
  <c r="N49" i="1"/>
  <c r="N65" i="1" s="1"/>
  <c r="L49" i="1"/>
  <c r="J49" i="1"/>
  <c r="J65" i="1" s="1"/>
  <c r="I49" i="1"/>
  <c r="I65" i="1" s="1"/>
  <c r="H49" i="1"/>
  <c r="H65" i="1" s="1"/>
  <c r="G49" i="1"/>
  <c r="G65" i="1" s="1"/>
  <c r="F49" i="1"/>
  <c r="F65" i="1" s="1"/>
  <c r="E49" i="1"/>
  <c r="F39" i="1"/>
  <c r="AC39" i="1"/>
  <c r="AB39" i="1"/>
  <c r="Z39" i="1"/>
  <c r="Y39" i="1"/>
  <c r="X39" i="1"/>
  <c r="W39" i="1"/>
  <c r="U39" i="1"/>
  <c r="T39" i="1"/>
  <c r="S39" i="1"/>
  <c r="R39" i="1"/>
  <c r="P39" i="1"/>
  <c r="O39" i="1"/>
  <c r="N39" i="1"/>
  <c r="M39" i="1"/>
  <c r="K39" i="1"/>
  <c r="J39" i="1"/>
  <c r="I39" i="1"/>
  <c r="H39" i="1"/>
  <c r="G39" i="1"/>
  <c r="C39" i="1"/>
  <c r="D38" i="1"/>
  <c r="D37" i="1" s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Z36" i="1"/>
  <c r="K36" i="1"/>
  <c r="C36" i="1"/>
  <c r="Z35" i="1"/>
  <c r="K35" i="1"/>
  <c r="C35" i="1"/>
  <c r="AC33" i="1"/>
  <c r="K34" i="1"/>
  <c r="C34" i="1"/>
  <c r="AA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J33" i="1"/>
  <c r="I33" i="1"/>
  <c r="H33" i="1"/>
  <c r="G33" i="1"/>
  <c r="F33" i="1"/>
  <c r="E33" i="1"/>
  <c r="P32" i="1"/>
  <c r="K32" i="1"/>
  <c r="C32" i="1"/>
  <c r="P31" i="1"/>
  <c r="K31" i="1"/>
  <c r="C31" i="1"/>
  <c r="S29" i="1"/>
  <c r="R29" i="1"/>
  <c r="K30" i="1"/>
  <c r="D30" i="1" s="1"/>
  <c r="C30" i="1"/>
  <c r="AC29" i="1"/>
  <c r="AB29" i="1"/>
  <c r="AA29" i="1"/>
  <c r="Z29" i="1"/>
  <c r="Y29" i="1"/>
  <c r="X29" i="1"/>
  <c r="W29" i="1"/>
  <c r="V29" i="1"/>
  <c r="U29" i="1"/>
  <c r="T29" i="1"/>
  <c r="Q29" i="1"/>
  <c r="N29" i="1"/>
  <c r="M29" i="1"/>
  <c r="L29" i="1"/>
  <c r="J29" i="1"/>
  <c r="I29" i="1"/>
  <c r="H29" i="1"/>
  <c r="G29" i="1"/>
  <c r="F29" i="1"/>
  <c r="E29" i="1"/>
  <c r="P28" i="1"/>
  <c r="D28" i="1" s="1"/>
  <c r="P27" i="1"/>
  <c r="K27" i="1"/>
  <c r="C27" i="1"/>
  <c r="M26" i="1"/>
  <c r="C26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O25" i="1"/>
  <c r="L25" i="1"/>
  <c r="J25" i="1"/>
  <c r="I25" i="1"/>
  <c r="H25" i="1"/>
  <c r="G25" i="1"/>
  <c r="F25" i="1"/>
  <c r="E25" i="1"/>
  <c r="P24" i="1"/>
  <c r="D24" i="1" s="1"/>
  <c r="C24" i="1"/>
  <c r="P23" i="1"/>
  <c r="D23" i="1" s="1"/>
  <c r="C23" i="1"/>
  <c r="M22" i="1"/>
  <c r="M21" i="1" s="1"/>
  <c r="D22" i="1"/>
  <c r="C22" i="1"/>
  <c r="AC21" i="1"/>
  <c r="AB21" i="1"/>
  <c r="AA21" i="1"/>
  <c r="Z21" i="1"/>
  <c r="Y21" i="1"/>
  <c r="V21" i="1"/>
  <c r="U21" i="1"/>
  <c r="T21" i="1"/>
  <c r="R21" i="1"/>
  <c r="Q21" i="1"/>
  <c r="N21" i="1"/>
  <c r="L21" i="1"/>
  <c r="K21" i="1"/>
  <c r="J21" i="1"/>
  <c r="I21" i="1"/>
  <c r="H21" i="1"/>
  <c r="G21" i="1"/>
  <c r="F21" i="1"/>
  <c r="E21" i="1"/>
  <c r="AC20" i="1"/>
  <c r="Z20" i="1" s="1"/>
  <c r="U20" i="1"/>
  <c r="C20" i="1"/>
  <c r="AC19" i="1"/>
  <c r="U19" i="1"/>
  <c r="C19" i="1"/>
  <c r="AC18" i="1"/>
  <c r="AB18" i="1"/>
  <c r="Y18" i="1"/>
  <c r="C18" i="1" s="1"/>
  <c r="X17" i="1"/>
  <c r="W17" i="1"/>
  <c r="K18" i="1"/>
  <c r="AA17" i="1"/>
  <c r="V17" i="1"/>
  <c r="T17" i="1"/>
  <c r="S17" i="1"/>
  <c r="R17" i="1"/>
  <c r="Q17" i="1"/>
  <c r="P17" i="1"/>
  <c r="O17" i="1"/>
  <c r="M17" i="1"/>
  <c r="L17" i="1"/>
  <c r="I17" i="1"/>
  <c r="H17" i="1"/>
  <c r="G17" i="1"/>
  <c r="F17" i="1"/>
  <c r="E17" i="1"/>
  <c r="K16" i="1"/>
  <c r="D16" i="1" s="1"/>
  <c r="E16" i="1"/>
  <c r="E13" i="1" s="1"/>
  <c r="K15" i="1"/>
  <c r="C15" i="1"/>
  <c r="D14" i="1"/>
  <c r="C14" i="1"/>
  <c r="AC13" i="1"/>
  <c r="AB13" i="1"/>
  <c r="AA13" i="1"/>
  <c r="Z13" i="1"/>
  <c r="Y13" i="1"/>
  <c r="X13" i="1"/>
  <c r="W13" i="1"/>
  <c r="V13" i="1"/>
  <c r="U13" i="1"/>
  <c r="T13" i="1"/>
  <c r="R13" i="1"/>
  <c r="Q13" i="1"/>
  <c r="L13" i="1"/>
  <c r="J13" i="1"/>
  <c r="I13" i="1"/>
  <c r="H13" i="1"/>
  <c r="G13" i="1"/>
  <c r="F13" i="1"/>
  <c r="Z12" i="1"/>
  <c r="U12" i="1"/>
  <c r="P12" i="1"/>
  <c r="K12" i="1"/>
  <c r="C12" i="1"/>
  <c r="Z11" i="1"/>
  <c r="U11" i="1"/>
  <c r="P11" i="1"/>
  <c r="K11" i="1"/>
  <c r="F11" i="1"/>
  <c r="C11" i="1"/>
  <c r="Z10" i="1"/>
  <c r="U10" i="1"/>
  <c r="S9" i="1"/>
  <c r="R9" i="1"/>
  <c r="K10" i="1"/>
  <c r="C10" i="1"/>
  <c r="AC9" i="1"/>
  <c r="AB9" i="1"/>
  <c r="AA9" i="1"/>
  <c r="Y9" i="1"/>
  <c r="X9" i="1"/>
  <c r="W9" i="1"/>
  <c r="V9" i="1"/>
  <c r="T9" i="1"/>
  <c r="Q9" i="1"/>
  <c r="O9" i="1"/>
  <c r="N9" i="1"/>
  <c r="M9" i="1"/>
  <c r="L9" i="1"/>
  <c r="I9" i="1"/>
  <c r="H9" i="1"/>
  <c r="G9" i="1"/>
  <c r="E9" i="1"/>
  <c r="X266" i="5"/>
  <c r="S266" i="5"/>
  <c r="S267" i="5" s="1"/>
  <c r="M266" i="5"/>
  <c r="H266" i="5"/>
  <c r="C266" i="5"/>
  <c r="W265" i="5"/>
  <c r="R265" i="5"/>
  <c r="M265" i="5"/>
  <c r="H265" i="5"/>
  <c r="W264" i="5"/>
  <c r="R264" i="5"/>
  <c r="M264" i="5"/>
  <c r="H264" i="5"/>
  <c r="C264" i="5"/>
  <c r="M260" i="5"/>
  <c r="H260" i="5"/>
  <c r="C260" i="5"/>
  <c r="M240" i="5"/>
  <c r="H240" i="5"/>
  <c r="C240" i="5"/>
  <c r="M221" i="5"/>
  <c r="H221" i="5"/>
  <c r="C221" i="5"/>
  <c r="W85" i="5"/>
  <c r="R85" i="5"/>
  <c r="M85" i="5"/>
  <c r="H85" i="5"/>
  <c r="M50" i="5"/>
  <c r="H50" i="5"/>
  <c r="C50" i="5"/>
  <c r="C43" i="5"/>
  <c r="AB43" i="5" s="1"/>
  <c r="M25" i="5"/>
  <c r="H25" i="5"/>
  <c r="C25" i="5"/>
  <c r="M8" i="5"/>
  <c r="H8" i="5"/>
  <c r="C8" i="5"/>
  <c r="E65" i="1" l="1"/>
  <c r="L65" i="1"/>
  <c r="Q65" i="1"/>
  <c r="Z65" i="1"/>
  <c r="V65" i="1"/>
  <c r="AB65" i="1"/>
  <c r="R65" i="1"/>
  <c r="Q36" i="4" s="1"/>
  <c r="W65" i="1"/>
  <c r="O57" i="4"/>
  <c r="O79" i="4" s="1"/>
  <c r="AH81" i="4"/>
  <c r="F108" i="1"/>
  <c r="P86" i="1"/>
  <c r="AF81" i="4"/>
  <c r="AH75" i="4"/>
  <c r="AG75" i="4"/>
  <c r="AE71" i="4"/>
  <c r="F81" i="4"/>
  <c r="AE81" i="4" s="1"/>
  <c r="F86" i="1"/>
  <c r="Z86" i="1"/>
  <c r="H267" i="5"/>
  <c r="C267" i="5"/>
  <c r="W266" i="5"/>
  <c r="W267" i="5" s="1"/>
  <c r="X267" i="5"/>
  <c r="M267" i="5"/>
  <c r="K39" i="4"/>
  <c r="J39" i="4" s="1"/>
  <c r="N108" i="1"/>
  <c r="K38" i="4" s="1"/>
  <c r="H108" i="1"/>
  <c r="G38" i="4" s="1"/>
  <c r="G39" i="4"/>
  <c r="C108" i="1"/>
  <c r="Z108" i="1"/>
  <c r="F39" i="4"/>
  <c r="I108" i="1"/>
  <c r="F38" i="4" s="1"/>
  <c r="K396" i="1"/>
  <c r="P36" i="4"/>
  <c r="P396" i="1"/>
  <c r="E57" i="4"/>
  <c r="E79" i="4" s="1"/>
  <c r="J57" i="4"/>
  <c r="J79" i="4" s="1"/>
  <c r="Z50" i="4"/>
  <c r="Y50" i="4" s="1"/>
  <c r="U57" i="4"/>
  <c r="U79" i="4" s="1"/>
  <c r="C396" i="1"/>
  <c r="U396" i="1"/>
  <c r="F396" i="1"/>
  <c r="Z396" i="1"/>
  <c r="S47" i="1"/>
  <c r="T47" i="1"/>
  <c r="X47" i="1"/>
  <c r="U35" i="4" s="1"/>
  <c r="I47" i="1"/>
  <c r="O47" i="1"/>
  <c r="W47" i="1"/>
  <c r="V35" i="4" s="1"/>
  <c r="R47" i="1"/>
  <c r="K13" i="1"/>
  <c r="D13" i="1" s="1"/>
  <c r="F36" i="4"/>
  <c r="AA36" i="4"/>
  <c r="G47" i="1"/>
  <c r="H35" i="4" s="1"/>
  <c r="H47" i="1"/>
  <c r="G35" i="4" s="1"/>
  <c r="N47" i="1"/>
  <c r="J47" i="1"/>
  <c r="Z36" i="4"/>
  <c r="H37" i="4"/>
  <c r="E37" i="4" s="1"/>
  <c r="Q40" i="1"/>
  <c r="Q39" i="1" s="1"/>
  <c r="Q47" i="1" s="1"/>
  <c r="E39" i="1"/>
  <c r="E47" i="1" s="1"/>
  <c r="V36" i="4"/>
  <c r="G36" i="4"/>
  <c r="K36" i="4"/>
  <c r="C13" i="1"/>
  <c r="K256" i="1"/>
  <c r="K514" i="1" s="1"/>
  <c r="I422" i="1"/>
  <c r="U49" i="1"/>
  <c r="U65" i="1" s="1"/>
  <c r="H508" i="1"/>
  <c r="AA508" i="1"/>
  <c r="I508" i="1"/>
  <c r="N508" i="1"/>
  <c r="V508" i="1"/>
  <c r="AB508" i="1"/>
  <c r="E508" i="1"/>
  <c r="J508" i="1"/>
  <c r="Q508" i="1"/>
  <c r="W508" i="1"/>
  <c r="M508" i="1"/>
  <c r="G508" i="1"/>
  <c r="L508" i="1"/>
  <c r="R508" i="1"/>
  <c r="C393" i="1"/>
  <c r="Z38" i="4"/>
  <c r="N256" i="1"/>
  <c r="K40" i="4" s="1"/>
  <c r="S256" i="1"/>
  <c r="P40" i="4" s="1"/>
  <c r="V40" i="4"/>
  <c r="X256" i="1"/>
  <c r="U40" i="4" s="1"/>
  <c r="C256" i="1"/>
  <c r="M256" i="1"/>
  <c r="L40" i="4" s="1"/>
  <c r="R256" i="1"/>
  <c r="Q40" i="4" s="1"/>
  <c r="AC256" i="1"/>
  <c r="Z40" i="4" s="1"/>
  <c r="Y40" i="4" s="1"/>
  <c r="V38" i="4"/>
  <c r="U38" i="4"/>
  <c r="F37" i="1"/>
  <c r="AA38" i="4"/>
  <c r="H422" i="1"/>
  <c r="M422" i="1"/>
  <c r="AB422" i="1"/>
  <c r="U129" i="1"/>
  <c r="D129" i="1" s="1"/>
  <c r="C25" i="1"/>
  <c r="U130" i="1"/>
  <c r="D130" i="1" s="1"/>
  <c r="Z146" i="1"/>
  <c r="E422" i="1"/>
  <c r="J422" i="1"/>
  <c r="D407" i="1"/>
  <c r="AA422" i="1"/>
  <c r="AG71" i="4"/>
  <c r="AD24" i="4"/>
  <c r="Z34" i="1"/>
  <c r="D34" i="1" s="1"/>
  <c r="AD55" i="4"/>
  <c r="AH57" i="4"/>
  <c r="AH71" i="4"/>
  <c r="X263" i="1"/>
  <c r="X422" i="1" s="1"/>
  <c r="D301" i="1"/>
  <c r="AD22" i="4"/>
  <c r="AD26" i="4"/>
  <c r="AD27" i="4"/>
  <c r="AB85" i="5"/>
  <c r="AB240" i="5"/>
  <c r="U430" i="1"/>
  <c r="AD13" i="4"/>
  <c r="AD15" i="4"/>
  <c r="AF57" i="4"/>
  <c r="AB25" i="5"/>
  <c r="AB221" i="5"/>
  <c r="R266" i="5"/>
  <c r="R267" i="5" s="1"/>
  <c r="P124" i="1"/>
  <c r="D124" i="1" s="1"/>
  <c r="P128" i="1"/>
  <c r="D128" i="1" s="1"/>
  <c r="D369" i="1"/>
  <c r="AF30" i="4"/>
  <c r="AD62" i="4"/>
  <c r="Y71" i="4"/>
  <c r="Y81" i="4" s="1"/>
  <c r="D321" i="1"/>
  <c r="D355" i="1"/>
  <c r="D373" i="1"/>
  <c r="P9" i="1"/>
  <c r="D54" i="1"/>
  <c r="G422" i="1"/>
  <c r="Q422" i="1"/>
  <c r="D265" i="1"/>
  <c r="D303" i="1"/>
  <c r="D307" i="1"/>
  <c r="D316" i="1"/>
  <c r="D504" i="1"/>
  <c r="K437" i="1"/>
  <c r="D299" i="1"/>
  <c r="D397" i="1"/>
  <c r="D403" i="1"/>
  <c r="D405" i="1"/>
  <c r="K430" i="1"/>
  <c r="Z9" i="1"/>
  <c r="K33" i="1"/>
  <c r="M49" i="1"/>
  <c r="M65" i="1" s="1"/>
  <c r="D277" i="1"/>
  <c r="D329" i="1"/>
  <c r="D340" i="1"/>
  <c r="D414" i="1"/>
  <c r="D415" i="1"/>
  <c r="D429" i="1"/>
  <c r="P430" i="1"/>
  <c r="D453" i="1"/>
  <c r="D461" i="1"/>
  <c r="D467" i="1"/>
  <c r="D341" i="1"/>
  <c r="D347" i="1"/>
  <c r="D349" i="1"/>
  <c r="D366" i="1"/>
  <c r="D371" i="1"/>
  <c r="D391" i="1"/>
  <c r="D468" i="1"/>
  <c r="D505" i="1"/>
  <c r="C53" i="1"/>
  <c r="D12" i="1"/>
  <c r="U17" i="1"/>
  <c r="D287" i="1"/>
  <c r="D305" i="1"/>
  <c r="D317" i="1"/>
  <c r="D323" i="1"/>
  <c r="D351" i="1"/>
  <c r="D469" i="1"/>
  <c r="D471" i="1"/>
  <c r="AB264" i="5"/>
  <c r="AB50" i="5"/>
  <c r="AB265" i="5"/>
  <c r="AB260" i="5"/>
  <c r="AD66" i="4"/>
  <c r="E67" i="4"/>
  <c r="E71" i="4" s="1"/>
  <c r="E81" i="4" s="1"/>
  <c r="O67" i="4"/>
  <c r="AF71" i="4"/>
  <c r="J30" i="4"/>
  <c r="J75" i="4" s="1"/>
  <c r="E17" i="4"/>
  <c r="AD17" i="4" s="1"/>
  <c r="AD21" i="4"/>
  <c r="Y29" i="4"/>
  <c r="Y30" i="4" s="1"/>
  <c r="Y75" i="4" s="1"/>
  <c r="AG30" i="4"/>
  <c r="I72" i="4"/>
  <c r="I83" i="4" s="1"/>
  <c r="AH43" i="4"/>
  <c r="S72" i="4"/>
  <c r="S83" i="4" s="1"/>
  <c r="AC72" i="4"/>
  <c r="AC83" i="4" s="1"/>
  <c r="T50" i="4"/>
  <c r="T57" i="4" s="1"/>
  <c r="T79" i="4" s="1"/>
  <c r="O71" i="4"/>
  <c r="O81" i="4" s="1"/>
  <c r="AD69" i="4"/>
  <c r="O30" i="4"/>
  <c r="O75" i="4" s="1"/>
  <c r="AD18" i="4"/>
  <c r="AD20" i="4"/>
  <c r="AH30" i="4"/>
  <c r="J67" i="4"/>
  <c r="J71" i="4" s="1"/>
  <c r="J81" i="4" s="1"/>
  <c r="T71" i="4"/>
  <c r="T81" i="4" s="1"/>
  <c r="AD54" i="4"/>
  <c r="AG57" i="4"/>
  <c r="U9" i="1"/>
  <c r="C16" i="1"/>
  <c r="C21" i="1"/>
  <c r="D20" i="1"/>
  <c r="AE30" i="4"/>
  <c r="D10" i="1"/>
  <c r="Y17" i="1"/>
  <c r="C17" i="1" s="1"/>
  <c r="D51" i="1"/>
  <c r="M53" i="1"/>
  <c r="D69" i="1"/>
  <c r="D88" i="1"/>
  <c r="D94" i="1"/>
  <c r="U135" i="1"/>
  <c r="D135" i="1" s="1"/>
  <c r="Z136" i="1"/>
  <c r="D136" i="1" s="1"/>
  <c r="Z140" i="1"/>
  <c r="D140" i="1" s="1"/>
  <c r="D273" i="1"/>
  <c r="D275" i="1"/>
  <c r="D282" i="1"/>
  <c r="D289" i="1"/>
  <c r="D363" i="1"/>
  <c r="D365" i="1"/>
  <c r="K103" i="1"/>
  <c r="D103" i="1" s="1"/>
  <c r="D433" i="1"/>
  <c r="D435" i="1"/>
  <c r="D439" i="1"/>
  <c r="D441" i="1"/>
  <c r="D483" i="1"/>
  <c r="D487" i="1"/>
  <c r="D496" i="1"/>
  <c r="W72" i="4"/>
  <c r="W83" i="4" s="1"/>
  <c r="AB33" i="1"/>
  <c r="C57" i="1"/>
  <c r="D71" i="1"/>
  <c r="U133" i="1"/>
  <c r="D133" i="1" s="1"/>
  <c r="Z138" i="1"/>
  <c r="D138" i="1" s="1"/>
  <c r="Z142" i="1"/>
  <c r="D142" i="1" s="1"/>
  <c r="D269" i="1"/>
  <c r="D276" i="1"/>
  <c r="D281" i="1"/>
  <c r="D283" i="1"/>
  <c r="D293" i="1"/>
  <c r="D359" i="1"/>
  <c r="D364" i="1"/>
  <c r="D377" i="1"/>
  <c r="D385" i="1"/>
  <c r="D389" i="1"/>
  <c r="K393" i="1"/>
  <c r="P393" i="1"/>
  <c r="D411" i="1"/>
  <c r="D413" i="1"/>
  <c r="D427" i="1"/>
  <c r="D454" i="1"/>
  <c r="D455" i="1"/>
  <c r="D462" i="1"/>
  <c r="D463" i="1"/>
  <c r="D500" i="1"/>
  <c r="D502" i="1"/>
  <c r="D507" i="1"/>
  <c r="T29" i="4"/>
  <c r="T30" i="4" s="1"/>
  <c r="T75" i="4" s="1"/>
  <c r="N72" i="4"/>
  <c r="N83" i="4" s="1"/>
  <c r="X72" i="4"/>
  <c r="X83" i="4" s="1"/>
  <c r="Z51" i="4"/>
  <c r="Y51" i="4" s="1"/>
  <c r="AD51" i="4" s="1"/>
  <c r="Z53" i="4"/>
  <c r="Y53" i="4" s="1"/>
  <c r="AD53" i="4" s="1"/>
  <c r="AB8" i="5"/>
  <c r="U147" i="1"/>
  <c r="P263" i="1"/>
  <c r="D315" i="1"/>
  <c r="D320" i="1"/>
  <c r="D335" i="1"/>
  <c r="D337" i="1"/>
  <c r="D339" i="1"/>
  <c r="D350" i="1"/>
  <c r="D368" i="1"/>
  <c r="D399" i="1"/>
  <c r="D406" i="1"/>
  <c r="D442" i="1"/>
  <c r="D443" i="1"/>
  <c r="D474" i="1"/>
  <c r="D486" i="1"/>
  <c r="R72" i="4"/>
  <c r="R83" i="4" s="1"/>
  <c r="AB72" i="4"/>
  <c r="AB83" i="4" s="1"/>
  <c r="O422" i="1"/>
  <c r="D98" i="1"/>
  <c r="P29" i="1"/>
  <c r="D32" i="1"/>
  <c r="D27" i="1"/>
  <c r="D56" i="1"/>
  <c r="P53" i="1"/>
  <c r="D55" i="1"/>
  <c r="S422" i="1"/>
  <c r="D464" i="1"/>
  <c r="D456" i="1"/>
  <c r="D72" i="1"/>
  <c r="D105" i="1"/>
  <c r="C29" i="1"/>
  <c r="D36" i="1"/>
  <c r="D40" i="1"/>
  <c r="D39" i="1" s="1"/>
  <c r="P120" i="1"/>
  <c r="D120" i="1" s="1"/>
  <c r="P122" i="1"/>
  <c r="D122" i="1" s="1"/>
  <c r="P125" i="1"/>
  <c r="D125" i="1" s="1"/>
  <c r="U131" i="1"/>
  <c r="D131" i="1" s="1"/>
  <c r="U134" i="1"/>
  <c r="D134" i="1" s="1"/>
  <c r="Z144" i="1"/>
  <c r="U145" i="1"/>
  <c r="Z145" i="1"/>
  <c r="U146" i="1"/>
  <c r="D150" i="1"/>
  <c r="D285" i="1"/>
  <c r="D286" i="1"/>
  <c r="D290" i="1"/>
  <c r="D292" i="1"/>
  <c r="D297" i="1"/>
  <c r="D298" i="1"/>
  <c r="D302" i="1"/>
  <c r="D306" i="1"/>
  <c r="D327" i="1"/>
  <c r="D331" i="1"/>
  <c r="D476" i="1"/>
  <c r="D52" i="1"/>
  <c r="D259" i="1"/>
  <c r="K260" i="1"/>
  <c r="D264" i="1"/>
  <c r="D309" i="1"/>
  <c r="D381" i="1"/>
  <c r="D387" i="1"/>
  <c r="D388" i="1"/>
  <c r="D419" i="1"/>
  <c r="D436" i="1"/>
  <c r="D448" i="1"/>
  <c r="D450" i="1"/>
  <c r="C492" i="1"/>
  <c r="D494" i="1"/>
  <c r="D495" i="1"/>
  <c r="D234" i="1"/>
  <c r="D233" i="1"/>
  <c r="D236" i="1"/>
  <c r="D112" i="1"/>
  <c r="D114" i="1"/>
  <c r="D115" i="1"/>
  <c r="D117" i="1"/>
  <c r="K67" i="1"/>
  <c r="K86" i="1" s="1"/>
  <c r="K37" i="4"/>
  <c r="J37" i="4" s="1"/>
  <c r="D68" i="1"/>
  <c r="D313" i="1"/>
  <c r="D333" i="1"/>
  <c r="D345" i="1"/>
  <c r="D492" i="1"/>
  <c r="K9" i="1"/>
  <c r="L40" i="1"/>
  <c r="L39" i="1" s="1"/>
  <c r="L47" i="1" s="1"/>
  <c r="V40" i="1"/>
  <c r="V39" i="1" s="1"/>
  <c r="V47" i="1" s="1"/>
  <c r="D92" i="1"/>
  <c r="D95" i="1"/>
  <c r="P118" i="1"/>
  <c r="D118" i="1" s="1"/>
  <c r="P121" i="1"/>
  <c r="D121" i="1" s="1"/>
  <c r="P126" i="1"/>
  <c r="D126" i="1" s="1"/>
  <c r="U132" i="1"/>
  <c r="Z137" i="1"/>
  <c r="D137" i="1" s="1"/>
  <c r="Z139" i="1"/>
  <c r="D139" i="1" s="1"/>
  <c r="Z141" i="1"/>
  <c r="D141" i="1" s="1"/>
  <c r="Z143" i="1"/>
  <c r="D143" i="1" s="1"/>
  <c r="U144" i="1"/>
  <c r="D229" i="1"/>
  <c r="D256" i="1" s="1"/>
  <c r="D238" i="1"/>
  <c r="D232" i="1"/>
  <c r="U258" i="1"/>
  <c r="U260" i="1" s="1"/>
  <c r="D270" i="1"/>
  <c r="D272" i="1"/>
  <c r="D310" i="1"/>
  <c r="D312" i="1"/>
  <c r="Y263" i="1"/>
  <c r="Y422" i="1" s="1"/>
  <c r="D325" i="1"/>
  <c r="D326" i="1"/>
  <c r="D330" i="1"/>
  <c r="D343" i="1"/>
  <c r="D344" i="1"/>
  <c r="D375" i="1"/>
  <c r="D380" i="1"/>
  <c r="D382" i="1"/>
  <c r="D384" i="1"/>
  <c r="D401" i="1"/>
  <c r="D402" i="1"/>
  <c r="D409" i="1"/>
  <c r="D410" i="1"/>
  <c r="D417" i="1"/>
  <c r="D418" i="1"/>
  <c r="K424" i="1"/>
  <c r="P424" i="1"/>
  <c r="D431" i="1"/>
  <c r="P437" i="1"/>
  <c r="U437" i="1"/>
  <c r="D438" i="1"/>
  <c r="Z437" i="1"/>
  <c r="D445" i="1"/>
  <c r="D447" i="1"/>
  <c r="D451" i="1"/>
  <c r="D459" i="1"/>
  <c r="D472" i="1"/>
  <c r="D473" i="1"/>
  <c r="D478" i="1"/>
  <c r="D479" i="1"/>
  <c r="D482" i="1"/>
  <c r="D484" i="1"/>
  <c r="S488" i="1"/>
  <c r="S508" i="1" s="1"/>
  <c r="D490" i="1"/>
  <c r="D491" i="1"/>
  <c r="D498" i="1"/>
  <c r="D499" i="1"/>
  <c r="D110" i="1"/>
  <c r="D230" i="1"/>
  <c r="C9" i="1"/>
  <c r="D11" i="1"/>
  <c r="F9" i="1"/>
  <c r="Z19" i="1"/>
  <c r="D19" i="1" s="1"/>
  <c r="AC17" i="1"/>
  <c r="AC47" i="1" s="1"/>
  <c r="P21" i="1"/>
  <c r="D21" i="1" s="1"/>
  <c r="AA40" i="1"/>
  <c r="AA39" i="1" s="1"/>
  <c r="AA47" i="1" s="1"/>
  <c r="D235" i="1"/>
  <c r="D319" i="1"/>
  <c r="D353" i="1"/>
  <c r="D357" i="1"/>
  <c r="D361" i="1"/>
  <c r="D367" i="1"/>
  <c r="W260" i="1"/>
  <c r="D267" i="1"/>
  <c r="D279" i="1"/>
  <c r="D295" i="1"/>
  <c r="D395" i="1"/>
  <c r="F393" i="1"/>
  <c r="K29" i="1"/>
  <c r="D31" i="1"/>
  <c r="D35" i="1"/>
  <c r="D70" i="1"/>
  <c r="D73" i="1"/>
  <c r="D101" i="1"/>
  <c r="U89" i="1"/>
  <c r="D89" i="1" s="1"/>
  <c r="D231" i="1"/>
  <c r="D111" i="1"/>
  <c r="D113" i="1"/>
  <c r="D116" i="1"/>
  <c r="P119" i="1"/>
  <c r="D119" i="1" s="1"/>
  <c r="P123" i="1"/>
  <c r="D123" i="1" s="1"/>
  <c r="P127" i="1"/>
  <c r="D127" i="1" s="1"/>
  <c r="Z147" i="1"/>
  <c r="D237" i="1"/>
  <c r="F263" i="1"/>
  <c r="W422" i="1"/>
  <c r="D266" i="1"/>
  <c r="D268" i="1"/>
  <c r="D271" i="1"/>
  <c r="D274" i="1"/>
  <c r="D278" i="1"/>
  <c r="D280" i="1"/>
  <c r="D284" i="1"/>
  <c r="D288" i="1"/>
  <c r="D291" i="1"/>
  <c r="D294" i="1"/>
  <c r="D296" i="1"/>
  <c r="D300" i="1"/>
  <c r="D304" i="1"/>
  <c r="D308" i="1"/>
  <c r="D311" i="1"/>
  <c r="D318" i="1"/>
  <c r="D324" i="1"/>
  <c r="D328" i="1"/>
  <c r="D338" i="1"/>
  <c r="D342" i="1"/>
  <c r="D348" i="1"/>
  <c r="D352" i="1"/>
  <c r="D354" i="1"/>
  <c r="D356" i="1"/>
  <c r="D374" i="1"/>
  <c r="D379" i="1"/>
  <c r="D383" i="1"/>
  <c r="C430" i="1"/>
  <c r="D506" i="1"/>
  <c r="D376" i="1"/>
  <c r="D378" i="1"/>
  <c r="D386" i="1"/>
  <c r="D392" i="1"/>
  <c r="U393" i="1"/>
  <c r="D394" i="1"/>
  <c r="Z393" i="1"/>
  <c r="D400" i="1"/>
  <c r="D404" i="1"/>
  <c r="D408" i="1"/>
  <c r="D412" i="1"/>
  <c r="D416" i="1"/>
  <c r="D428" i="1"/>
  <c r="D434" i="1"/>
  <c r="D440" i="1"/>
  <c r="D444" i="1"/>
  <c r="D446" i="1"/>
  <c r="D449" i="1"/>
  <c r="D452" i="1"/>
  <c r="D457" i="1"/>
  <c r="D458" i="1"/>
  <c r="D460" i="1"/>
  <c r="D465" i="1"/>
  <c r="D466" i="1"/>
  <c r="D470" i="1"/>
  <c r="D475" i="1"/>
  <c r="D477" i="1"/>
  <c r="D480" i="1"/>
  <c r="D481" i="1"/>
  <c r="D485" i="1"/>
  <c r="U488" i="1"/>
  <c r="D493" i="1"/>
  <c r="D501" i="1"/>
  <c r="D503" i="1"/>
  <c r="K53" i="1"/>
  <c r="D74" i="1"/>
  <c r="T37" i="4"/>
  <c r="O42" i="4"/>
  <c r="Y37" i="4"/>
  <c r="Z18" i="1"/>
  <c r="AB17" i="1"/>
  <c r="D50" i="1"/>
  <c r="K49" i="1"/>
  <c r="K65" i="1" s="1"/>
  <c r="D60" i="1"/>
  <c r="P57" i="1"/>
  <c r="D57" i="1" s="1"/>
  <c r="D102" i="1"/>
  <c r="O38" i="4"/>
  <c r="V422" i="1"/>
  <c r="K488" i="1"/>
  <c r="D489" i="1"/>
  <c r="F488" i="1"/>
  <c r="D15" i="1"/>
  <c r="K26" i="1"/>
  <c r="M25" i="1"/>
  <c r="M47" i="1" s="1"/>
  <c r="P25" i="1"/>
  <c r="C33" i="1"/>
  <c r="AB260" i="1"/>
  <c r="Z258" i="1"/>
  <c r="E42" i="4"/>
  <c r="L422" i="1"/>
  <c r="K263" i="1"/>
  <c r="N422" i="1"/>
  <c r="R422" i="1"/>
  <c r="T263" i="1"/>
  <c r="T422" i="1" s="1"/>
  <c r="C314" i="1"/>
  <c r="C263" i="1" s="1"/>
  <c r="Z314" i="1"/>
  <c r="D314" i="1" s="1"/>
  <c r="AC263" i="1"/>
  <c r="AC422" i="1" s="1"/>
  <c r="D322" i="1"/>
  <c r="D332" i="1"/>
  <c r="D334" i="1"/>
  <c r="D336" i="1"/>
  <c r="D346" i="1"/>
  <c r="D358" i="1"/>
  <c r="D360" i="1"/>
  <c r="D362" i="1"/>
  <c r="D370" i="1"/>
  <c r="D372" i="1"/>
  <c r="D390" i="1"/>
  <c r="D425" i="1"/>
  <c r="X424" i="1"/>
  <c r="U424" i="1" s="1"/>
  <c r="F437" i="1"/>
  <c r="O437" i="1"/>
  <c r="O508" i="1" s="1"/>
  <c r="C446" i="1"/>
  <c r="C437" i="1" s="1"/>
  <c r="Y488" i="1"/>
  <c r="Y508" i="1" s="1"/>
  <c r="C497" i="1"/>
  <c r="O37" i="4"/>
  <c r="J42" i="4"/>
  <c r="D398" i="1"/>
  <c r="C425" i="1"/>
  <c r="C424" i="1" s="1"/>
  <c r="T424" i="1"/>
  <c r="T508" i="1" s="1"/>
  <c r="D426" i="1"/>
  <c r="F424" i="1"/>
  <c r="Z424" i="1"/>
  <c r="D432" i="1"/>
  <c r="F430" i="1"/>
  <c r="Z430" i="1"/>
  <c r="Z497" i="1"/>
  <c r="Z488" i="1" s="1"/>
  <c r="AC488" i="1"/>
  <c r="AC508" i="1" s="1"/>
  <c r="AH45" i="4"/>
  <c r="P65" i="1" l="1"/>
  <c r="C65" i="1"/>
  <c r="AB266" i="5"/>
  <c r="AB267" i="5" s="1"/>
  <c r="D108" i="1"/>
  <c r="U108" i="1"/>
  <c r="F422" i="1"/>
  <c r="AE50" i="4"/>
  <c r="Z57" i="4"/>
  <c r="Z79" i="4" s="1"/>
  <c r="AE79" i="4" s="1"/>
  <c r="Y57" i="4"/>
  <c r="Y79" i="4" s="1"/>
  <c r="D396" i="1"/>
  <c r="F47" i="1"/>
  <c r="Z256" i="1"/>
  <c r="U47" i="1"/>
  <c r="I510" i="1"/>
  <c r="I514" i="1" s="1"/>
  <c r="J40" i="4"/>
  <c r="T40" i="4"/>
  <c r="O40" i="4"/>
  <c r="AD37" i="4"/>
  <c r="AB47" i="1"/>
  <c r="Y47" i="1"/>
  <c r="C47" i="1"/>
  <c r="P47" i="1"/>
  <c r="M35" i="4"/>
  <c r="M45" i="4" s="1"/>
  <c r="AA510" i="1"/>
  <c r="AA514" i="1" s="1"/>
  <c r="L36" i="4"/>
  <c r="J36" i="4" s="1"/>
  <c r="J510" i="1"/>
  <c r="J514" i="1" s="1"/>
  <c r="E39" i="4"/>
  <c r="AD39" i="4" s="1"/>
  <c r="N510" i="1"/>
  <c r="K43" i="4" s="1"/>
  <c r="L510" i="1"/>
  <c r="L514" i="1" s="1"/>
  <c r="G510" i="1"/>
  <c r="AB510" i="1"/>
  <c r="AA43" i="4" s="1"/>
  <c r="R510" i="1"/>
  <c r="Q43" i="4" s="1"/>
  <c r="V510" i="1"/>
  <c r="V514" i="1" s="1"/>
  <c r="Q510" i="1"/>
  <c r="Q514" i="1" s="1"/>
  <c r="T35" i="4"/>
  <c r="H510" i="1"/>
  <c r="W510" i="1"/>
  <c r="V43" i="4" s="1"/>
  <c r="M510" i="1"/>
  <c r="L43" i="4" s="1"/>
  <c r="E510" i="1"/>
  <c r="E514" i="1" s="1"/>
  <c r="T510" i="1"/>
  <c r="T514" i="1" s="1"/>
  <c r="Y510" i="1"/>
  <c r="S510" i="1"/>
  <c r="AC510" i="1"/>
  <c r="AC514" i="1" s="1"/>
  <c r="O510" i="1"/>
  <c r="O514" i="1" s="1"/>
  <c r="K508" i="1"/>
  <c r="F508" i="1"/>
  <c r="P508" i="1"/>
  <c r="Z508" i="1"/>
  <c r="X508" i="1"/>
  <c r="U508" i="1" s="1"/>
  <c r="P488" i="1"/>
  <c r="C422" i="1"/>
  <c r="Q35" i="4"/>
  <c r="P35" i="4"/>
  <c r="F35" i="4"/>
  <c r="AD50" i="4"/>
  <c r="AD57" i="4" s="1"/>
  <c r="AD79" i="4" s="1"/>
  <c r="P256" i="1"/>
  <c r="U256" i="1"/>
  <c r="D67" i="1"/>
  <c r="D86" i="1" s="1"/>
  <c r="Z33" i="1"/>
  <c r="D33" i="1" s="1"/>
  <c r="D144" i="1"/>
  <c r="D146" i="1"/>
  <c r="O36" i="4"/>
  <c r="U263" i="1"/>
  <c r="D147" i="1"/>
  <c r="C488" i="1"/>
  <c r="C508" i="1" s="1"/>
  <c r="Y36" i="4"/>
  <c r="D393" i="1"/>
  <c r="AD29" i="4"/>
  <c r="AH72" i="4"/>
  <c r="AH83" i="4" s="1"/>
  <c r="D9" i="1"/>
  <c r="E30" i="4"/>
  <c r="E75" i="4" s="1"/>
  <c r="D53" i="1"/>
  <c r="P422" i="1"/>
  <c r="Z35" i="4"/>
  <c r="D145" i="1"/>
  <c r="AA42" i="4"/>
  <c r="Y42" i="4" s="1"/>
  <c r="V42" i="4"/>
  <c r="T42" i="4" s="1"/>
  <c r="AD67" i="4"/>
  <c r="AD71" i="4" s="1"/>
  <c r="AD81" i="4" s="1"/>
  <c r="U36" i="4"/>
  <c r="T36" i="4" s="1"/>
  <c r="E38" i="4"/>
  <c r="T38" i="4"/>
  <c r="AE53" i="4"/>
  <c r="AE51" i="4"/>
  <c r="D49" i="1"/>
  <c r="D65" i="1" s="1"/>
  <c r="D29" i="1"/>
  <c r="D430" i="1"/>
  <c r="D132" i="1"/>
  <c r="D437" i="1"/>
  <c r="Y38" i="4"/>
  <c r="E36" i="4"/>
  <c r="Z263" i="1"/>
  <c r="L35" i="4"/>
  <c r="K35" i="4"/>
  <c r="D497" i="1"/>
  <c r="D488" i="1" s="1"/>
  <c r="D424" i="1"/>
  <c r="K422" i="1"/>
  <c r="Z260" i="1"/>
  <c r="D260" i="1" s="1"/>
  <c r="D258" i="1"/>
  <c r="K25" i="1"/>
  <c r="D26" i="1"/>
  <c r="D25" i="1" s="1"/>
  <c r="U422" i="1"/>
  <c r="Z17" i="1"/>
  <c r="D18" i="1"/>
  <c r="AD30" i="4" l="1"/>
  <c r="AD75" i="4" s="1"/>
  <c r="AE57" i="4"/>
  <c r="M72" i="4"/>
  <c r="M83" i="4" s="1"/>
  <c r="M77" i="4"/>
  <c r="AD36" i="4"/>
  <c r="AD42" i="4"/>
  <c r="AB514" i="1"/>
  <c r="Z47" i="1"/>
  <c r="F43" i="4"/>
  <c r="F45" i="4" s="1"/>
  <c r="K45" i="4"/>
  <c r="K77" i="4" s="1"/>
  <c r="F510" i="1"/>
  <c r="F514" i="1" s="1"/>
  <c r="Q45" i="4"/>
  <c r="L45" i="4"/>
  <c r="K510" i="1"/>
  <c r="V45" i="4"/>
  <c r="J35" i="4"/>
  <c r="P510" i="1"/>
  <c r="P514" i="1" s="1"/>
  <c r="C510" i="1"/>
  <c r="U510" i="1"/>
  <c r="U514" i="1" s="1"/>
  <c r="X510" i="1"/>
  <c r="X514" i="1" s="1"/>
  <c r="D508" i="1"/>
  <c r="E35" i="4"/>
  <c r="P43" i="4"/>
  <c r="P45" i="4" s="1"/>
  <c r="P77" i="4" s="1"/>
  <c r="R514" i="1"/>
  <c r="M514" i="1"/>
  <c r="Y514" i="1"/>
  <c r="N514" i="1"/>
  <c r="O35" i="4"/>
  <c r="W514" i="1"/>
  <c r="H43" i="4"/>
  <c r="H45" i="4" s="1"/>
  <c r="H77" i="4" s="1"/>
  <c r="G514" i="1"/>
  <c r="G43" i="4"/>
  <c r="H514" i="1"/>
  <c r="J43" i="4"/>
  <c r="AA35" i="4"/>
  <c r="AA45" i="4" s="1"/>
  <c r="AA77" i="4" s="1"/>
  <c r="D263" i="1"/>
  <c r="D422" i="1" s="1"/>
  <c r="Z43" i="4"/>
  <c r="Y43" i="4" s="1"/>
  <c r="Z422" i="1"/>
  <c r="Z510" i="1" s="1"/>
  <c r="D17" i="1"/>
  <c r="D47" i="1" s="1"/>
  <c r="J38" i="4"/>
  <c r="AD38" i="4" s="1"/>
  <c r="AG77" i="4" l="1"/>
  <c r="V72" i="4"/>
  <c r="V83" i="4" s="1"/>
  <c r="V77" i="4"/>
  <c r="L72" i="4"/>
  <c r="L83" i="4" s="1"/>
  <c r="L77" i="4"/>
  <c r="Q72" i="4"/>
  <c r="Q83" i="4" s="1"/>
  <c r="Q77" i="4"/>
  <c r="Z45" i="4"/>
  <c r="G45" i="4"/>
  <c r="J45" i="4"/>
  <c r="P72" i="4"/>
  <c r="P83" i="4" s="1"/>
  <c r="D510" i="1"/>
  <c r="D514" i="1" s="1"/>
  <c r="U43" i="4"/>
  <c r="O43" i="4"/>
  <c r="S514" i="1"/>
  <c r="Z514" i="1"/>
  <c r="E43" i="4"/>
  <c r="AA72" i="4"/>
  <c r="AA83" i="4" s="1"/>
  <c r="AG43" i="4"/>
  <c r="H72" i="4"/>
  <c r="H83" i="4" s="1"/>
  <c r="AG45" i="4"/>
  <c r="AG72" i="4" s="1"/>
  <c r="AG83" i="4" s="1"/>
  <c r="Y35" i="4"/>
  <c r="AD35" i="4" s="1"/>
  <c r="K72" i="4"/>
  <c r="K83" i="4" s="1"/>
  <c r="E45" i="4" l="1"/>
  <c r="E72" i="4" s="1"/>
  <c r="Z72" i="4"/>
  <c r="Z83" i="4" s="1"/>
  <c r="Z77" i="4"/>
  <c r="AE43" i="4"/>
  <c r="F77" i="4"/>
  <c r="J72" i="4"/>
  <c r="J83" i="4" s="1"/>
  <c r="J77" i="4"/>
  <c r="AF43" i="4"/>
  <c r="G77" i="4"/>
  <c r="AF77" i="4" s="1"/>
  <c r="F72" i="4"/>
  <c r="F83" i="4" s="1"/>
  <c r="G72" i="4"/>
  <c r="G83" i="4" s="1"/>
  <c r="Y45" i="4"/>
  <c r="O45" i="4"/>
  <c r="T43" i="4"/>
  <c r="T45" i="4" s="1"/>
  <c r="U45" i="4"/>
  <c r="AF45" i="4"/>
  <c r="AF72" i="4" s="1"/>
  <c r="AF83" i="4" s="1"/>
  <c r="E77" i="4" l="1"/>
  <c r="E83" i="4"/>
  <c r="O72" i="4"/>
  <c r="O83" i="4" s="1"/>
  <c r="O77" i="4"/>
  <c r="Y72" i="4"/>
  <c r="Y83" i="4" s="1"/>
  <c r="Y77" i="4"/>
  <c r="U72" i="4"/>
  <c r="U83" i="4" s="1"/>
  <c r="U77" i="4"/>
  <c r="AE77" i="4" s="1"/>
  <c r="T72" i="4"/>
  <c r="T83" i="4" s="1"/>
  <c r="T77" i="4"/>
  <c r="AD43" i="4"/>
  <c r="AD45" i="4" s="1"/>
  <c r="AE45" i="4"/>
  <c r="AE72" i="4" s="1"/>
  <c r="AE83" i="4" s="1"/>
  <c r="AD72" i="4" l="1"/>
  <c r="AD83" i="4" s="1"/>
  <c r="AD77" i="4"/>
</calcChain>
</file>

<file path=xl/sharedStrings.xml><?xml version="1.0" encoding="utf-8"?>
<sst xmlns="http://schemas.openxmlformats.org/spreadsheetml/2006/main" count="1969" uniqueCount="1454">
  <si>
    <t>Наименование мероприятий по объектам</t>
  </si>
  <si>
    <t>1.1.</t>
  </si>
  <si>
    <t>2.1.</t>
  </si>
  <si>
    <t>2.2.</t>
  </si>
  <si>
    <t>4.2.</t>
  </si>
  <si>
    <t>5.1.</t>
  </si>
  <si>
    <t>5.2.</t>
  </si>
  <si>
    <t>5.3.</t>
  </si>
  <si>
    <t>6.1.</t>
  </si>
  <si>
    <t>6.2.</t>
  </si>
  <si>
    <t>5.4.</t>
  </si>
  <si>
    <t>Капитальный ремонт автодороги по ул. Радищева (от ул. Октябрьская до ул. Новозаводская)</t>
  </si>
  <si>
    <t>всего, тыс.руб.</t>
  </si>
  <si>
    <t>областной бюджет, тыс.руб.</t>
  </si>
  <si>
    <t>Осуществление строительного контроля на объекте: Капитальный ремонт автодороги по ул. Радищева (от ул. Октябрьская до ул. Новозаводская)</t>
  </si>
  <si>
    <t>Итого по объектам строительства по разделу 1:</t>
  </si>
  <si>
    <t>Итого по объектам реконструкции по разделу 2:</t>
  </si>
  <si>
    <t>Итого по объектам капитального ремонта по разделу 4:</t>
  </si>
  <si>
    <t>Итого по объектам ремонта дворовых территорий по разделу 6:</t>
  </si>
  <si>
    <t>1.1.1.</t>
  </si>
  <si>
    <t>2.1.1.</t>
  </si>
  <si>
    <t>2.2.1.</t>
  </si>
  <si>
    <t>2.2.2.</t>
  </si>
  <si>
    <t>4.11.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</si>
  <si>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</si>
  <si>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</si>
  <si>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</si>
  <si>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</si>
  <si>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</si>
  <si>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</si>
  <si>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</si>
  <si>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</si>
  <si>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</si>
  <si>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</si>
  <si>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</si>
  <si>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5.17.</t>
  </si>
  <si>
    <t>5.18.</t>
  </si>
  <si>
    <t>5.19.</t>
  </si>
  <si>
    <t>5.20.</t>
  </si>
  <si>
    <t>5.16.</t>
  </si>
  <si>
    <t>5.21.</t>
  </si>
  <si>
    <t>5.22.</t>
  </si>
  <si>
    <t>5.23.</t>
  </si>
  <si>
    <t>5.24.</t>
  </si>
  <si>
    <t>5.25.</t>
  </si>
  <si>
    <t>5.26.</t>
  </si>
  <si>
    <t>5.27.</t>
  </si>
  <si>
    <t>5.28.</t>
  </si>
  <si>
    <t>5.29.</t>
  </si>
  <si>
    <t>5.30.</t>
  </si>
  <si>
    <t>5.31.</t>
  </si>
  <si>
    <t>5.33.</t>
  </si>
  <si>
    <t>5.34.</t>
  </si>
  <si>
    <t>5.35.</t>
  </si>
  <si>
    <t>5.36.</t>
  </si>
  <si>
    <t>5.37.</t>
  </si>
  <si>
    <t>5.38.</t>
  </si>
  <si>
    <t>5.39.</t>
  </si>
  <si>
    <t>5.40.</t>
  </si>
  <si>
    <t>5.41.</t>
  </si>
  <si>
    <t>5.42.</t>
  </si>
  <si>
    <t>5.43.</t>
  </si>
  <si>
    <t>1.2.</t>
  </si>
  <si>
    <t>1.2.1.</t>
  </si>
  <si>
    <t>1.2.2.</t>
  </si>
  <si>
    <t>местный бюджет, тыс.руб.</t>
  </si>
  <si>
    <t>5.44.</t>
  </si>
  <si>
    <t>5.45.</t>
  </si>
  <si>
    <t>5.46.</t>
  </si>
  <si>
    <t>5.47.</t>
  </si>
  <si>
    <t>Южное шоссе (от ул. Полякова до ул. Тополиной)</t>
  </si>
  <si>
    <t>Южное шоссе (от ул. Тополиной до Автозаводского шоссе)</t>
  </si>
  <si>
    <t>пр-т Степана Разина от проспекта Ленинский до ул. Спортивной, иск. КТР б-р Приморский - пр-т Степана Разина, пр-т Ленинский - пр-т Степана Разина</t>
  </si>
  <si>
    <t>ул. 40 лет Победы от Южного шоссе до ул. Дзержинского</t>
  </si>
  <si>
    <t>б-р 50 лет Октября (от ул. Новозаводская до Автозаводского шоссе)</t>
  </si>
  <si>
    <t>Хрящевское шоссе от Обводного шоссе до пересечения Южного и Автозаводского шоссе</t>
  </si>
  <si>
    <t>Хрящевское шоссе от Обводного шоссе до г.о. Тольятти</t>
  </si>
  <si>
    <t>2. Реконструкция автомобильных дорог общего пользования местного значения городского округа Тольятти:</t>
  </si>
  <si>
    <t>Оказание услуг по подготовке экспертных заключений по результатам проведения лабораторных испытаний асфальтобетонных покрытий проезжей части автодорог и тротуаров на объектах ремонта дорог</t>
  </si>
  <si>
    <t>5. Выполнение работ по ремонту автомобильных  дорог общего пользования местного значения городского округа Тольятти:</t>
  </si>
  <si>
    <t>Стоимость работ по годам, тыс.руб.</t>
  </si>
  <si>
    <t>ул. Диагональная от ул. Баныкина до ул. Кунеевская</t>
  </si>
  <si>
    <t>Комсомольское шоссе</t>
  </si>
  <si>
    <t>Южное шоссе от ул. Заставная до границы г.о. Тольятти</t>
  </si>
  <si>
    <t>Итого по объектам ремонта дорог по разделу 5:</t>
  </si>
  <si>
    <t>1.1.2.</t>
  </si>
  <si>
    <t>1.3.</t>
  </si>
  <si>
    <t>1.3.2.</t>
  </si>
  <si>
    <t>1.3.3.</t>
  </si>
  <si>
    <t>1.4.</t>
  </si>
  <si>
    <t>1.4.2.</t>
  </si>
  <si>
    <t>1.4.3.</t>
  </si>
  <si>
    <t>1.5.</t>
  </si>
  <si>
    <t>1.5.2.</t>
  </si>
  <si>
    <t>1.5.3.</t>
  </si>
  <si>
    <t>1.6.</t>
  </si>
  <si>
    <t>1.6.1.</t>
  </si>
  <si>
    <t>1.6.2.</t>
  </si>
  <si>
    <t>1.6.3.</t>
  </si>
  <si>
    <t>1.7.</t>
  </si>
  <si>
    <t>1.2.3.</t>
  </si>
  <si>
    <t>Ремонт дворовых территорий многоквартирных домов и проездов к дворовым территориям многоквартирных домов городского округа Тольятти</t>
  </si>
  <si>
    <t xml:space="preserve">Оказание услуг по подготовке экспертных заключений по результатам проведения лабораторных испытаний асфальтобетонных покрытий на объектах  ремонта дворовых территорий многоквартирных домов и проездов к дворовым территориям многоквартирных домов </t>
  </si>
  <si>
    <t>3. Выполнение проектно-изыскательских работ по строительству, реконструкции, капитальному ремонту и ремонту автомобильных дорог общего пользования местного значения городского округа Тольятти:</t>
  </si>
  <si>
    <t>Итого по  объектам проектирования строительства, реконструкции, капитального ремонта и ремонта по разделу 3:</t>
  </si>
  <si>
    <t>5.32.</t>
  </si>
  <si>
    <t>Оказание услуг по диагностике и оценке транспортно-эксплуатационного состояния автомобильных дорог общего пользования местного значения городского округа Тольятти</t>
  </si>
  <si>
    <t>Оказание услуг по техническому учету и паспортизации автомобильных дорог общего пользования местного значения городского округа Тольятти</t>
  </si>
  <si>
    <t>2021 год</t>
  </si>
  <si>
    <t>2022 год</t>
  </si>
  <si>
    <t>2023 год</t>
  </si>
  <si>
    <t>2024 год</t>
  </si>
  <si>
    <t>2025 год</t>
  </si>
  <si>
    <t>1.1.3.</t>
  </si>
  <si>
    <t xml:space="preserve">Строительство магистральной улицы общегородского значения регулируемого движения в продолжение ул. Фермерской до Южного шоссе </t>
  </si>
  <si>
    <t xml:space="preserve"> Осуществление строительного контроля на объекте: Строительство магистральной улицы общегородского значения регулируемого движения в продолжение ул. Фермерской до Южного шоссе </t>
  </si>
  <si>
    <t>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</si>
  <si>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Осуществление строительного контроля на объекте: 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</si>
  <si>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Осуществление строительного контроля на объекте: 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движения.)</t>
  </si>
  <si>
    <t>2.2.3.</t>
  </si>
  <si>
    <t>Строительство улицы Казачья в жилой застройке  микрорайона Жигулевское море от ул. Ивана Красюка  до ул. Бориса Коваленко</t>
  </si>
  <si>
    <t>Осуществление строительного контроля на объекте: Строительство улицы Казачья в жилой застройке  микрорайона Жигулевское море от ул. Ивана Красюка  до ул. Бориса Коваленко</t>
  </si>
  <si>
    <t>Осуществление авторского надзора на объекте: Строительство улицы Казачья в жилой застройке  микрорайона Жигулевское море от ул. Ивана Красюка  до ул. Бориса Коваленко</t>
  </si>
  <si>
    <t>улица Нижнегородская от Майского проезда до ГСК "Полина"</t>
  </si>
  <si>
    <t>Капитальный ремонт автодороги по ул. Октябрьская (от ул. Комсомольская до б-ра 50 лет Октября, г. Тольятти, Самарской области)</t>
  </si>
  <si>
    <t>Осуществление строительного контроля на объекте: Капитальный ремонт автодороги по ул. Октябрьская (от ул. Комсомольская до б-ра 50 лет Октября, г. Тольятти, Самарской области)</t>
  </si>
  <si>
    <t>автодорога по улице Скрябина от улицы Олимпийская до улицы Вавилова</t>
  </si>
  <si>
    <t>автодорога к турбазе "Волна" от Комсомольского шоссе до турбазы "Волна"</t>
  </si>
  <si>
    <t>автодорога  Поволжское шоссе от улицы Громовой до СНТ "Наука"</t>
  </si>
  <si>
    <t>автодорога Поволжское шоссе от СНТ "Наука" до Тольятти - Азот</t>
  </si>
  <si>
    <t>автодорога по улице Ровная от ул. Железнодорожная до УР 65/16</t>
  </si>
  <si>
    <t>подъездная дорога к детскому саду "Олимпия" от улицы Коммунистическая до д/сада "Олимпия"</t>
  </si>
  <si>
    <t>автодорога по бульвару Островского от улицы Краснодонцев до улицы Коммунистическая</t>
  </si>
  <si>
    <t>Осуществление строительного контроля на объекте: Капитальный ремонт автодороги по улице Никонова от  улицы Железнодорожная  до улицы Ингельберга</t>
  </si>
  <si>
    <t>Капитальный ремонт автодороги по улице Никонова от  улицы Железнодорожная  до улицы Ингельберга</t>
  </si>
  <si>
    <t>Капитальный ремонт автодороги по улице Базовая от ул. Комсомольская до улицы Ларина</t>
  </si>
  <si>
    <t>Осуществление строительного контроля на объекте: Капитальный ремонт автодороги по улице Базовая от ул. Комсомольская до улицы Ларина</t>
  </si>
  <si>
    <t>автодорога по улице Революционная от улицы Дзержинского по проспекта Ленинский</t>
  </si>
  <si>
    <t>автодорога по улице Энергетиков от улицы Куйбышева до строения №23 по ул. Энергетиков</t>
  </si>
  <si>
    <t xml:space="preserve">автодорога по улице Менделеева от улицы Калужской до улицы Бориса Коваленко </t>
  </si>
  <si>
    <t>автодорога по улице Учительская от улицы Ингельберга до проезда Ученический</t>
  </si>
  <si>
    <t>автодорога по улице Грибоедова от улицы Ингельберга до улицы Краснознамённая</t>
  </si>
  <si>
    <t>автодорога по переулку 1 Горный от улицы Пионерской до улицы Попова</t>
  </si>
  <si>
    <t>автодорога по Лесопарковому шоссе от улицы Спортивной до Лесопаркового шоссе,42</t>
  </si>
  <si>
    <t>автодорога по улице Коммунистической от улицы Есенина до улицы Куйбышева</t>
  </si>
  <si>
    <t>автодорога по улице Никонова до границы шлюза 23-24</t>
  </si>
  <si>
    <t>автодорога по улице Академика Вавилова (от дома по улице Скрябина,13) до ул. Пескалинская</t>
  </si>
  <si>
    <t>автодорога по Обводной дороге в МКР Прибрежный</t>
  </si>
  <si>
    <t>автодорога к троллейбусному депо №30</t>
  </si>
  <si>
    <t>автодорога от улицы Громовой к проходной ООО "ТЗПО"</t>
  </si>
  <si>
    <t>автодорога от ул. Громовой до здания "Фабрика качества"</t>
  </si>
  <si>
    <t>местный бюджет, тыс. руб.</t>
  </si>
  <si>
    <t>4.1.</t>
  </si>
  <si>
    <t>4.3.</t>
  </si>
  <si>
    <t>4.4.</t>
  </si>
  <si>
    <t>4.5.</t>
  </si>
  <si>
    <t>4.6.</t>
  </si>
  <si>
    <t>4.7.</t>
  </si>
  <si>
    <t>4.9.</t>
  </si>
  <si>
    <t>Капитальный ремонт автодороги по ул. Северная от дома №39 по улице Северная до улицы Цеховая</t>
  </si>
  <si>
    <t>Осуществление строительного контроля на объекте: Капитальный ремонт автодороги по ул. Северная от дома №39 по улице Северная до улицы Цеховая</t>
  </si>
  <si>
    <t>2.1.2.</t>
  </si>
  <si>
    <t>1.4.1.</t>
  </si>
  <si>
    <t>1.5.1.</t>
  </si>
  <si>
    <t>1.7.1.</t>
  </si>
  <si>
    <t>Строительство улично-дорожной сети западнее Московского проспекта - первая очередь</t>
  </si>
  <si>
    <t>Осуществление строительного контроля на объекте: Строительство улично-дорожной сети западнее Московского проспекта - первая очередь</t>
  </si>
  <si>
    <t>Осуществление авторского надзора на объекте: Строительство улично-дорожной сети западнее Московского проспекта - первая очередь</t>
  </si>
  <si>
    <t>3.1.</t>
  </si>
  <si>
    <t>3.2.</t>
  </si>
  <si>
    <t>Строительство магистральной улицы общегородского значения регулируемого движения в продолжение ул. Фермерской до Южного шоссе</t>
  </si>
  <si>
    <t xml:space="preserve">Осуществление авторского надзора на объекте: Строительство магистральной улицы общегородского значения регулируемого движения в продолжение ул. Фермерской до Южного шоссе </t>
  </si>
  <si>
    <t>Осуществление авторского надзора на объекте: 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</si>
  <si>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</si>
  <si>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Осуществление строительного контроля на объекте: 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</si>
  <si>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движения)</t>
  </si>
  <si>
    <t>ИТОГО ПО ПОДПРОГРАММЕ "РГПТ"</t>
  </si>
  <si>
    <t>2021-2025</t>
  </si>
  <si>
    <t xml:space="preserve">Департамент дорожного хозяйства и транспорта администрации городского округа Тольятти </t>
  </si>
  <si>
    <t xml:space="preserve">Изготовление и установка табличек на остановочных пунктах                                                     </t>
  </si>
  <si>
    <t>Задача подпрограммы: совершенствование технического и технологического обеспечения транспортного обслуживания</t>
  </si>
  <si>
    <t>Цель подпрограммы: Повышение качества и доступности транспортных услуг, обеспечение устойчивого и безопасного функционирования пассажирского транспорта</t>
  </si>
  <si>
    <t>Подпрограмма "Развитие  городского пассажирского транспорта в городском округе Тольяттина период 2021-2025 гг."</t>
  </si>
  <si>
    <t>Департамент дорожного хозяйства и транспорта  администрации городского округа Тольятти</t>
  </si>
  <si>
    <t>Содержание МКУ "ЦОДД  ГОТ"</t>
  </si>
  <si>
    <t>Задача подпрограммы : создание условий для осуществления деятельности муниципального казенного учреждения "Центр организации дорожного движения городского округа Тольятти"</t>
  </si>
  <si>
    <t>Департамент дорожного хозяйства и транспорта            администрации городского округа Тольятти</t>
  </si>
  <si>
    <t>Департамент дорожного хозяйства и транспорта  администрации городского округа Тольятти                                                МКУ "ЦОДД ГОТ"</t>
  </si>
  <si>
    <t xml:space="preserve">Приобретение материалов для содержания ТСОДД, ремонта остановочных павильонов   </t>
  </si>
  <si>
    <t>Департамент дорожного хозяйства и транспорта  администрации городского округа Тольятти                                                    МКУ "ЦОДД ГОТ"</t>
  </si>
  <si>
    <t>Приобретение спецтехники</t>
  </si>
  <si>
    <t>Департамент дорожного хозяйства и транспорта администрации городского округа Тольятти</t>
  </si>
  <si>
    <t xml:space="preserve">Проектирование устройства и переноса остановок общественного транспорта, в т.ч. экспертиза выполненных работ   </t>
  </si>
  <si>
    <t>Устройство пешеходных дорожек</t>
  </si>
  <si>
    <t xml:space="preserve">Департамент дорожного хозяйства и транспорта  администрации городского округа Тольятти                           </t>
  </si>
  <si>
    <t>Устройство  искусственных дорожных неровностей, в т.ч. экспертиза выполненных работ</t>
  </si>
  <si>
    <t>Департамент дорожного хозяйства и транспорта  администрации городского округа Тольятти                              МКУ "ЦОДД ГОТ"</t>
  </si>
  <si>
    <t>Задача подпрограммы: проведение организационных и инженерных мер, направленных на предупреждение причин возникновения дорожно-транспортных происшествий</t>
  </si>
  <si>
    <t>Цель подпрограммы: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</t>
  </si>
  <si>
    <t>Задача 1 муниципальной 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</t>
  </si>
  <si>
    <t>Внебюджетные средства</t>
  </si>
  <si>
    <t>федеральный   бюджет</t>
  </si>
  <si>
    <t>областной  бюджет</t>
  </si>
  <si>
    <t>местный      бюджет</t>
  </si>
  <si>
    <t>Всего</t>
  </si>
  <si>
    <t xml:space="preserve"> План на 2025 год</t>
  </si>
  <si>
    <t xml:space="preserve"> План на 2024 год</t>
  </si>
  <si>
    <t xml:space="preserve"> План на 2023 год</t>
  </si>
  <si>
    <t xml:space="preserve"> План на 2022 год</t>
  </si>
  <si>
    <t xml:space="preserve"> План на 2021 год</t>
  </si>
  <si>
    <t>Итого</t>
  </si>
  <si>
    <t>Финансовое обеспечение реализации муниципальной программы, тыс. руб.</t>
  </si>
  <si>
    <t>Ответственный 
исполнитель</t>
  </si>
  <si>
    <t xml:space="preserve">
Наименование целей, задач и мероприятий муниципальной программы</t>
  </si>
  <si>
    <t>№</t>
  </si>
  <si>
    <t>внебюд-жетные средства</t>
  </si>
  <si>
    <t>федераль-ный   бюджет</t>
  </si>
  <si>
    <t xml:space="preserve">Подпрограмма "Повышение безопасности дорожного движения на период 2021-2025 гг."                       </t>
  </si>
  <si>
    <t xml:space="preserve">ИТОГО ПО ПОДПРОГРАММЕ "ПБДД"   </t>
  </si>
  <si>
    <t>Реконструкция автомобильных дорог общего пользования местного значения городского округа Тольятти</t>
  </si>
  <si>
    <t>Выполнение проектно-изыскательских работ по строительству, реконструкции, капитальному ремонту и ремонту автомобильных дорог общего пользования местного значения городского округа Тольятти</t>
  </si>
  <si>
    <t>Выполнение работ по ремонту автомобильных  дорог общего пользования местного значения городского округа Тольятти</t>
  </si>
  <si>
    <t>ИТОГО ПО ПОДПРОГРАММЕ "МРАД"</t>
  </si>
  <si>
    <t>Подпрограмма "Содержание улично-дорожной сети на 2021 - 2025 гг."</t>
  </si>
  <si>
    <t>Задача подпрограммы: выполнение мероприятий по уходу за автомобильными дорогами общего пользования местного значения и объектами дорожного хозяйства городского округа Тольятти</t>
  </si>
  <si>
    <t xml:space="preserve">Содержание   надземных и подземных пешеходных переходов </t>
  </si>
  <si>
    <t>Задача подпрограммы: выполнение мероприятий по организации  дорожного движения</t>
  </si>
  <si>
    <t>Нанесение горизонтальной дорожной разметки</t>
  </si>
  <si>
    <t>ИТОГО ПО ПОДПРОГРАММЕ "СУДС"</t>
  </si>
  <si>
    <t>Сроки реали-зации</t>
  </si>
  <si>
    <t>Цель муниципальной программы: Развитие дорожно-транспортной инфраструктуры в городском округе Тольятти, обеспечение безопасных условий дорожного движения</t>
  </si>
  <si>
    <t>Центральный район:</t>
  </si>
  <si>
    <t xml:space="preserve">Автодорога по проезду Валентины Ступиной </t>
  </si>
  <si>
    <t xml:space="preserve">Автодорога по ул. Минской от ул. 50 лет Октября до ул. Мичурина </t>
  </si>
  <si>
    <t>Автодорога по улице Щорса</t>
  </si>
  <si>
    <t>Автодорога по улице 25 лет Октября</t>
  </si>
  <si>
    <t>Автодорога по ул. Интернациональная (от проезда Декабристов до ул. Ларина)</t>
  </si>
  <si>
    <t>Автодорога по проезду Ленский</t>
  </si>
  <si>
    <t>Автодорога по проезду Кутузова</t>
  </si>
  <si>
    <t>Автодорога по проезду Некрасова</t>
  </si>
  <si>
    <t>Автодорога по проезду Сызранский ( от ул. Октябрьская до ул. Самарская)</t>
  </si>
  <si>
    <t>Автодорога по проезду Урожайный</t>
  </si>
  <si>
    <t>Автодорога по проезду Профсоюзов (от ул. Гайдара до проезда Тургенева)</t>
  </si>
  <si>
    <t>Автодороги по переулкам Онежский (1-9)</t>
  </si>
  <si>
    <t>Автодорога по проезду Зеленому</t>
  </si>
  <si>
    <t xml:space="preserve">Автодорога по проезду Учительскому </t>
  </si>
  <si>
    <t xml:space="preserve">Автодорога по проезду Коммунальному </t>
  </si>
  <si>
    <t>Автодорога по улице Блюхера ( от ул. Садовая до проезда Коммунальный)</t>
  </si>
  <si>
    <t>Автодорога по ул. Жигулевская ( от ул. Первомайская до проезда Охотничий)</t>
  </si>
  <si>
    <t>Автодорога по проезду Алтайскому</t>
  </si>
  <si>
    <t>Автодорога по проезду Тургенева</t>
  </si>
  <si>
    <t xml:space="preserve">Автодорога по проезду Колхозному </t>
  </si>
  <si>
    <t xml:space="preserve">Автодорога по проезду Молодежному </t>
  </si>
  <si>
    <t>Автодорогу по проезду Енисейскому (от улицы Кирова до бульвара 50 лет Октября)</t>
  </si>
  <si>
    <t>Автодорога по проезду Печерскому  (от б-ра 50 лет октября до ул. Кирова;                         (от ул. Кирова до ул. Л. Толстого)</t>
  </si>
  <si>
    <t>Автодорога по проезду Бородинскому</t>
  </si>
  <si>
    <t>Автодорога по улице Маяковского</t>
  </si>
  <si>
    <t>Автодорога по проезду Свободы</t>
  </si>
  <si>
    <t>Автодорога по улице Марии Ульяновой</t>
  </si>
  <si>
    <t>Автодорога по улице Дмитрия Ульянова</t>
  </si>
  <si>
    <t>Автодорога по проезду Строителей</t>
  </si>
  <si>
    <t>Автодорога по улице Гайдара ( от ул. Чапаева до проезда Водников)</t>
  </si>
  <si>
    <t>Автодорога по переулку 1-й Парковый</t>
  </si>
  <si>
    <t>Автодорога по переулку 3-й Парковый</t>
  </si>
  <si>
    <t>Автодорога по переулку 5-й Парковый</t>
  </si>
  <si>
    <t>Автодорога по переулку6-й Парковый</t>
  </si>
  <si>
    <t>Автодорога по переулку 7-й Парковый</t>
  </si>
  <si>
    <t>Автодорога по проезду Линейный</t>
  </si>
  <si>
    <t>Автодорога по проезду Репина</t>
  </si>
  <si>
    <t>Автодорога по проезду2-й Сосновый</t>
  </si>
  <si>
    <t>Автодорога по проезду 1-й Пугачевский</t>
  </si>
  <si>
    <t>Автодорога по проезду 2-й Пугачевский</t>
  </si>
  <si>
    <t>Автодорога по проезду Донской (1- 7)</t>
  </si>
  <si>
    <t>Автодорога по проезду 1-й Минский</t>
  </si>
  <si>
    <t>Автодорога по проезду 2-й Минский</t>
  </si>
  <si>
    <t>Автодорога по проезду Ягодный</t>
  </si>
  <si>
    <t>Автодорога по проезду Амурский</t>
  </si>
  <si>
    <t>Автодорога по улице Чкалова (от ул. Кирова до д.94 по ул. Чкалова)</t>
  </si>
  <si>
    <t>Автодорога по проезду  9 января</t>
  </si>
  <si>
    <t>Автодорога по улице Уральская ( от ул. Мичурина до б-ра 50 лет Октября)</t>
  </si>
  <si>
    <t>Автодорога по проезду Тверской</t>
  </si>
  <si>
    <t>Автодорога по проезду Короткий</t>
  </si>
  <si>
    <t>Автодорога по проезду Кавалерийский</t>
  </si>
  <si>
    <t>Автодорога по проезду Солнечный</t>
  </si>
  <si>
    <t>Автодорога по проезду Лунный</t>
  </si>
  <si>
    <t>Автодорога по проезду Сосновый</t>
  </si>
  <si>
    <t>Проезд Яблоневый</t>
  </si>
  <si>
    <t>Автодорога по проезду Донской</t>
  </si>
  <si>
    <t>Автодорога по проезду Студенческий</t>
  </si>
  <si>
    <t>Автодорога по проезду Кирпичный</t>
  </si>
  <si>
    <t>Автодорога по проезду Добролюбова</t>
  </si>
  <si>
    <t>Автодорога по проезду Декабристов</t>
  </si>
  <si>
    <t>Автодорога по проезду Ключевой</t>
  </si>
  <si>
    <t>Автодорога по проезду Полярников</t>
  </si>
  <si>
    <t>Автодорога по проезду Молдавский</t>
  </si>
  <si>
    <t>Автодорога по проезду Камский</t>
  </si>
  <si>
    <t>Автодорога по проезду Торновый</t>
  </si>
  <si>
    <t>Автодорога по проезду Березовый</t>
  </si>
  <si>
    <t>Автодорога по проезду Озерный</t>
  </si>
  <si>
    <t>Автодорога по проезду Пехотный</t>
  </si>
  <si>
    <t>Автодорога по проезду Невский</t>
  </si>
  <si>
    <t>Автодорога по проезду Гастелло</t>
  </si>
  <si>
    <t>Автодорога по проезду 1-й Лесной</t>
  </si>
  <si>
    <t>Автодорога по проезду 2-й Лесной</t>
  </si>
  <si>
    <t>Автодорога по проезду 3-й Лесной</t>
  </si>
  <si>
    <t>Автодорога по проезду 4-й Лесной</t>
  </si>
  <si>
    <t>Автодорога по проезду 5-й Лесной</t>
  </si>
  <si>
    <t>Автодорога по проезду 6-й Лесной</t>
  </si>
  <si>
    <t>Автодорога по проезду 7-й Лесной</t>
  </si>
  <si>
    <t>Автодорога по проезду 8-й Лесной</t>
  </si>
  <si>
    <t>Автодорога по проезду Гражданский</t>
  </si>
  <si>
    <t>Автодорога по проезду Детский</t>
  </si>
  <si>
    <t>Переулок 1-й Заводской</t>
  </si>
  <si>
    <t>Переулок 2-й Заводской</t>
  </si>
  <si>
    <t>Автодорога по проезду Заводской</t>
  </si>
  <si>
    <t>Автодорога по проезду  Книжный</t>
  </si>
  <si>
    <t>Автодорога по проезду  Крымский</t>
  </si>
  <si>
    <t>Автодорога по проезду  Котельный</t>
  </si>
  <si>
    <t xml:space="preserve">ул. Клавдии Вавиловой                        </t>
  </si>
  <si>
    <t>Автодорога по проезду Славы</t>
  </si>
  <si>
    <t>Автодорога по переулку 2-й Парковый</t>
  </si>
  <si>
    <t>Автодорога по переулку 4-й Парковый</t>
  </si>
  <si>
    <t>Автодорога по переулку 8-й Парковый</t>
  </si>
  <si>
    <t>Автодорога по переулку 9-й Парковый</t>
  </si>
  <si>
    <t>Автодорога по переулку 10-й Парковый</t>
  </si>
  <si>
    <t>Автодорога по переулку 11-й Парковый</t>
  </si>
  <si>
    <t>Автодорога по переулку 12-й Парковый</t>
  </si>
  <si>
    <t>Автодорога по переулку Трудовой</t>
  </si>
  <si>
    <t>Автодорога по переулку Армейский</t>
  </si>
  <si>
    <t>Автодорога по проезду Дорожный</t>
  </si>
  <si>
    <t>Автодорога по проезду Фурманова</t>
  </si>
  <si>
    <t xml:space="preserve">Автодорога по проезду Степной </t>
  </si>
  <si>
    <t xml:space="preserve">Автодорога по проезду Гвардейский </t>
  </si>
  <si>
    <t>Автодорога по проезду Лесной  (переулок Спортивный)</t>
  </si>
  <si>
    <t>Автодорога по переулку Молодогвардейский</t>
  </si>
  <si>
    <t>Автодорога по проезду Луговой</t>
  </si>
  <si>
    <t>Автодорога по проезду Вишневый</t>
  </si>
  <si>
    <t>Автодорога по проезду 2-й Озерный</t>
  </si>
  <si>
    <t xml:space="preserve">Автодорога по проезду Пионерский </t>
  </si>
  <si>
    <t>Автодорога по проезду Красный</t>
  </si>
  <si>
    <t xml:space="preserve"> Автодорога по ул. Калинина (от ул. Шлютова до пр. Чернышевского)</t>
  </si>
  <si>
    <t>Автодорога по проезду Кольцевой</t>
  </si>
  <si>
    <t>Автодорога по проезду Рыночный</t>
  </si>
  <si>
    <t>Автодорога по проезду Торговый  (от пр. Пожарского до ул. Комсомольская)</t>
  </si>
  <si>
    <t>Автодорога по проезду Колхозный ( от проезда Профсоюзов до ул. Чапаева)</t>
  </si>
  <si>
    <t>Автодорога по ул. Пугачевская ( от ул. Шлютова до б-ра 50 лет Октября0</t>
  </si>
  <si>
    <t>Автодорога по проезду Хлебный</t>
  </si>
  <si>
    <t>Автодорога по улице Киевская</t>
  </si>
  <si>
    <t>Автодорога по улице  Голоднова (от пр. Делового до границы Городского округа)</t>
  </si>
  <si>
    <t>Автодорога по проезду Непорожнего</t>
  </si>
  <si>
    <t>Автодорога по улице  Викторова;</t>
  </si>
  <si>
    <t>Автодорога по улице  Лапшева;</t>
  </si>
  <si>
    <t xml:space="preserve"> Автодорога по проезду Ясный;</t>
  </si>
  <si>
    <t>Автодорога по проезду Веры;</t>
  </si>
  <si>
    <t>Автодорога по проезду Надежды;</t>
  </si>
  <si>
    <t xml:space="preserve"> Автодорога по проезду Крутой;</t>
  </si>
  <si>
    <t>Проезд Посадский;</t>
  </si>
  <si>
    <t>Автодорога по проезду Деловой</t>
  </si>
  <si>
    <t>Автодорога по проезду Звездный;</t>
  </si>
  <si>
    <t>Автодорога по проезду Большой;</t>
  </si>
  <si>
    <t>Автодорога по проезду Розовый;</t>
  </si>
  <si>
    <t>Автодорога по проезду Нежный;</t>
  </si>
  <si>
    <t>Автодорога по проезду Межевой;</t>
  </si>
  <si>
    <t>Комсомольский район:</t>
  </si>
  <si>
    <t>Автодорога по переулку Ученический</t>
  </si>
  <si>
    <t>Автодорога по улице Удалецкая</t>
  </si>
  <si>
    <t>Автодорога по улице Весенняя ( от ул. Вавилова до ул. Пескалинская)</t>
  </si>
  <si>
    <t>Автодорога по ул. Дворцовая</t>
  </si>
  <si>
    <t xml:space="preserve">Автодорога по ул. Осенняя </t>
  </si>
  <si>
    <t>Автодорога по ул. Автомобилистов</t>
  </si>
  <si>
    <t>Автодорога по проезду Памяти</t>
  </si>
  <si>
    <t>Автодорога по проезду Дымчатый</t>
  </si>
  <si>
    <t>Автодорога по улице Калужская</t>
  </si>
  <si>
    <t>Автодорога по проезду Розы Люксембург</t>
  </si>
  <si>
    <t xml:space="preserve">Автодорога по переулку Пионерский </t>
  </si>
  <si>
    <t>Автодорога по переулку Лобачевского</t>
  </si>
  <si>
    <t>Автодорога по ул. Телеграфная (от ООТ "Туберкулезный диспансер" до ул. Фадеева</t>
  </si>
  <si>
    <t>Автодорога по ул. 1-я линейная</t>
  </si>
  <si>
    <t xml:space="preserve">Автодорога по ул. 2-я Линейная                                                              </t>
  </si>
  <si>
    <t xml:space="preserve">Автодорога по проезду 1-й Тракторный  </t>
  </si>
  <si>
    <t>Проезд 3-й Тракторный</t>
  </si>
  <si>
    <t xml:space="preserve">Проезд 4-й Тракторный                </t>
  </si>
  <si>
    <t>Проезд 5-й Тракторный</t>
  </si>
  <si>
    <t>Автодорога по улице Наумова</t>
  </si>
  <si>
    <t>Автодорога по улице Задельная</t>
  </si>
  <si>
    <t>Автодорога по проезду Иркутский</t>
  </si>
  <si>
    <t>Автодорога по проезду Оренбургский</t>
  </si>
  <si>
    <t xml:space="preserve">Автодорога по улице Восточная </t>
  </si>
  <si>
    <t xml:space="preserve">Автодорога по ул. Фадеева       </t>
  </si>
  <si>
    <t>Автодорога по улице  Пушкина</t>
  </si>
  <si>
    <t>Автодорога по улице Дачная</t>
  </si>
  <si>
    <t>Автодорога по улице Горная</t>
  </si>
  <si>
    <t xml:space="preserve">Автодорога по переулку      1-й Горный </t>
  </si>
  <si>
    <t xml:space="preserve">Автодорога по переулку         2-й Горный </t>
  </si>
  <si>
    <t xml:space="preserve">Автодорога по переулку      3-й Горный </t>
  </si>
  <si>
    <t xml:space="preserve">Автодорога по переулку      4-й Горный </t>
  </si>
  <si>
    <t xml:space="preserve">Автодорога по улице Пионерская                                           </t>
  </si>
  <si>
    <t>Автодорога по улице Родниковая</t>
  </si>
  <si>
    <t>Автодорога по переулку Ростовскому</t>
  </si>
  <si>
    <t>Автодорога по улице  Тракторная</t>
  </si>
  <si>
    <t>Автодорога по улице  Заречная</t>
  </si>
  <si>
    <t>Автодорога по улице Воронежская</t>
  </si>
  <si>
    <t xml:space="preserve">Автодорога по улице Орловская </t>
  </si>
  <si>
    <t xml:space="preserve">Автодорога по ул. Песчаная                             </t>
  </si>
  <si>
    <t>Автодорога по проезду Сибирский</t>
  </si>
  <si>
    <t>Автодорога по проезду Западный</t>
  </si>
  <si>
    <t>Автодорога по проезду Достоевского</t>
  </si>
  <si>
    <t xml:space="preserve">Автодорога по проезду 1-й Мирный </t>
  </si>
  <si>
    <t>Автодорога по улице Пархоменко</t>
  </si>
  <si>
    <t xml:space="preserve">Автодорога по проезду 2-й Мирный </t>
  </si>
  <si>
    <t xml:space="preserve">Автодорога по проезду 3-й Мирный </t>
  </si>
  <si>
    <t>Автодорога по улице Брестская</t>
  </si>
  <si>
    <t>Автодорога по проезду Осиновый</t>
  </si>
  <si>
    <t>Автодорога по улице Федоровская</t>
  </si>
  <si>
    <t>Автодорога по переулку Гаражный</t>
  </si>
  <si>
    <t xml:space="preserve">Автодорога по улице  Димитрова         </t>
  </si>
  <si>
    <t>Автодорога по улице  Клары Цеткин</t>
  </si>
  <si>
    <t>Автодорога по переулку Учительскому</t>
  </si>
  <si>
    <t>Автодорога по ул. Краснознаменная</t>
  </si>
  <si>
    <t>Автодорога по улице  Попова</t>
  </si>
  <si>
    <t>Автодорога по переулку Луговой</t>
  </si>
  <si>
    <t>Автодорога по переулку Южный</t>
  </si>
  <si>
    <t>Автодорога по улице  Клубная</t>
  </si>
  <si>
    <t>Переулок между ул. Ингельберга и ул. Кооперативной</t>
  </si>
  <si>
    <t xml:space="preserve">Автодорога по улице Подгорная                                                 </t>
  </si>
  <si>
    <t>Автодорога по проезду Малый</t>
  </si>
  <si>
    <t xml:space="preserve">Автодорога по улице  Окольная                                           </t>
  </si>
  <si>
    <t>Автодорога по переулку Одинокий</t>
  </si>
  <si>
    <t xml:space="preserve"> Автодорога по ул. Кооперативная  </t>
  </si>
  <si>
    <t>Автодорога по улице Академика Скрябина ( от ул. Вавилова до ул. Пескалинская)</t>
  </si>
  <si>
    <t xml:space="preserve">Автодорога по улице Сиреневая </t>
  </si>
  <si>
    <t>Автодорога по проезду Рижский</t>
  </si>
  <si>
    <t>Автодорога по улице Варваринская</t>
  </si>
  <si>
    <t>Автодорога по ул. Алексея Улесова</t>
  </si>
  <si>
    <t>Автодорога по ул. Казачья</t>
  </si>
  <si>
    <t>Автодорога по пер. Малый</t>
  </si>
  <si>
    <t>Автодорога по ул. Молодецкая</t>
  </si>
  <si>
    <t>Автодорога по ул. Ивана Красюка</t>
  </si>
  <si>
    <t>Автодорога по пер. Семейный</t>
  </si>
  <si>
    <t>Автодорога по пер. Новоселов</t>
  </si>
  <si>
    <t>Оказание услуг по подготовке экспертных заключений о соответствии результатов выполненных работ по отсыпке автомобильных дорог городского округа Тольятти, расположенных в зоне застройки индивидуальными жилыми домами асфальтогранулятом</t>
  </si>
  <si>
    <t>Итого по Комсомольскому району:</t>
  </si>
  <si>
    <t xml:space="preserve">Автодороги Центральной части Центрального района </t>
  </si>
  <si>
    <t>автодорога по ул. Рабочая</t>
  </si>
  <si>
    <t>Автодороги микрорайона Тимофеевка-2</t>
  </si>
  <si>
    <t xml:space="preserve">Автодорога по проезду Запорожский </t>
  </si>
  <si>
    <t xml:space="preserve">Автодорога по проезду Рабочий  </t>
  </si>
  <si>
    <t>Автодорога по проезду Сахалинский</t>
  </si>
  <si>
    <t xml:space="preserve">Автодорога по проезду Суворова </t>
  </si>
  <si>
    <t>Автодорога по проезду Шевченко</t>
  </si>
  <si>
    <t>Автодорога по проезду Пожарского</t>
  </si>
  <si>
    <t xml:space="preserve">Автодорога по проезду Пролетарский </t>
  </si>
  <si>
    <t xml:space="preserve">Автодорога по улице Крупской </t>
  </si>
  <si>
    <t xml:space="preserve">автодорога от ул. Рабочей до ул. Новозаводской </t>
  </si>
  <si>
    <t xml:space="preserve">Автодорога по ул. Белинского </t>
  </si>
  <si>
    <t>Автодороги микрорайона Федоровка</t>
  </si>
  <si>
    <t xml:space="preserve">Автодорога по ул. Саранская </t>
  </si>
  <si>
    <t>Автодороги микрорайона Новоматюшкино</t>
  </si>
  <si>
    <t>Автодороги микрорайона Поволжский</t>
  </si>
  <si>
    <t xml:space="preserve">Автодороги мкр. Жигулевское море </t>
  </si>
  <si>
    <t>Автодорога по ул. Кожевенная</t>
  </si>
  <si>
    <t>Итого Центральный район:</t>
  </si>
  <si>
    <t>Автодорога по проезду 8 Марта</t>
  </si>
  <si>
    <t>Автодорога по проезду от Хрящевского шоссе до ул. Грачева, 41</t>
  </si>
  <si>
    <t>Автодорога по проезду от Хрящевского шоссе до ул. Грачева, 17</t>
  </si>
  <si>
    <t xml:space="preserve">Автодорога по проезду 2-й Тракторный                                               </t>
  </si>
  <si>
    <t>Автодороги микрорайона Загородный</t>
  </si>
  <si>
    <t>Автодорога по проезду 1-й Одесский (от ул. Кирова до ул. Ларина)</t>
  </si>
  <si>
    <t>7.2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</si>
  <si>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</si>
  <si>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</si>
  <si>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</si>
  <si>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</si>
  <si>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</si>
  <si>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</si>
  <si>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</si>
  <si>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</si>
  <si>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</si>
  <si>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</si>
  <si>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</si>
  <si>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</si>
  <si>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</si>
  <si>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7.1.15</t>
  </si>
  <si>
    <t>7.1.16</t>
  </si>
  <si>
    <t>7.1.17</t>
  </si>
  <si>
    <t>7.1.18</t>
  </si>
  <si>
    <t>7.1.19</t>
  </si>
  <si>
    <t>7.1.20</t>
  </si>
  <si>
    <t>7.1.21</t>
  </si>
  <si>
    <t>7.1.22</t>
  </si>
  <si>
    <t>7.1.23</t>
  </si>
  <si>
    <t>7.1.24</t>
  </si>
  <si>
    <t>7.1.25</t>
  </si>
  <si>
    <t>7.1.26</t>
  </si>
  <si>
    <t>7.1.27</t>
  </si>
  <si>
    <t>7.1.28</t>
  </si>
  <si>
    <t>7.1.29</t>
  </si>
  <si>
    <t>7.1.30</t>
  </si>
  <si>
    <t>7.1.31</t>
  </si>
  <si>
    <t>7.1.32</t>
  </si>
  <si>
    <t>7.1.33</t>
  </si>
  <si>
    <t>7.1.34</t>
  </si>
  <si>
    <t>7.1.35</t>
  </si>
  <si>
    <t>7.1.36</t>
  </si>
  <si>
    <t>7.1.37</t>
  </si>
  <si>
    <t>7.1.38</t>
  </si>
  <si>
    <t>7.1.39</t>
  </si>
  <si>
    <t>7.1.40</t>
  </si>
  <si>
    <t>7.1.41</t>
  </si>
  <si>
    <t>7.1.42</t>
  </si>
  <si>
    <t>7.1.43</t>
  </si>
  <si>
    <t>7.1.44</t>
  </si>
  <si>
    <t>7.1.45</t>
  </si>
  <si>
    <t>7.1.46</t>
  </si>
  <si>
    <t>7.1.47</t>
  </si>
  <si>
    <t>7.1.48</t>
  </si>
  <si>
    <t>7.1.49</t>
  </si>
  <si>
    <t>7.1.50</t>
  </si>
  <si>
    <t>7.1.51</t>
  </si>
  <si>
    <t>7.1.52</t>
  </si>
  <si>
    <t>7.1.53</t>
  </si>
  <si>
    <t>7.1.54</t>
  </si>
  <si>
    <t>7.1.55</t>
  </si>
  <si>
    <t>7.1.56</t>
  </si>
  <si>
    <t>7.1.57</t>
  </si>
  <si>
    <t>7.1.58</t>
  </si>
  <si>
    <t>7.1.59</t>
  </si>
  <si>
    <t>7.1.60</t>
  </si>
  <si>
    <t>7.1.61</t>
  </si>
  <si>
    <t>7.1.62</t>
  </si>
  <si>
    <t>7.1.63</t>
  </si>
  <si>
    <t>7.1.64</t>
  </si>
  <si>
    <t>7.1.65</t>
  </si>
  <si>
    <t>7.1.66</t>
  </si>
  <si>
    <t>7.1.67</t>
  </si>
  <si>
    <t>7.1.68</t>
  </si>
  <si>
    <t>7.1.69</t>
  </si>
  <si>
    <t>7.1.70</t>
  </si>
  <si>
    <t>7.1.71</t>
  </si>
  <si>
    <t>7.1.72</t>
  </si>
  <si>
    <t>7.1.73</t>
  </si>
  <si>
    <t>7.1.74</t>
  </si>
  <si>
    <t>7.1.75</t>
  </si>
  <si>
    <t>7.1.76</t>
  </si>
  <si>
    <t>7.1.77</t>
  </si>
  <si>
    <t>7.1.78</t>
  </si>
  <si>
    <t>7.1.79</t>
  </si>
  <si>
    <t>7.1.80</t>
  </si>
  <si>
    <t>7.1.81</t>
  </si>
  <si>
    <t>7.1.82</t>
  </si>
  <si>
    <t>7.1.83</t>
  </si>
  <si>
    <t>7.1.84</t>
  </si>
  <si>
    <t>7.1.85</t>
  </si>
  <si>
    <t>7.1.86</t>
  </si>
  <si>
    <t>7.1.87</t>
  </si>
  <si>
    <t>7.1.88</t>
  </si>
  <si>
    <t>7.1.89</t>
  </si>
  <si>
    <t>7.1.90</t>
  </si>
  <si>
    <t>7.1.91</t>
  </si>
  <si>
    <t>7.1.92</t>
  </si>
  <si>
    <t>7.1.93</t>
  </si>
  <si>
    <t>7.1.94</t>
  </si>
  <si>
    <t>7.1.95</t>
  </si>
  <si>
    <t>7.1.96</t>
  </si>
  <si>
    <t>7.1.97</t>
  </si>
  <si>
    <t>7.1.98</t>
  </si>
  <si>
    <t>7.1.99</t>
  </si>
  <si>
    <t>7.1.100</t>
  </si>
  <si>
    <t>7.1.101</t>
  </si>
  <si>
    <t>7.1.102</t>
  </si>
  <si>
    <t>7.1.103</t>
  </si>
  <si>
    <t>7.1.104</t>
  </si>
  <si>
    <t>7.1.105</t>
  </si>
  <si>
    <t>7.1.106</t>
  </si>
  <si>
    <t>7.1.107</t>
  </si>
  <si>
    <t>7.1.108</t>
  </si>
  <si>
    <t>7.1.109</t>
  </si>
  <si>
    <t>7.1.110</t>
  </si>
  <si>
    <t>7.1.111</t>
  </si>
  <si>
    <t>7.1.112</t>
  </si>
  <si>
    <t>7.1.113</t>
  </si>
  <si>
    <t>7.1.114</t>
  </si>
  <si>
    <t>7.1.115</t>
  </si>
  <si>
    <t>7.1.116</t>
  </si>
  <si>
    <t>7.1.117</t>
  </si>
  <si>
    <t>7.1.118</t>
  </si>
  <si>
    <t>7.1.119</t>
  </si>
  <si>
    <t>7.1.120</t>
  </si>
  <si>
    <t>7.1.121</t>
  </si>
  <si>
    <t>7.1.122</t>
  </si>
  <si>
    <t>7.1.123</t>
  </si>
  <si>
    <t>7.1.124</t>
  </si>
  <si>
    <t>7.1.125</t>
  </si>
  <si>
    <t>7.1.126</t>
  </si>
  <si>
    <t>7.1.127</t>
  </si>
  <si>
    <t>7.1.128</t>
  </si>
  <si>
    <t>7.1.129</t>
  </si>
  <si>
    <t>7.1.130</t>
  </si>
  <si>
    <t>7.1.131</t>
  </si>
  <si>
    <t>7.1.132</t>
  </si>
  <si>
    <t>7.1.133</t>
  </si>
  <si>
    <t>7.1.134</t>
  </si>
  <si>
    <t>7.1.135</t>
  </si>
  <si>
    <t>7.1.136</t>
  </si>
  <si>
    <t>7.1.137</t>
  </si>
  <si>
    <t>7.1.138</t>
  </si>
  <si>
    <t>7.1.139</t>
  </si>
  <si>
    <t>7.1.140</t>
  </si>
  <si>
    <t>7.1.141</t>
  </si>
  <si>
    <t>7.1.142</t>
  </si>
  <si>
    <t>7.1.143</t>
  </si>
  <si>
    <t>7.1.144</t>
  </si>
  <si>
    <t>7.1.145</t>
  </si>
  <si>
    <t>7.1.146</t>
  </si>
  <si>
    <t>7.1.147</t>
  </si>
  <si>
    <t>7.1.148</t>
  </si>
  <si>
    <t>7.1.149</t>
  </si>
  <si>
    <t>7.1.150</t>
  </si>
  <si>
    <t>7.1.151</t>
  </si>
  <si>
    <t>7.1.152</t>
  </si>
  <si>
    <t>7.1.153</t>
  </si>
  <si>
    <t>7.1.154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</si>
  <si>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</si>
  <si>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</si>
  <si>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</si>
  <si>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</si>
  <si>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</si>
  <si>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</si>
  <si>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</si>
  <si>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</si>
  <si>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</si>
  <si>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</si>
  <si>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</si>
  <si>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</si>
  <si>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</si>
  <si>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</si>
  <si>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</si>
  <si>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7.2.16</t>
  </si>
  <si>
    <t>7.2.17</t>
  </si>
  <si>
    <t>7.2.18</t>
  </si>
  <si>
    <t>7.2.19</t>
  </si>
  <si>
    <t>7.2.20</t>
  </si>
  <si>
    <t>7.2.21</t>
  </si>
  <si>
    <t>7.2.22</t>
  </si>
  <si>
    <t>7.2.23</t>
  </si>
  <si>
    <t>7.2.24</t>
  </si>
  <si>
    <t>7.2.25</t>
  </si>
  <si>
    <t>7.2.26</t>
  </si>
  <si>
    <t>7.2.27</t>
  </si>
  <si>
    <t>7.2.28</t>
  </si>
  <si>
    <t>7.2.29</t>
  </si>
  <si>
    <t>7.2.30</t>
  </si>
  <si>
    <t>7.2.31</t>
  </si>
  <si>
    <t>7.2.32</t>
  </si>
  <si>
    <t>7.2.33</t>
  </si>
  <si>
    <t>7.2.34</t>
  </si>
  <si>
    <t>7.2.35</t>
  </si>
  <si>
    <t>7.2.36</t>
  </si>
  <si>
    <t>7.2.37</t>
  </si>
  <si>
    <t>7.2.38</t>
  </si>
  <si>
    <t>7.2.39</t>
  </si>
  <si>
    <t>7.2.40</t>
  </si>
  <si>
    <t>7.2.41</t>
  </si>
  <si>
    <t>7.2.42</t>
  </si>
  <si>
    <t>7.2.43</t>
  </si>
  <si>
    <t>7.2.44</t>
  </si>
  <si>
    <t>7.2.45</t>
  </si>
  <si>
    <t>7.2.46</t>
  </si>
  <si>
    <t>7.2.47</t>
  </si>
  <si>
    <t>7.2.48</t>
  </si>
  <si>
    <t>7.2.49</t>
  </si>
  <si>
    <t>7.2.50</t>
  </si>
  <si>
    <t>7.2.51</t>
  </si>
  <si>
    <t>7.2.52</t>
  </si>
  <si>
    <t>7.2.53</t>
  </si>
  <si>
    <t>7.2.54</t>
  </si>
  <si>
    <t>7.2.55</t>
  </si>
  <si>
    <t>7.2.56</t>
  </si>
  <si>
    <t>7.2.57</t>
  </si>
  <si>
    <t>7.2.58</t>
  </si>
  <si>
    <t>7.2.59</t>
  </si>
  <si>
    <t>7.2.60</t>
  </si>
  <si>
    <t>7.2.61</t>
  </si>
  <si>
    <t>7.2.62</t>
  </si>
  <si>
    <t>7.2.63</t>
  </si>
  <si>
    <t>7.2.64</t>
  </si>
  <si>
    <t>7.2.65</t>
  </si>
  <si>
    <t>7.2.66</t>
  </si>
  <si>
    <t>7.2.67</t>
  </si>
  <si>
    <t>7.2.68</t>
  </si>
  <si>
    <t>7.2.69</t>
  </si>
  <si>
    <t>7.2.70</t>
  </si>
  <si>
    <t>7.2.71</t>
  </si>
  <si>
    <t>7.2.72</t>
  </si>
  <si>
    <t>7.2.73</t>
  </si>
  <si>
    <t>7.2.74</t>
  </si>
  <si>
    <t>7.2.75</t>
  </si>
  <si>
    <t>7.2.76</t>
  </si>
  <si>
    <t>7.2.77</t>
  </si>
  <si>
    <t>7.2.78</t>
  </si>
  <si>
    <t>7.2.79</t>
  </si>
  <si>
    <t>7.2.80</t>
  </si>
  <si>
    <t xml:space="preserve">Итого по разделу 7 отсыпка автомобильных дорог асфальтогранулятом </t>
  </si>
  <si>
    <t xml:space="preserve">ИТОГО ПО ПОДПРОГРАММЕ "ПБДД"  </t>
  </si>
  <si>
    <t>Задача 4 муниципальной программы: Повышение качества и доступности транспортных услуг, обеспечение устойчивого и безопасного функционирования пассажирского транспорта</t>
  </si>
  <si>
    <t>местный бюджет</t>
  </si>
  <si>
    <t>областной бюджет</t>
  </si>
  <si>
    <t>Финансовые ресурсы, тыс. руб.</t>
  </si>
  <si>
    <t>Наименование мероприятий</t>
  </si>
  <si>
    <t>Наименование целей, задач и мероприятий муниципальной программы</t>
  </si>
  <si>
    <t>Наименование показателей (индикаторов)</t>
  </si>
  <si>
    <t>Единица измере-ния</t>
  </si>
  <si>
    <t>Базовое значение</t>
  </si>
  <si>
    <t>Значение показателей (индикаторов) по годам</t>
  </si>
  <si>
    <t xml:space="preserve">Цель подпрограммы: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                       </t>
  </si>
  <si>
    <t>шт.</t>
  </si>
  <si>
    <t>-</t>
  </si>
  <si>
    <t>Устройство  искусственных дорожных  неровностей, в т.ч. экспертиза выполненных работ</t>
  </si>
  <si>
    <t>Количество устроенных искусственных дорожных неровностей</t>
  </si>
  <si>
    <t>Количество экспертных заключений на соответствие выполненных работ условиям муниципальных контрактов</t>
  </si>
  <si>
    <t>Количество проектных работ на устройство пешеходных дорожек</t>
  </si>
  <si>
    <t>Количество проведенных проверок достоверности определения сметной стоимости проекта</t>
  </si>
  <si>
    <t>Количество построенных пешеходных дорожек</t>
  </si>
  <si>
    <t>тыс.м.п.</t>
  </si>
  <si>
    <t>Количество обустроенных светофорных объектов</t>
  </si>
  <si>
    <t xml:space="preserve">Проектирование устройства и переноса остановок общественного транспорта, в т.ч. экспертиза выполненных работ </t>
  </si>
  <si>
    <t>Приобретение  спецтехники</t>
  </si>
  <si>
    <t>Количество приобретенных единиц спецтехники</t>
  </si>
  <si>
    <t>ед.</t>
  </si>
  <si>
    <t>Приобретение материалов для содержания ТСОДД, ремонта остановочных павильонов</t>
  </si>
  <si>
    <t>Количество приобретенных видов материалов для содержания ТСОДД, ремонта остановочных павильонов</t>
  </si>
  <si>
    <t>Задача подпрограммы: создание условий для осуществления деятельности муниципального казенного учреждения "Центр организации дорожного движения городского округа Тольятти"</t>
  </si>
  <si>
    <t xml:space="preserve">Уровень исполнения бюджетной сметы расходов учреждения </t>
  </si>
  <si>
    <t>%</t>
  </si>
  <si>
    <t>Количество установленных табличек</t>
  </si>
  <si>
    <t>Количество автомобильных дорог общего пользования местного значения городского округа Тольятти, на которых проведён технический учёт и паспортизация</t>
  </si>
  <si>
    <t>км</t>
  </si>
  <si>
    <t>тыс. м2</t>
  </si>
  <si>
    <t>тыс.м2</t>
  </si>
  <si>
    <t>2 988,20</t>
  </si>
  <si>
    <t>1 222,64</t>
  </si>
  <si>
    <t>Площадь содержания автомобильных дорог</t>
  </si>
  <si>
    <t xml:space="preserve">Содержание надземных и подземных пешеходных переходов </t>
  </si>
  <si>
    <t>Задача подпрограммы: выполнение мероприятий по организации дорожного движения</t>
  </si>
  <si>
    <t>Количество типов дорожной разметки</t>
  </si>
  <si>
    <t xml:space="preserve">Устройство линий наружного электроосвещения мест концентрации ДТП     </t>
  </si>
  <si>
    <t xml:space="preserve">Количество устроенных линий наружного электроосвещения мест концентрации ДТП    </t>
  </si>
  <si>
    <t>2.3.</t>
  </si>
  <si>
    <t>Проектно-изыскательские работы по объекту: Реконструкция магистральной улицы городского значения регулируемого движения по ул.Спортивной на участке от ул.Степана Разина до ул. Юбилейная (строительство бокового проезда) в 8 квартале Автозаводского района г.Тольятти</t>
  </si>
  <si>
    <t>4.12.</t>
  </si>
  <si>
    <t>4.13.</t>
  </si>
  <si>
    <t>7.1.</t>
  </si>
  <si>
    <t>7.1.1</t>
  </si>
  <si>
    <t>5.48.</t>
  </si>
  <si>
    <t>4.10.</t>
  </si>
  <si>
    <t>4.14.</t>
  </si>
  <si>
    <t>3.3.</t>
  </si>
  <si>
    <t>3.4.</t>
  </si>
  <si>
    <t>3.5.</t>
  </si>
  <si>
    <t>3.6.</t>
  </si>
  <si>
    <t>Осуществление строительного контроля на объекте: Капитальный ремонт  ул.Васильевская от ул.Калмыцкая до ул.Обводное шоссе</t>
  </si>
  <si>
    <t>3.7.</t>
  </si>
  <si>
    <t>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</si>
  <si>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 xml:space="preserve">Реконструкция магистральной улицы общегородского значения регулируемого движения по ул.Спортивной нра участке от пр-та Степана Разина до ул. Юбилейная (строительство бокового проезда) в 8 квартале Автозаводского района       </t>
  </si>
  <si>
    <t>Проектно-изыскательские работы по объекту: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</si>
  <si>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3.8.</t>
  </si>
  <si>
    <t>Осуществление строительного контроля на объекте: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</si>
  <si>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Осуществление авторского надзора на объекте: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</si>
  <si>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Осуществление авторского надзора на объекте: 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</si>
  <si>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2.3.1.</t>
  </si>
  <si>
    <t>2.3.2.</t>
  </si>
  <si>
    <t>2.3.3.</t>
  </si>
  <si>
    <t>Осуществление авторского надзора на объекте: 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движения.)</t>
  </si>
  <si>
    <t>2.1.3.</t>
  </si>
  <si>
    <t>1.3.1.</t>
  </si>
  <si>
    <t>общего пользования?</t>
  </si>
  <si>
    <t>Выполнение работ по осуществлению регулярных перевозок пассажиров и багажа по регулируемым тарифам</t>
  </si>
  <si>
    <t>Подпрограмма "Развитие  городского пассажирского транспорта в городском округе Тольятти на период 2021-2025 гг."</t>
  </si>
  <si>
    <t xml:space="preserve">Содержание автомобильных дорог, в том числе: посадочных площадок ООТ, тротуаров, разделительных полос, элементов системы водоотвода, путепроводов, удерживающих барьерных ограждений </t>
  </si>
  <si>
    <t xml:space="preserve">Приложение № 1
к Муниципальной программе
"Развитие транспортной системы
и дорожного хозяйства
городского округа Тольятти
на 2021 - 2025 гг."
</t>
  </si>
  <si>
    <t>отсыпка</t>
  </si>
  <si>
    <t xml:space="preserve"> -</t>
  </si>
  <si>
    <t>автодорога по улице Кунеевская от улицы Баныкина до улицы Громовой</t>
  </si>
  <si>
    <t>Регулярность выполнения перевозок по заключенным муниципальным контрактам</t>
  </si>
  <si>
    <t>Количество перевезенных пассажиров льготной категории граждан</t>
  </si>
  <si>
    <t>тыс.пас.</t>
  </si>
  <si>
    <t>2022-2025</t>
  </si>
  <si>
    <t>разные площади</t>
  </si>
  <si>
    <t>Задача подпрограммы: обеспечение регулярных перевозок пассажиров по регулируемым тарифам</t>
  </si>
  <si>
    <t>ИТОГО ПО МУНИЦИПАЛЬНОЙ ПРОГРАММЕ</t>
  </si>
  <si>
    <t>Устройство  искусственных дорожных неровностей, экспертиза выполненных работ, в т.ч.:</t>
  </si>
  <si>
    <t xml:space="preserve">план на 2021: </t>
  </si>
  <si>
    <t>план на 2022:</t>
  </si>
  <si>
    <t>внутриквартальные проезды вдоль д.12 по ул. Баныкина;</t>
  </si>
  <si>
    <t>внутриквартальный проезд в районе дома №1а по ул. Свердлова, Свердлова 5а, Ворошилова 51, Ворошилова 61, 40 лет Победы 106;</t>
  </si>
  <si>
    <t>внутриквартальный проезд в районе ул. Матросова в районе д. 26;</t>
  </si>
  <si>
    <t>Ларина 66.</t>
  </si>
  <si>
    <t xml:space="preserve">ул. Офицерская (на участке от ул. Полякова до ул. Ботаническая); </t>
  </si>
  <si>
    <t>ул. Радищева (на участке от ул. Победы до ул. Новозаводская);</t>
  </si>
  <si>
    <t>ул. Северная (на участке от ул. Борковская до дома № 105 по ул. Северная);</t>
  </si>
  <si>
    <t>ул. Диагональная (на участке от ул. Баныкина до ул. Кунеевская);</t>
  </si>
  <si>
    <t>ул. Ларина (на участке от ул. Васильевская до ул. Ломоносова)</t>
  </si>
  <si>
    <t xml:space="preserve">Проектирование устройства пешеходных дорожек, в т.ч. экспертиза выполненных работ, в т.ч: </t>
  </si>
  <si>
    <t>Устройство пешеходных дорожек, в т.ч.:</t>
  </si>
  <si>
    <t>в районе ООТ "70 лет Октября" по ул.70 лет Октября;</t>
  </si>
  <si>
    <t>Проектирование устройства и переноса остановок общественного транспорта, в т.ч. экспертиза выполненных работ, в т.ч.:</t>
  </si>
  <si>
    <t>план на 2021:</t>
  </si>
  <si>
    <t>ООТ "Грузовое автохозяйство";</t>
  </si>
  <si>
    <t>ООТ "Русь" по ул.Революционная;</t>
  </si>
  <si>
    <t>ООТ "Ул.Железнодорожная" по проезду Дорофеева;</t>
  </si>
  <si>
    <t>Устройство и перенос остановок общественного транспорта  на территории городского округа Тольятти, в т.ч.:</t>
  </si>
  <si>
    <t>ООТ "Молокозавод" на ул. Коммунальная;</t>
  </si>
  <si>
    <t>ООТ "Санаторий Волжские зори" на ул. Комзина</t>
  </si>
  <si>
    <t>Устройство парковочных площадок, карманов  и стоянок, в т.ч.:</t>
  </si>
  <si>
    <t xml:space="preserve">устройство парковочной площадки по пр-ту Степана Разина, в районе дома №93 </t>
  </si>
  <si>
    <t xml:space="preserve">в районе ООТ "Приморский бульвар" по ул.Революционная; </t>
  </si>
  <si>
    <t>в районе ООТ "Озерки" по Поволжскому шоссе;</t>
  </si>
  <si>
    <t xml:space="preserve">в районе ООТ "Сосновый бор" по Поволжскому шоссе; </t>
  </si>
  <si>
    <t>в районе пересечения бульвара 50 лет Октября - ул.Герцена - ул.Украинская;</t>
  </si>
  <si>
    <t>в районе ООТ "Гаражи" по ул.Ботаническая</t>
  </si>
  <si>
    <t>ООТ "Детский городок";</t>
  </si>
  <si>
    <t>ООТ  "Лыжная база" по ул.М.Жукова;</t>
  </si>
  <si>
    <t>ООТ "Телецентр" по пр-ту Степана Разина</t>
  </si>
  <si>
    <t xml:space="preserve"> Ремонт дворовых территорий многоквартирных домов, проездов к дворовым территориям многоквартирных домов  городского округа Тольятти</t>
  </si>
  <si>
    <t>Цель подпрограммы: Содействие экономическому и социальному развитию городского округа Тольятти за счет поддержания надлежащего санитарно-технического и транспортно-эксплуатационного состояния объектов УДС</t>
  </si>
  <si>
    <t>Задача 3 муниципальной программы: Содействие экономическому и социальному развитию городского округа Тольятти за счет поддержания надлежащего санитарно-технического и транспортно-эксплуатационного состояния объектов УДС</t>
  </si>
  <si>
    <t>Количество разработанной проектно-сметной документации по капитальному ремонту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</si>
  <si>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ремонту автомобильных дорог общего пользования местного значения городского округа Тольятти</t>
  </si>
  <si>
    <t>6.  Ремонт дворовых территорий многоквартирных домов, проездов к дворовым территориям многоквартирных домов  городского округа Тольятти:</t>
  </si>
  <si>
    <t xml:space="preserve">Приложение № 2
к Муниципальной программе
"Развитие транспортной системы
и дорожного хозяйства
городского округа Тольятти
на 2021 - 2025 гг."
</t>
  </si>
  <si>
    <t xml:space="preserve">Приложение № 3
к Муниципальной программе
"Развитие транспортной системы
и дорожного хозяйства
городского округа Тольятти
на 2021 - 2025 гг."
</t>
  </si>
  <si>
    <t xml:space="preserve">Приложение № 4
к Муниципальной программе
"Развитие транспортной системы
и дорожного хозяйства
городского округа Тольятти
на 2021 - 2025 гг."
</t>
  </si>
  <si>
    <t>4.8.</t>
  </si>
  <si>
    <t>4.15.</t>
  </si>
  <si>
    <t>Цель подпрограммы: Увеличение протяженности, пропускной способности и приведение в нормативное состояние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</si>
  <si>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Задача 2 муниципальной программы: Увеличение протяженности, пропускной способности и приведение в нормативное состояние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</si>
  <si>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Задача подпрограммы: Проектирование, строительство, реконструкция,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</si>
  <si>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Задача подпрограммы: Проектирование, строительство, реконструкция, капитальный ремонт и ремонт автомобильных дорог общего пользования местного значения, дворовых территорий многоквартирных домов 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</si>
  <si>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Отсыпка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городском округе Тольятти</t>
  </si>
  <si>
    <t>7.Отсыпка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городском округе Тольятти:</t>
  </si>
  <si>
    <t>Площадь отремонтированных путем ремонта дворовых территорий многоквартирных домов, проездов к дворовым территориям многоквартирных домов городского округа Тольятти</t>
  </si>
  <si>
    <t>Автодорога по проезду Школьный (от Учительского проезда до ул. Пионерская)</t>
  </si>
  <si>
    <t>Автодорога по переулку Кирилла Белова</t>
  </si>
  <si>
    <t>Автодорога по проезду Охотничьему</t>
  </si>
  <si>
    <t>Автодорога по улице  Казачкова;</t>
  </si>
  <si>
    <t>Автодорога по улице Грачева</t>
  </si>
  <si>
    <t>Автодорога по улице Андреянова;</t>
  </si>
  <si>
    <t>Автодорога по проезду Любви;</t>
  </si>
  <si>
    <t>Автодорога по улице Еряшева;</t>
  </si>
  <si>
    <t>№   п./п.</t>
  </si>
  <si>
    <t>Общая стоимость работ (ориентировочная), тыс.руб.</t>
  </si>
  <si>
    <t>федеральный бюджет, тыс. руб.</t>
  </si>
  <si>
    <t>областной бюджет, тыс. руб.</t>
  </si>
  <si>
    <t xml:space="preserve">Строительство магистральной улицы  районного значения транспортно-пешеходной  ул. Механизаторов от ул. Громовой до ул. Лизы Чайкиной в Комсомольском районе города Тольятти </t>
  </si>
  <si>
    <t>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 города Тольятти</t>
  </si>
  <si>
    <t>Осуществление строительного контроля на объекте: 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</t>
  </si>
  <si>
    <t>Осуществление авторского надзора на объекте: 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</t>
  </si>
  <si>
    <t xml:space="preserve">Осуществление строительного контроля на объекте: Реконструкция магистральной улицы общегородского значения регулируемого движения по ул.Спортивной на участке от пр-та Степана Разина до ул. Юбилейная (строительство бокового проезда) в 8 квартале Автозаводского района       </t>
  </si>
  <si>
    <t xml:space="preserve">Осуществление авторского надзора на объекте: Реконструкция магистральной улицы общегородского значения регулируемого движения по ул.Спортивной на участке от пр-та Степана Разина до ул. Юбилейная (строительство бокового проезда) в 8 квартале Автозаводского района       </t>
  </si>
  <si>
    <t>Проектно-изыскательские работы по капитальному ремонту автомобильных дорог общего пользования местного значения городского округа Тольятти</t>
  </si>
  <si>
    <t>Проектно-изыскательские работы по реконструкции автомобильных дорог общего пользования местного значения городского округа Тольятти</t>
  </si>
  <si>
    <t>Проектно-изыскательские работы по ремонту автомобильных дорог общего пользования местного значения городского округа Тольятти</t>
  </si>
  <si>
    <t>Проектно-изыскательские работы по строительству автомобильных дорог общего пользования местного значения городского округа Тольятти</t>
  </si>
  <si>
    <t>Капитальный ремонт ул.Калмыцкая на участке от ж/д. переезда до ул.Васильевская</t>
  </si>
  <si>
    <t>Осуществление строительного контроля на объекте: Капитальный ремонт автодороги по улице  ул.Калмыцкая на участке от ж/д. переезда до ул.Васильевская</t>
  </si>
  <si>
    <t>Капитальный ремонт ул.Васильевская от ул.Калмыцкая до ул.Обводное шоссе</t>
  </si>
  <si>
    <t>автодорога по улице Пескалинская от улицы Удалецкой до улицы Весенней</t>
  </si>
  <si>
    <t>автодорога по переулку Лобачевского от улицы Пушкина до проезда Ученический</t>
  </si>
  <si>
    <t>автодорога по проезду Тенистый от улицы 60 лет СССР до улицы Олимпийская</t>
  </si>
  <si>
    <t>ул. Юбилейная от ул. Фрунзе до ул. Спортивная, вкл. пересечение с б-ром Приморский</t>
  </si>
  <si>
    <t>ул. Александра Кудашева</t>
  </si>
  <si>
    <t>Площадь отремонтированных путем отсыпки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 а также дорог в зоне застройки индивидуальными жилыми домами в городском округе Тольятти</t>
  </si>
  <si>
    <t>шт</t>
  </si>
  <si>
    <t>Протяженность дорог, находящихся в нормативном состоянии, в общей протяженности автомобильных дорог общего пользования городского округа Тольятти</t>
  </si>
  <si>
    <t>Доля отремонтированных путем отсыпки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общей площади автомобильных дорог с невысокой транспортной нагрузкой в городском округе Тольятти</t>
  </si>
  <si>
    <t>Удовлетворенность населения содержанием УДС (от числа опрошенных)</t>
  </si>
  <si>
    <t>Наименование показателя конечного результата</t>
  </si>
  <si>
    <t>Единица измерения</t>
  </si>
  <si>
    <t>Планируемые значения показателя конечного результата</t>
  </si>
  <si>
    <t>Целевые показатели (индикаторы) национальных и федеральных проектов в части, касающейся городского округа Тольятти</t>
  </si>
  <si>
    <t>Показатели (индикаторы) Стратегии</t>
  </si>
  <si>
    <t>Пассажирооборот транспорта общего пользования</t>
  </si>
  <si>
    <t>млн.пассажиро-километров</t>
  </si>
  <si>
    <t>Доля подвижного состава автобусов, не превышающих нормативный срок эксплуатации</t>
  </si>
  <si>
    <t>Доля подвижного состава троллейбусов, не превышающих нормативный срок эксплуатации</t>
  </si>
  <si>
    <t>Обеспеченность парка транспортом с низким (пониженным) уровнем пола МП "ТТУ"</t>
  </si>
  <si>
    <t>Доля построенных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</t>
  </si>
  <si>
    <t>Доля реконструированных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</t>
  </si>
  <si>
    <t>базовое значение за 2018 год</t>
  </si>
  <si>
    <t>базовое значение 2018г.</t>
  </si>
  <si>
    <t>Доля отремонтированных за счет капитального ремонта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</t>
  </si>
  <si>
    <t xml:space="preserve">Доля протяженности дорожной сети городского округа Тольятти, находящейся в нормативном состоянии </t>
  </si>
  <si>
    <t>Протяженность автомобильных дорог общего пользования местного значения городского округа Тольятти, на которых проведена диагностика и оценка транспортно-эксплуатационного состояния</t>
  </si>
  <si>
    <t>Протяженность построенных автомобильных дорог общего пользования местного значения городского округа Тольятти</t>
  </si>
  <si>
    <t>Протяжённость реконструированных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</si>
  <si>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строительству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</si>
  <si>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реконструкции автомобильных дорог общего пользования местного значения городского округа Тольятти</t>
  </si>
  <si>
    <t>Количество заключенных контрактов на выполнение регулярных перевозок пассажиров и багажа по регулируемым тарифам</t>
  </si>
  <si>
    <t>Количество действующих маршрутов на выполнение регулярных перевозок пассажиров и багажа по регулируемым тарифам</t>
  </si>
  <si>
    <t>L(S) объекта, км (т.м2)</t>
  </si>
  <si>
    <t>Уровень дорожно-транспортного травматизма «Тяжесть последствий» (число погибших на 100 пострадавших) (обратный показатель)</t>
  </si>
  <si>
    <t>Количество зарегистрированных ДТП на территории городского округа Тольятти (обратный показатель)</t>
  </si>
  <si>
    <t>ул. Ленинградская, 28</t>
  </si>
  <si>
    <t>Рябиновый б-р, 1</t>
  </si>
  <si>
    <t>Рябиновый б-р, 13</t>
  </si>
  <si>
    <t>Московский пр-т - ул. Фрунзе</t>
  </si>
  <si>
    <t>ул. Олимпийская в районе д. 20 по ул. Полевая</t>
  </si>
  <si>
    <t>ул. Сиреневая, 24</t>
  </si>
  <si>
    <t>Внутриквартальный пр-д от пр-да Дорофеева до ул. Макарова</t>
  </si>
  <si>
    <t>Б-р Цветной, 24</t>
  </si>
  <si>
    <t>Б-р Цветной, 13</t>
  </si>
  <si>
    <t xml:space="preserve">ул. Ленина, ООТ "Дворец молодежи" </t>
  </si>
  <si>
    <t>ул. Л. Яшина, ООТ "Северовосточная"</t>
  </si>
  <si>
    <t>Приморский б-р пересечение с б-ром Буденного</t>
  </si>
  <si>
    <t>б-р Гая, 10</t>
  </si>
  <si>
    <t>ул. Юбилейная, ООТ "Кафе Салют"</t>
  </si>
  <si>
    <t>ул. Юбилейная, ООТ "Парк Победы"</t>
  </si>
  <si>
    <t>Ленинский пр-т, ООТ "б-р Туполева"</t>
  </si>
  <si>
    <t>пр-т Ст. Разина, ООТ "Театральная"</t>
  </si>
  <si>
    <t>ул. Л. Толстого пересечение с ул. Ленина</t>
  </si>
  <si>
    <t>ул. Победы пересечение с б-ром 50 лет Октября</t>
  </si>
  <si>
    <t>ул. Борковская, 51 (ООТ "Спецавтоцентр)</t>
  </si>
  <si>
    <t>Революционная, ООТ "Экзотика"</t>
  </si>
  <si>
    <t xml:space="preserve">Московский пр-т, ООТ "ул. Дзержинского" </t>
  </si>
  <si>
    <t>ул. Спортивная в районе д. 55 по Приморскому б-ру</t>
  </si>
  <si>
    <t>Московский пр-т, ООТ "Дом связи"</t>
  </si>
  <si>
    <t>ул. Цеховая,  ООТ "GM-АвтоВАЗ"</t>
  </si>
  <si>
    <t>ул. Родина пересечение с ул. Мира</t>
  </si>
  <si>
    <t>ул. Голосова пересечение с ул. Новозаводская</t>
  </si>
  <si>
    <t>Обводное шоссе пересечение с ул. Новозаводская</t>
  </si>
  <si>
    <t>Физкультурный проезд</t>
  </si>
  <si>
    <t>ул. Спортивная, ООТ "Вега"</t>
  </si>
  <si>
    <t>ул. Революционная, ООТ "1000 мелочей"</t>
  </si>
  <si>
    <t>ул. Свердлова, 8</t>
  </si>
  <si>
    <t>ул. Автостроителей, ООТ "40 лет Победы"</t>
  </si>
  <si>
    <t>ул. Борковская, ООТ "Южная база"</t>
  </si>
  <si>
    <t>ул. Горького, 46"А"</t>
  </si>
  <si>
    <t>ул. Матросова, 26</t>
  </si>
  <si>
    <t>ул. Революционная, 47</t>
  </si>
  <si>
    <t>ул. Гидротехническая пересечение с ул. Дорофеева</t>
  </si>
  <si>
    <t>ул. Ворошилова, ООТ "б-р Луначарского"</t>
  </si>
  <si>
    <t>ул. Л.Яшина, ООТ "Льва Яшина"</t>
  </si>
  <si>
    <t>Приморский б-р, ООТ "8 квартал"</t>
  </si>
  <si>
    <t>ул. Коммунистическая, ООТ "Тюленина"</t>
  </si>
  <si>
    <t>ул. Коммунистическая, ООТ "Космодемьянской"</t>
  </si>
  <si>
    <t>ул. Родина, ООТ"Автовокзал"</t>
  </si>
  <si>
    <t>ул. Юбилейная, 85 и ООТ "Вега"</t>
  </si>
  <si>
    <t>ул. Новозаводская, ООТ "Химико-технологический колледж"</t>
  </si>
  <si>
    <t>ул. Автостроителей, ООТ "Молодежная"</t>
  </si>
  <si>
    <t>ул. 70 лет Октября, 33Б, 38, ООТ "Магазин мир продуктов"</t>
  </si>
  <si>
    <t>Приморский б-р ООТ "Театр Дилижанс"</t>
  </si>
  <si>
    <t>Вокзальная, 100а (ООТ "10 КПП")</t>
  </si>
  <si>
    <t>ул. Комсомольская пересечение с ул. Новопромышленной</t>
  </si>
  <si>
    <t>ул. Гидротехническая пересечение с ул. Шлюзовая</t>
  </si>
  <si>
    <t>ул. Автостроителей, ООТ "Гостиница Лада"</t>
  </si>
  <si>
    <t>Подпрограмма "Модернизация и развитие автомобильных дорог общего пользования местного значения, а также автомобильных дорог, расположенных в зоне застройки индивидуальными жилыми домами городского округа Тольятти, на 2021-2025 гг"</t>
  </si>
  <si>
    <t>Задача подпрограммы: оптимизация режимов движения на участках УДС с использованием современных схем организации  дорожного движения, технических средств организации  дорожного движения  и автоматизированных систем управления дорожным движением</t>
  </si>
  <si>
    <t>Подпрограмма "Модернизация и развитие автомобильных дорог общего пользования местного значения, а также автомобильных дорог, расположенных в зоне застройки индивидуальными жилыми домами городского округа Тольятти, на 2021-2025 гг."</t>
  </si>
  <si>
    <t>Задача подпрограммы: оптимизация режимов движения на участках УДС с использованием современных схем организации  дорожного движения, технических средств организации  дорожного движения и автоматизированных систем управления дорожным движением</t>
  </si>
  <si>
    <t>Задача подпрограммы: оптимизация структуры парков транспортных средств и ускорение обновления их состава</t>
  </si>
  <si>
    <t>Приобретение автобусов</t>
  </si>
  <si>
    <t>2021-2023</t>
  </si>
  <si>
    <t>Количество проектных работ по устройству линий наружного электроосвещения, в том числе осуществление технологического присоединения к электрическим сетям</t>
  </si>
  <si>
    <t>пр-д Фабричный</t>
  </si>
  <si>
    <t>ул. Дзержинского между ул. Революционная и световой опорой № 84 (89) по ул. Дзержинского</t>
  </si>
  <si>
    <t>ул. Тюленина от улицы Коммунистической до улицы Мурысева</t>
  </si>
  <si>
    <t>ул. Северная от улицы Цеховая до границы г.о. Тольятти (ул. Степная)</t>
  </si>
  <si>
    <t>5.49.</t>
  </si>
  <si>
    <t>5.50.</t>
  </si>
  <si>
    <t>Кольцевая транспортная развязка по Южному шоссе - ул.Полякова</t>
  </si>
  <si>
    <t>5.51.</t>
  </si>
  <si>
    <t>5.52.</t>
  </si>
  <si>
    <t>Устройство линий наружного электроосвещения мест концентрации ДТП</t>
  </si>
  <si>
    <t xml:space="preserve">Устройство и перенос остановок общественного транспорта  на территории городского округа Тольятти                                                                                                                                                        </t>
  </si>
  <si>
    <t>1.8.</t>
  </si>
  <si>
    <t>Строительство дороги по улице Владимира Высоцкого</t>
  </si>
  <si>
    <t>1.8.1.</t>
  </si>
  <si>
    <t>Строительство дороги местного значения и проездов в микрорайоне "Калина", Автозаводский район, г. Тольятти, Самарская область</t>
  </si>
  <si>
    <t>устройство тротуара к поликлинике на 500 посещений</t>
  </si>
  <si>
    <t>дорожка вдоль улицы Александра Кудашева на участке от ул. Льва Толстого до границы г.о.Тольятти</t>
  </si>
  <si>
    <t>Протяженность установленных пешеходных ограждений</t>
  </si>
  <si>
    <t>2021, 2024, 2025</t>
  </si>
  <si>
    <t xml:space="preserve">ул. Кудашева </t>
  </si>
  <si>
    <t>Проектно-изыскательские работы по устройству линий наружного электроосвещения, в том числе осуществление технологического присоединения к электрическим сетям, в т.ч:</t>
  </si>
  <si>
    <t>Перечень объектов подпрограммы "Повышение безопасности дорожного движения на период 2021 - 2025 гг." и финансовые ресурсы</t>
  </si>
  <si>
    <t>2022, 2023</t>
  </si>
  <si>
    <t xml:space="preserve">Устройство парковочных площадок, карманов и стоянок                                   </t>
  </si>
  <si>
    <r>
      <t>Содержание автомобильных дорог, в том числе: посадочных площадок ООТ, тротуаров, разделительных полос, элементов системы водоотвода, путепроводов, удерживающих барьерных ограждений</t>
    </r>
    <r>
      <rPr>
        <sz val="14"/>
        <rFont val="Arial"/>
        <family val="2"/>
        <charset val="204"/>
      </rPr>
      <t xml:space="preserve"> </t>
    </r>
  </si>
  <si>
    <t>ликвидация несанкционированного примыкания в районе ООТ "Автолюбитель" по б-ру 50 лет Октября</t>
  </si>
  <si>
    <t>по ул.Офицерской от ул.Полякова до ул.Ботанической</t>
  </si>
  <si>
    <t>островок безопасности и пешеходная дорожка в районе пересечения ул.Мичурина и ул.Герцена</t>
  </si>
  <si>
    <t>Строительство парковочных автостоянок вдоль Южных проходных ПАО "АВТОВАЗ" по Южному шоссе</t>
  </si>
  <si>
    <t>Осуществление строительного контроля на объекте: Строительство парковочных автостоянок вдоль Южных проходных ПАО "АВТОВАЗ" по Южному шоссе</t>
  </si>
  <si>
    <t>Осуществление авторского надзора на объекте: Строительство парковочных автостоянок вдоль Южных проходных ПАО "АВТОВАЗ" по Южному шоссе</t>
  </si>
  <si>
    <t>1.7.2.</t>
  </si>
  <si>
    <t>1.7.3.</t>
  </si>
  <si>
    <t>1.9.</t>
  </si>
  <si>
    <t>1.9.1.</t>
  </si>
  <si>
    <t>3.9.</t>
  </si>
  <si>
    <t>3.10.</t>
  </si>
  <si>
    <t>Проектно-изыскательские работы по объекту "Реконструкция пересечения Обводного и Хрящевского шоссе"</t>
  </si>
  <si>
    <t xml:space="preserve">Проектно-изыскательские работы по корректировке проектно-сметной документации "Строительство магистральной улицы районного значения транспортно-пешеходной ул. Механизаторов от ул. Лизы Чайкиной до ул. Громовой в Комсомольском районе города Тольятти" </t>
  </si>
  <si>
    <t>3.11.</t>
  </si>
  <si>
    <t>Проектно-изыскательские работы по устройству подъездной дороги к поликлинике на 1000 посещений в смену</t>
  </si>
  <si>
    <t>5.53.</t>
  </si>
  <si>
    <t>Ремонт автопарковки в районе поликлиники на 500 посещений в смену</t>
  </si>
  <si>
    <t>5.54.</t>
  </si>
  <si>
    <t xml:space="preserve">Устройство съездов для инвалидов и других маломобильных групп населения на территории городского округа Тольятти </t>
  </si>
  <si>
    <t>5.55.</t>
  </si>
  <si>
    <t>нераспределенный остаток</t>
  </si>
  <si>
    <t>4.17.</t>
  </si>
  <si>
    <t>Приложение № 2                                                                                              к  постановлению администрации городского округа Тольятти "_____" _______________2021г. № _______________</t>
  </si>
  <si>
    <t>Приложение № 3                                                                                              к  постановлению администрации городского округа Тольятти "_____" _______________2021г. № _______________</t>
  </si>
  <si>
    <t>Обеспеченность парка транспортом с низким (пониженным) уровнем пола МП "ТПАТП № 3"</t>
  </si>
  <si>
    <t>Устройство и перенос остановок общественного транспорта на территории городского округа Тольятти</t>
  </si>
  <si>
    <t>Устройство парковочных площадок, карманов и стоянок</t>
  </si>
  <si>
    <t>Количество  вновь введенных в эксплуатацию (реконструируемых) парковочных площадок, карманов и стоянок</t>
  </si>
  <si>
    <t>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</t>
  </si>
  <si>
    <t>1.10.</t>
  </si>
  <si>
    <t>Устройство технических средств организации дорожного движения</t>
  </si>
  <si>
    <t>Устройство технических средств организации дорожного движения, в т.ч:</t>
  </si>
  <si>
    <t>Приобретение дорожных знаков (заготовок дорожных знаков)</t>
  </si>
  <si>
    <t>Количество установленных  дорожных знаков</t>
  </si>
  <si>
    <t>Количество приобретенных дорожных знаков (заготовок дорожных знаков)</t>
  </si>
  <si>
    <t>Проектирование устройства парковочных площадок (карманов и стоянок)</t>
  </si>
  <si>
    <t>2021 - 2025</t>
  </si>
  <si>
    <t>Количество проектных работ на строительство и реконструкцию парковочных площадок (карманов и стоянок)</t>
  </si>
  <si>
    <t>Проектно-изыскательские работы по капитальному ремонту путепровода</t>
  </si>
  <si>
    <t>Количество разработанной проектно-сметной документации по капитальному ремонту путепровода</t>
  </si>
  <si>
    <t>Количество диагностируемых надземных пешеходных переходов (мостов,путепроводов)</t>
  </si>
  <si>
    <t>ул. Дзержинского между ул. Ворошилова и ул. 40 лет Победы</t>
  </si>
  <si>
    <t>Борковский проезд от  ул. Вокзальная,54 до границы городского округа, южнее здания по адресу: ул. Вокзальная, 44Б</t>
  </si>
  <si>
    <t>ул.Офицерская от ул. Ботаническая до объекта недвижимости, имеющего адрес: ул. Офицерская, д.8, включая пересечение автодорог по ул.Полякова и ул.Офицерская</t>
  </si>
  <si>
    <t>улица Полякова от ул.Коммунальная до ул.Офицерская</t>
  </si>
  <si>
    <t>ул. Фрунзе между улицей Московским проспектом  и ул. Юбилейной</t>
  </si>
  <si>
    <t>ул. Мира между ул. Родины и ул. Победы</t>
  </si>
  <si>
    <t>ул. Крупской от бульвара 50 лет Октября до ул. Шлютова</t>
  </si>
  <si>
    <t>1.11.</t>
  </si>
  <si>
    <t>Строительство объектов транспортной инфраструктуры с сетями наружного электроосвещения и ливневой канализации в рамках реализации проектов по развитию территорий 14а квартала (микрорайон "Ёлки"). Западная часть квартала</t>
  </si>
  <si>
    <t>1.12.</t>
  </si>
  <si>
    <t>Строительство объектов транспортной инфраструктуры с сетями наружного электроосвещения и ливневой канализации в рамках реализации проектов по развитию территорий 14а квартала (микрорайон "Ёлки"). Восточная часть квартала</t>
  </si>
  <si>
    <t>1.13.</t>
  </si>
  <si>
    <t>3.12.</t>
  </si>
  <si>
    <t>3.13.</t>
  </si>
  <si>
    <t>Выполнение проектно-изыскательских работ по объекту: «Строительство магистральной улицы общегородского значения регулируемого движения в продолжение ул. Фермерской до Южного шоссе»</t>
  </si>
  <si>
    <t>Проектно- изыскательские работы на строительство подъездной автомобильной дороги (проезда) от внутриквартального проезда к земельному участку с кадастровым номером 63:09:0101159:10329 (Физкультурно-оздоровительный комплекс с универсальным игровым залом (36х18 м) по адресу: Самарская область, г. Тольятти, Автозаводский район, южнее здания №15 по бульвару Кулибина, для МБУДСДЮШОР № 8 «Союз»)</t>
  </si>
  <si>
    <t>Устройство  искусственных дорожных неровностей на ул.Матросова, д.37, д.60</t>
  </si>
  <si>
    <t>Установка дорожных знаков, ликвидация подхода к пешеходному переходу на ул. Матросова, в районе домов № 53, 134</t>
  </si>
  <si>
    <t>Устройство островка безопасности и дорожных знаков на ул. Карла Маркса - пересечение с ул. Максима Горького</t>
  </si>
  <si>
    <t>Устройство  искусственных неровностей трапецевидной формы по ул. Украинской перед пересечением с ул. Шлютова, устройство светофорного объекта,  установка дорожных знаков на ул. Шлютова - пересечение с ул. Украинская, ул.Шлютова д. № 108, д. № 110, д. 127</t>
  </si>
  <si>
    <t>Устройство пешеходного перехода, установка дорожных знаков, сокращение заездного кармана на ул. Новозаводская, в районе домов № 2, 2А, 2Е, 2Д.</t>
  </si>
  <si>
    <t>Устройство шумовых полос и информационных щитов индтвидуального проектирования на Автозаводском шоссе, в районе домов № 3, 5.</t>
  </si>
  <si>
    <t xml:space="preserve">Установка дорожных знаков при выезде с Цветного бульвара  и от дома №5 на
ул. Дзержинского
</t>
  </si>
  <si>
    <t>Установка дорожных знаков  в начале кривой сопряжения и дорожных знаков на разделительной полосе 4 проезда, ул. Транспортная  - пересечение с  4 проездом, ул. Транспортная, д.№  21Б</t>
  </si>
  <si>
    <t>Установка дорожных знаков   в районе д. № 52 по ул. Революционная</t>
  </si>
  <si>
    <t xml:space="preserve">Устройство  искусственных дорожных неровностей, установка дорожных знаков на б-ре Здоровья от ул. Свердлова до Ленинского пр-та </t>
  </si>
  <si>
    <t>Устройство  искусственных дорожных неровностей на ул. Фрунзе, д.2Г</t>
  </si>
  <si>
    <t>Устройство  искусственных дорожных неровностей на ул. Ленина, д.108, МБУ "№ 13", ООТ "Гагарина"</t>
  </si>
  <si>
    <t>Устройство  искусственных дорожных неровностей, установка дорожных знаков, устройство тротуара на ул. Льва Толстого, д.10</t>
  </si>
  <si>
    <t>Устройство искусственных дорожных неровностей, установка дорожных знаков на ул. Саратовская от ул. Самарской до ул. Украинской, д. 5</t>
  </si>
  <si>
    <t>Устройство  искусственных дорожных неровностей, установка дорожных знаков на дублере вдоль ул. Тополиная от ул. Дзержинского до Южного шоссе</t>
  </si>
  <si>
    <t>Устройство  искусственных дорожных неровностей, установка дорожных знаков на дублере вдоль ул. Ворошилова от ул. 40 лет Победы до ул.Дзержинского</t>
  </si>
  <si>
    <t>Устройство  искусственных дорожных неровностей, установка дорожных знаков на дублере вдоль ул.70 лет Октября от ул. Льва Яшина до ул. Офицерской</t>
  </si>
  <si>
    <t>Установка дорожных знаков, сокращение заездного кармана, установка пешеходных ограждений на ул. Матросова, в районе домов № 134</t>
  </si>
  <si>
    <t xml:space="preserve">Устройство  искусственных дорожных неровностей, установка дорожных знаков, нанесение дорожной разметки на ул.Ленина д.73 на пересечении с ул.Чапаева </t>
  </si>
  <si>
    <t>Устройство  искусственных дорожных неровностей, установка дорожных знаков на б-р Луначарского,2  (ул. Ворошилова, д.4)</t>
  </si>
  <si>
    <t>Устройство  искусственных дорожных неровностей, установка дорожных знаков на б-р Кулибина, д.2</t>
  </si>
  <si>
    <t xml:space="preserve">Ликвидация места разворота, сокращение заездного кармана, устройство тротуара, установка пешеходных ограждений на Московском пр-те, д.7                                                </t>
  </si>
  <si>
    <t>Устройство островков безопасности и установка дорожных знаков по пр-ту Степана Разина на пересечении с Ленинским проспектом</t>
  </si>
  <si>
    <t>Установка дорожных знаков и заездного кармана на ул.Новозаводская в районе д.6</t>
  </si>
  <si>
    <t>Установка П-образных опор и дорожных знаков на Южном шоссе, в районе д.№5</t>
  </si>
  <si>
    <t>Устройство световозвращателей дорожных на проезжей части Поволжского шоссе</t>
  </si>
  <si>
    <t>Устройство световозвращателей дорожных на проезжей части дороги от Московского пр-та до ул. Фермерской с. Подстепки</t>
  </si>
  <si>
    <t>Установка ограничивающих пешеходных ограждений на бульваре Ленина от ул. Ленинградская до ул.Баныкина (со стороны Краеведческого музея)</t>
  </si>
  <si>
    <t>Установка ограничивающих пешеходных ограждений на Молодежном б-ре от ул.Победы до ул.Ленина</t>
  </si>
  <si>
    <t>Установка ограничивающих пешеходных ограждений на ул.Жилина от пл.Свободы до ул.Ленинградская</t>
  </si>
  <si>
    <t>Устройство искусственных дорожных неровностей,  установка дорожных знаков  на внутриквартальном проезде вдоль ул. Железнодорожная от пр. Дорофеева до ул. Шлюзовая</t>
  </si>
  <si>
    <t>Устройство искусственных дорожных неровностей,  установка дорожных знаков на внутриквартальном проезде вдоль ул. 40 лет Победы (от Южное шоссе до ул. Тополиная)</t>
  </si>
  <si>
    <t>Установка дорожных знаков и перенос светофорного объекта на ул.Жилина в районе дома №24 (пересечение с ул.Мира)</t>
  </si>
  <si>
    <t>Ликвидация въезда (выезда), устройство дорожных знаков на бульваре Ленина в районе д.27 ул.Баныкина, д.16 "Г"</t>
  </si>
  <si>
    <t>Устройство искусственной дорожной неровности, установка дорожных знаков 
на проезде между ул. Баныкина и ул. Ленинградска ООШ №26 и Д/С "Тополек"</t>
  </si>
  <si>
    <t>Устройство островка безопасности, устройство искусственных дорожных неровностей, установка дорожных знаков на  перекрестке ул.М.Горького-ул.Октябрьская с/ш № 4</t>
  </si>
  <si>
    <t>Устройство искусственных дорожных неровностей на б-ре Космонавтов, д.17, с/ш № 79</t>
  </si>
  <si>
    <t>Устройство искусственных дорожных неровностей, установка дорожных знаков на ул. Шлютова, д.130 д/с "Соловушка"</t>
  </si>
  <si>
    <t>Устройство пешеходной дорожки на пересечении ул. Баныкина и ул. Жилина</t>
  </si>
  <si>
    <t>Перенос и устройство ООТ "улица Фрунзе" по Московскому проспекту</t>
  </si>
  <si>
    <t>Модернизация светофорного объекта и установка дорожных знаков  на  ул. Юбилейная - пересечение с ул. Фрунзе, ул.Фрунзе в районе домов 31а, 14 в</t>
  </si>
  <si>
    <t xml:space="preserve">Устройство светофорного объекта, установка дорожных знаков на ул. Громовой, д.1  ООТ "ул. Механизаторов"                                                                                                               </t>
  </si>
  <si>
    <t xml:space="preserve">Устройство светофорного объекта, установка дорожных знаков, устройство тротуара, установка пешеходных ограждений на ул. Матросова, д. 70                                                                                                                                            </t>
  </si>
  <si>
    <t>Устройство светофорного объекта, установка дорожных знаков на ул. Автостроителей, д.13 А ООТ "Гостиница Лада"</t>
  </si>
  <si>
    <t>Устройство светофорного объекта, установка дорожных знаков на ул. Автостроителей, д. 11 ООТ "Солнечный б-р"</t>
  </si>
  <si>
    <t>Установка дополнительных секций светофорного объекта с дорожными знаками по  ул. Ленинградской, перед пересечением с ул.Жилина</t>
  </si>
  <si>
    <t>Устройство светофорного объекта, установка дорожных знаков и устройство пешеходной дорожки на Южном шоссе в районе дома №36 ООТ "3-я вставка"</t>
  </si>
  <si>
    <t>Устройство светофорного объекта, установка дорожных знаков на Южном шоссе в районе дома №36 ООТ "Жигулевская долина"</t>
  </si>
  <si>
    <t>Модернизация светофорного объекта, установка дорожных знаков на ул. Заставная, д.№1, ООТ "Учебный центр"</t>
  </si>
  <si>
    <t xml:space="preserve">Устройство светофорных объектов, установка П-образных опор и дорожных знаков , устройство тротуара, установка пешеходных ограждений на пересечении ул. Спортивная д.3, д.5 и автодороги - продолжения пр-та Ст.Разина со стороны Лесопаркового шоссе </t>
  </si>
  <si>
    <t>Выполнение проектно-изыскательских работ по устройству линии наружного электроосвещения, в т.ч.инженерные изыскания по б-ру Буденного (от ул. Фрунзе до с/о №1) в Автозаводском районе городского округа Тольятти</t>
  </si>
  <si>
    <t>Проектирование устройства остановки общественного транспорта ООТ "Лыжная база" по ул.М. Жукова.</t>
  </si>
  <si>
    <t>Проектирование линий наружного освещения ООТ "Парк-хаус"</t>
  </si>
  <si>
    <t>Проектирование переноса  ООТ "Лесопитомник" по ул. Дзержинского.</t>
  </si>
  <si>
    <t>Проектирование устройства пешеходной дорожки вдоль ул. Шлютова от ул. Родины до ул. Победы</t>
  </si>
  <si>
    <t>Проектирование устройства пешеходной дорожки вдоль ул. Украинской</t>
  </si>
  <si>
    <t>Выполнение проектно-изыскательских работ по устройству линий наружного электроосвещения, в т.ч. инженерные изыскания по Хрящевскому шоссе (на участке от Южного шоссе до Обводного шоссе).</t>
  </si>
  <si>
    <t>Устройство наружного освещения на  Южном шоссе (на участке от опоры №501 до ул. Цеховая и от ул. Цеховая до опоры № 490)</t>
  </si>
  <si>
    <t>Выполнение работ по капитальному ремонту объекта: «Подземный пешеходный переход: подземный переход через автомобильную дорогу по адресу: Самарская область, г. Тольятти,
ул. Свердлова, в районе дома №80 (капитальный ремонт)»</t>
  </si>
  <si>
    <t>5.56.</t>
  </si>
  <si>
    <t>5.57.</t>
  </si>
  <si>
    <t>5.58.</t>
  </si>
  <si>
    <t>5.59.</t>
  </si>
  <si>
    <t>5.60.</t>
  </si>
  <si>
    <t>5.61.</t>
  </si>
  <si>
    <t>5.62.</t>
  </si>
  <si>
    <t>5.63.</t>
  </si>
  <si>
    <t>5.64.</t>
  </si>
  <si>
    <t>5.65.</t>
  </si>
  <si>
    <t>5.66.</t>
  </si>
  <si>
    <t>5.67.</t>
  </si>
  <si>
    <t>5.68.</t>
  </si>
  <si>
    <t>5.69.</t>
  </si>
  <si>
    <t>5.70.</t>
  </si>
  <si>
    <t>5.71.</t>
  </si>
  <si>
    <t>5.72.</t>
  </si>
  <si>
    <t>5.73.</t>
  </si>
  <si>
    <t>5.74.</t>
  </si>
  <si>
    <t>5.75.</t>
  </si>
  <si>
    <t>5.76.</t>
  </si>
  <si>
    <t>5.77.</t>
  </si>
  <si>
    <t>5.78.</t>
  </si>
  <si>
    <t>5.79.</t>
  </si>
  <si>
    <t>5.80.</t>
  </si>
  <si>
    <t>5.81.</t>
  </si>
  <si>
    <t>5.82.</t>
  </si>
  <si>
    <t>5.83.</t>
  </si>
  <si>
    <t>5.84.</t>
  </si>
  <si>
    <t>5.85.</t>
  </si>
  <si>
    <t>5.86.</t>
  </si>
  <si>
    <t>5.87.</t>
  </si>
  <si>
    <t>5.88.</t>
  </si>
  <si>
    <t>5.89.</t>
  </si>
  <si>
    <t>5.90.</t>
  </si>
  <si>
    <t>5.91.</t>
  </si>
  <si>
    <t>5.92.</t>
  </si>
  <si>
    <t>5.93.</t>
  </si>
  <si>
    <t>5.94.</t>
  </si>
  <si>
    <t>5.95.</t>
  </si>
  <si>
    <t>5.96.</t>
  </si>
  <si>
    <t>5.97.</t>
  </si>
  <si>
    <t>5.98.</t>
  </si>
  <si>
    <t>5.99.</t>
  </si>
  <si>
    <t>5.100.</t>
  </si>
  <si>
    <t>5.101.</t>
  </si>
  <si>
    <t>5.104.</t>
  </si>
  <si>
    <t>5.105.</t>
  </si>
  <si>
    <t>5.106.</t>
  </si>
  <si>
    <t>5.107.</t>
  </si>
  <si>
    <t>5.108.</t>
  </si>
  <si>
    <t>5.109.</t>
  </si>
  <si>
    <t>5.110.</t>
  </si>
  <si>
    <t>5.111.</t>
  </si>
  <si>
    <t>5.112.</t>
  </si>
  <si>
    <t>5.113.</t>
  </si>
  <si>
    <t>5.114.</t>
  </si>
  <si>
    <t>5.115.</t>
  </si>
  <si>
    <t>5.116.</t>
  </si>
  <si>
    <t>5.117.</t>
  </si>
  <si>
    <t>5.118.</t>
  </si>
  <si>
    <t>5.119.</t>
  </si>
  <si>
    <t>5.120.</t>
  </si>
  <si>
    <t>5.121.</t>
  </si>
  <si>
    <t>5.122.</t>
  </si>
  <si>
    <t>5.123.</t>
  </si>
  <si>
    <t>5.124.</t>
  </si>
  <si>
    <t>5.125.</t>
  </si>
  <si>
    <t>5.126.</t>
  </si>
  <si>
    <t>Установка дорожных знаков на  ул.Жилина, д. № 1</t>
  </si>
  <si>
    <t>3.14.</t>
  </si>
  <si>
    <t>3.15.</t>
  </si>
  <si>
    <t>3.16.</t>
  </si>
  <si>
    <t>Проектно-изыскательские работы на капитальный ремонт магистральной улицы общегородского значения регулируемого движения ул. Калмыцкая от ж/д переезда до ул. Васильевская</t>
  </si>
  <si>
    <t>Проектно-изыскательские работы на капитальный ремонт магистральной улицы общегородского значения регулируемого движения ул. Васильевская от ул. Калмыцкая до Обводного шоссе</t>
  </si>
  <si>
    <t>Проектно-изыскательские работы на устройство линии наружного освещения вдоль магистральной улицы общегородского значения регулируемого движения ул. Калмыцкая</t>
  </si>
  <si>
    <t>8.1.</t>
  </si>
  <si>
    <t>Ремонт дворовых территорий многоквартирных домов, проездов к дворовым территориям многоквартирных домов  городского округа Тольятти</t>
  </si>
  <si>
    <t xml:space="preserve">Количество устроенных линий наружного электроосвещения  </t>
  </si>
  <si>
    <t>Строительство магистральной улицы общегородского значения регулируемого движения ул. Офицерской</t>
  </si>
  <si>
    <t>Автодорога по улице Бузыцкова от Хрящевского шоссе до дома № 47 по ул.Бузыцкова</t>
  </si>
  <si>
    <t>ул. Грачева от Хрящевского шоссе до пересечения с ул. Бузыцкова</t>
  </si>
  <si>
    <t>7.1.155</t>
  </si>
  <si>
    <t>Количество установленных дорожных знаков</t>
  </si>
  <si>
    <t>Количество проектных работ на устройство и перенос остановок общественного транспорта</t>
  </si>
  <si>
    <t>Количество вновь введенных (перенесенных) в эксплуатацию остановок общественного транспорта</t>
  </si>
  <si>
    <t>тыс. м.п.</t>
  </si>
  <si>
    <t>Количество ликвидируемых мест разворота транспортных средств, разрывов в разделительной полосе, несанкционированных примыканий, заездных карманов, парковок, устроенных пешеходных дорожек, островков безопасности, искусственных дорожных неровностей, шумовых полос , информационных щитов индивидуального проектирования, световозвращателей дорожных</t>
  </si>
  <si>
    <t xml:space="preserve">Подпрограмма "Повышение безопасности дорожного движения на период 2021-2025 гг."                      </t>
  </si>
  <si>
    <t xml:space="preserve">Перечень мероприятий муниципальной программы "Развитие транспортной системы и дорожного хозяйства городского округа Тольятти на 2021-2025 гг." </t>
  </si>
  <si>
    <r>
      <t xml:space="preserve">ПОКАЗАТЕЛИ (ИНДИКАТОРЫ)
</t>
    </r>
    <r>
      <rPr>
        <sz val="11.5"/>
        <rFont val="Times New Roman"/>
        <family val="1"/>
        <charset val="204"/>
      </rPr>
      <t>МУНИЦИПАЛЬНОЙ ПРОГРАММЫ "РАЗВИТИЕ ТРАНСПОРТНОЙ СИСТЕМЫ И ДОРОЖНОГО ХОЗЯЙСТВА ГОРОДСКОГО ОКРУГА ТОЛЬЯТТИ</t>
    </r>
    <r>
      <rPr>
        <sz val="12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НА 2021 - 2025 ГГ."</t>
    </r>
    <r>
      <rPr>
        <sz val="12"/>
        <rFont val="Times New Roman"/>
        <family val="1"/>
        <charset val="204"/>
      </rPr>
      <t xml:space="preserve">
</t>
    </r>
  </si>
  <si>
    <t>Показатели конечного результата муниципальной программы</t>
  </si>
  <si>
    <t xml:space="preserve">Подпрограмма "Содержание улично-дорожной сети на период 2021-2025 гг."                      </t>
  </si>
  <si>
    <t>Площадь дорожных сооружений, находящихся на содержании</t>
  </si>
  <si>
    <t>Уровень исполнения обязательств по лизингу</t>
  </si>
  <si>
    <t>1. Строительство автомобильных дорог общего пользования местного значения городского округа Тольятти, в т. ч. строительный контроль и авторский надзор:</t>
  </si>
  <si>
    <t>Строительство автомобильных дорог общего пользования местного значения городского округа Тольятти, в т. ч. строительный контроль и авторский надзор</t>
  </si>
  <si>
    <t>в том числе в рамках реализации национального проекта "Безопасные качественные автомобильные дороги"</t>
  </si>
  <si>
    <t>в том числе в рамках реализации национального проекта "Безопасные и качественные автомобильные дороги"</t>
  </si>
  <si>
    <t>объектов</t>
  </si>
  <si>
    <t>ул. Цеховая от Южного шоссе до ул. Северная</t>
  </si>
  <si>
    <t>ул. Родины от ул. Баныкина до ул. Комзина</t>
  </si>
  <si>
    <t>ул. Коммунальная от ул. Борковская до Обводного шоссе</t>
  </si>
  <si>
    <t>ул. Мичурина от ул. Ленина д. №48 до Енисейского пр-да д. № 54А</t>
  </si>
  <si>
    <t>ул. Железнодорожная от ул. Никонова до М-5 Урал</t>
  </si>
  <si>
    <t>ул. Офицерская от ул. Борковская до ул. Ботаническая</t>
  </si>
  <si>
    <t>ул. Ушакова от ул. Мира до ул. Баныкина</t>
  </si>
  <si>
    <t>ул. Дорофеева от ул. Железнодорожная до ул. Гидротехническая</t>
  </si>
  <si>
    <t>ул. Тополиная от ул. 70 лет Октября до ул. Дзержинского</t>
  </si>
  <si>
    <t>ул. Жукова от ул. Спортивная до ул. Фрунзе</t>
  </si>
  <si>
    <t>ул. Революционная от ул. Дзержинского до Приморского бульвара</t>
  </si>
  <si>
    <t>ул. Макарова от ул. Никонова до ул. Гидротехническая</t>
  </si>
  <si>
    <t>ул. Ботаническая от Южного шоссе до ул.Дзержинского</t>
  </si>
  <si>
    <t>ул. Жилина от ул. Мира до площади Свободы</t>
  </si>
  <si>
    <t>5.127.</t>
  </si>
  <si>
    <t>5.128.</t>
  </si>
  <si>
    <t>5.129.</t>
  </si>
  <si>
    <t>4.16.</t>
  </si>
  <si>
    <t>5.130.</t>
  </si>
  <si>
    <t>5.131.</t>
  </si>
  <si>
    <t>5.132.</t>
  </si>
  <si>
    <t>5.133.</t>
  </si>
  <si>
    <t>5.134.</t>
  </si>
  <si>
    <t>5.135.</t>
  </si>
  <si>
    <t>5.136.</t>
  </si>
  <si>
    <t>5.137.</t>
  </si>
  <si>
    <t>5.138.</t>
  </si>
  <si>
    <t>5.139.</t>
  </si>
  <si>
    <t>3.17.</t>
  </si>
  <si>
    <t>Проектирование устройства пешеходных дорожек, в т.ч. экспертиза проектов</t>
  </si>
  <si>
    <t>Количество проектных работ по устройству линий наружного электроосвещения</t>
  </si>
  <si>
    <t>2024, 2025</t>
  </si>
  <si>
    <t>путем предоставления субсидий в целях возмещения затрат на оплату лизинговых платежей за автобусы большого класса, работающие на газомоторном топливе, приобретенные в рамках национального проекта «Безопасные и качественные автомобильные дороги» (с нарастающим итогом)</t>
  </si>
  <si>
    <t>Предоставление транспортных услуг населению</t>
  </si>
  <si>
    <t>5,54 / 5,54</t>
  </si>
  <si>
    <t>Перечень объектов подпрограммы "Модернизация и развитие автомобильных дорог общего пользования местного значения, а также автомобильных дорог, расположенных в зоне застройки индивидуальными жилыми домами городского округа Тольятти, на 2021-2025 гг" и финансовые ресурсы</t>
  </si>
  <si>
    <t>18,54 / -</t>
  </si>
  <si>
    <t>394,81 / -</t>
  </si>
  <si>
    <t>Проектно-изыскательские работы по устройству линий наружного электроосвещения</t>
  </si>
  <si>
    <t>Оказание услуг по проведению экспертизы проектов</t>
  </si>
  <si>
    <t>нераспр.остаток</t>
  </si>
  <si>
    <t>5.140.</t>
  </si>
  <si>
    <t xml:space="preserve">Содержание автомобильных дорог местного значения и внутриквартальных проездов </t>
  </si>
  <si>
    <t>Площадь содержания автомобильных дорог местного значения и внутриквартальных проездов</t>
  </si>
  <si>
    <t>Содержание автомобильных дорог местного значения и внутриквартальных проездов</t>
  </si>
  <si>
    <t xml:space="preserve">8.Содержание автомобильных дорог местного значения и внутриквартальных проездов </t>
  </si>
  <si>
    <t xml:space="preserve">Итого по разделу 8 содержание автомобильных дорог местного значения и внутриквартальных проездов </t>
  </si>
  <si>
    <t>1.13.1.</t>
  </si>
  <si>
    <t>1.13.2.</t>
  </si>
  <si>
    <t>Строительный контроль и авторский надзор на объекте: "Строительство магистральной улицы общегородского значения регулируемого движения ул. Офицерской"</t>
  </si>
  <si>
    <t>2.4.</t>
  </si>
  <si>
    <t>Реконструкция Южного шоссе от ул. Заставной до ул. Цеховой с устройством парковочных автостоянок вдоль Южных проходных АО "АВТОВАЗ"</t>
  </si>
  <si>
    <t>Осуществление строительного контроля на объекте: "Капитальный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27"</t>
  </si>
  <si>
    <t>4.18.</t>
  </si>
  <si>
    <t>Строительный контроль на объектах капитального строительства</t>
  </si>
  <si>
    <t>4,21</t>
  </si>
  <si>
    <t>г.о.Тольятти, ул. Революционная ООТ"Сатурн" и ООТ "1000 мелочей"</t>
  </si>
  <si>
    <t>г.о. Тольятти, ул. Революционная ООТ "Универсам"</t>
  </si>
  <si>
    <t>г.о.Тольятти, ул. Революционная пересечение с Ленинским проспектом</t>
  </si>
  <si>
    <t xml:space="preserve">г.о. Тольятти, Ленинский проспект, д. №54Б/3 по ул.Революционная </t>
  </si>
  <si>
    <t>г.о.Тольятти ул. Кудашева, начало населенного пункта</t>
  </si>
  <si>
    <t>г.о.Тольятти, ул.Васильевская в районе перекрестка с Обводным шоссе, начало населенного пункта</t>
  </si>
  <si>
    <t>г.о. Тольятти, ж/д переезд ул. Вокзальная, д.№101</t>
  </si>
  <si>
    <t>г.о. Тольятти, ж/д переезд ул. Железнодорожная,д.№ 34 и д.34 ст.1 (два переезда)</t>
  </si>
  <si>
    <t>г.о. Тольятти, ж/д переезд, ул. Железнодорожная, д.№ 42</t>
  </si>
  <si>
    <t>г.о. Тольятти, ж/д переезд ул. Индустриальная, пикет 0-500 (2,5 переезда)</t>
  </si>
  <si>
    <t>г.о. Тольятти, ж/д переезд ул. Индустриальная, пикет 500- 1000 (1,5 переезда)</t>
  </si>
  <si>
    <t>г.о. Тольятти, ж/д переезд ул. Индустриальная, пикет 1000-1500</t>
  </si>
  <si>
    <t>г.о. Тольятти, ж/д переезд проезд перед ул. Калмыцкой (два переезда)</t>
  </si>
  <si>
    <t>г.о. Тольятти, ж/д переезд ул. Калмыцкая между ул. Новозаводской и ул. Васильевской</t>
  </si>
  <si>
    <t>г.о. Тольятти, ж/д переезд ул. Коммунистическая, д. № 102 "а" (два переезда)</t>
  </si>
  <si>
    <t>г.о. Тольятти, ж/д переезд ул. Ларина, д.№ 148</t>
  </si>
  <si>
    <t>г.о. Тольятти, ж/д переезд ул. Ларина, д.№ 151</t>
  </si>
  <si>
    <t>г.о. Тольятти, ж/д переезд ул. Ларина, д.№ 169</t>
  </si>
  <si>
    <t>г.о. Тольятти, ж/д переезд ул. Коммунистическая, д.№ 115</t>
  </si>
  <si>
    <t>г.о. Тольятти, ж/д переезд ул. Никонова, д. № 43</t>
  </si>
  <si>
    <t>г.о. Тольятти, ж/д переезд ул. Окраинная, д.№ 85 по ул. Северной</t>
  </si>
  <si>
    <t>г.о. Тольятти, ж/д переезд ул. Окраинная, д. № 100 по ул. Вокзальной</t>
  </si>
  <si>
    <t>г.о. Тольятти, ж/д переезд Поволжское шоссе, д.№ 34</t>
  </si>
  <si>
    <t>г.о. Тольятти, ж/д переезд ул. Подгорная, д.№ 25 (перегон канал-Пискалы)</t>
  </si>
  <si>
    <t>г.о. Тольятти, ж/д переезд Хрящевское шоссе, д. № 13</t>
  </si>
  <si>
    <t>г.о. Тольятти, ул.40 лет Победы ООТ "ЖК "Лесной""</t>
  </si>
  <si>
    <t>г.о. Тольятти, ул.40 лет Победы, ООТ "14 "а" квартал"</t>
  </si>
  <si>
    <t>г.о. Тольятти, ул.40 лет Победы  ООТ "Медучилище"</t>
  </si>
  <si>
    <t>г.о. Тольятти, ул.40 лет Победы ООТ "Школа №86"</t>
  </si>
  <si>
    <t>г.о. Тольятти, ул.Гидротехническая - ул.Макарова перекресток</t>
  </si>
  <si>
    <t>г.о. Тольятти, ул.Дзержинского ООТ "Бульвар Кулибина"</t>
  </si>
  <si>
    <t>г.о. Тольятти, ул. Ингельберга,  д.№ 52 Школа №15</t>
  </si>
  <si>
    <t>г.о. Тольятти, Комзина-Комсомольское шоссе перекресток</t>
  </si>
  <si>
    <t>г.о. Тольятти, ул.Матросова,  д. №134 ООТ "МТЦ"</t>
  </si>
  <si>
    <t>г.о. Тольятти, Обводная дорога пос.Приморский</t>
  </si>
  <si>
    <t>г.о. Тольятти, Поволжское шоссе, ул.Раздольная, ( подземный газопровод)</t>
  </si>
  <si>
    <t>г.о. Тольятти, ул. Украинская от бульвара 50 лет Октября до ул. Шлютова</t>
  </si>
  <si>
    <t>г.о. Тольятти, ул.Фрунзе, д. №22, д.№47 перекресток с Московским проспектом</t>
  </si>
  <si>
    <t>г.о. Тольятти, ул.40 лет Победы,  д. №15 по Южному шоссе</t>
  </si>
  <si>
    <t>г.о. Тольятти, Победы-Шлютова перекресток</t>
  </si>
  <si>
    <t>г.о.Тольятти ул. Кудашева</t>
  </si>
  <si>
    <t>г.о. Тольятти, ул.40 лет Победы, д. № 26</t>
  </si>
  <si>
    <t>г.о. Тольятти, ул.Автостроителей, д.№ 9</t>
  </si>
  <si>
    <t>г.о. Тольятти, ул.Автостроителей, д. №17, 38 ООТ "Школа №82"</t>
  </si>
  <si>
    <t>г.о. Тольятти, ул.Баныкина ООТ "72-й квартал"</t>
  </si>
  <si>
    <t>г.о. Тольятти, ул.Баныкина ООТ "Магазин "Юность""</t>
  </si>
  <si>
    <t>г.о. Тольятти, ул.Баныкина ООТ  "Спецавтохозяйство"</t>
  </si>
  <si>
    <t>г.о. Тольятти, ул.Баныкина ООТ "Школа №1"</t>
  </si>
  <si>
    <t>г.о. Тольятти, ул.Голосова,д.№ 105 "а"  ООТ "АТС-26"</t>
  </si>
  <si>
    <t>г.о. Тольятти, ул.Коммунальная, д. №23 ООТ "Военный госпиталь"</t>
  </si>
  <si>
    <t>г.о. Тольятти, ул.Коммунальная, д. №33 ООТ "Пивзавод"</t>
  </si>
  <si>
    <t>г.о. Тольятти, ул.Комсомольская ООТ "Информцентр"</t>
  </si>
  <si>
    <t>г.о. Тольятти, Ленинский проспект перед примыканием к Московскому  проспекту, д. 33 по Московскому проспекту</t>
  </si>
  <si>
    <t>г.о. Тольятти, ул.Базовая, д. №7</t>
  </si>
  <si>
    <t>г.о. Тольятти, Ленинский проспект, д. №40, д.№31</t>
  </si>
  <si>
    <t>г.о. Тольятти, бульвар Луначарского, д. №1, №3</t>
  </si>
  <si>
    <t>г.о. Тольятти, бульвар Луначарского,  д. №21</t>
  </si>
  <si>
    <t>г.о. Тольятти, бульвар Луначарского,  д. №15, д.№17</t>
  </si>
  <si>
    <t>г.о. Тольятти, ул. Маршала Жукова, д. № 56  ООТ "Прилесье"</t>
  </si>
  <si>
    <t>г.о. Тольятти, Приморский бульвар,  д.5</t>
  </si>
  <si>
    <t>г.о. Тольятти, проспект Ст. Разина, д.№ 80</t>
  </si>
  <si>
    <t>г.о. Тольятти, ул. Транспортная - Аптечный проезд перекресток</t>
  </si>
  <si>
    <t>г.о. Тольятти, ул.Шлюзовая, д. №14, д.№35</t>
  </si>
  <si>
    <t xml:space="preserve">г.о. Тольятти, Южное шоссе ООТ  "АвтоВАЗ-ТО" </t>
  </si>
  <si>
    <t>план на 2023:</t>
  </si>
  <si>
    <t>45,5 / 45,5</t>
  </si>
  <si>
    <t>в районе ООТ "Аптека" по ул. Революционная</t>
  </si>
  <si>
    <t>в районе ООТ "Универсам" по ул. Революционная</t>
  </si>
  <si>
    <t>б-р Здоровья</t>
  </si>
  <si>
    <t>Устройство искусственных дорожных неровностей на Яблоневом проезде (от ул. Кирова до ул. Добролюбова)</t>
  </si>
  <si>
    <t>Устройство искусственных дорожных неровностей в районе досугового центра "Русич по ул. Никонова" (Устройство искусственных дорожных неровностей).</t>
  </si>
  <si>
    <t>Устройство искусственных дорожных неровностей на проезде вдоль территории СОШ №61 (ул.Свердлова,23), д/с №115 "Салют" (ул. Свердлова, 27)</t>
  </si>
  <si>
    <t>Устройство искусственных дорожных неровностей по б-ру Орджоникидзе до дома №20 по пр-ту Ст. Разина</t>
  </si>
  <si>
    <t>Устройство искусственных дорожных неровностей по ул. Патрульная</t>
  </si>
  <si>
    <t>Устройство искусственных дорожных неровностей на внутриквартальном проезде от ул. Баныкина до ул. Мира вдоль территории д/с №49 "Веселые нотки"</t>
  </si>
  <si>
    <t>Устройство искусственных дорожных неровностей по внутриквартальному проезду от пр. Ст. Разина до ул. Юбилейная в районе ОЦ "Школа", "Школа №73", "Школа №76"</t>
  </si>
  <si>
    <t>Устройство искусственных дорожных неровностей в районе дома №102 на ул. Ставропольская (д/с №100 "Островок").</t>
  </si>
  <si>
    <t xml:space="preserve">Диагностика надземных пешеходных переходов (мостов,путепроводов) (путепровод через а/д на пересечении ул. Громовой – Поволжское шоссе г.о. Тольятти; путепровод через а/д на пересечении ул. Революционная – Ленинский проспект г.о. Тольятти)
</t>
  </si>
  <si>
    <t>Устройство искусственных дорожных неровностей в районе МБУ "Школа № 89" (ул.Дзержинского д. №39)</t>
  </si>
  <si>
    <t>Проектно-изыскательские работы по объекту "Реконструкция магистральной улицы районного значения транспортно-пешеходной по бульвару Приморский от Московского проспекта до обводной дороги пос. Приморский" (1 этап)</t>
  </si>
  <si>
    <t>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</t>
  </si>
  <si>
    <t>Площадь отремонтированных путем капитального ремонта автомобильных дорог общего пользования местного значения городского округа Тольятти / в т.ч. в рамках реализации национального проекта "Безопасные и качественные автомобильные дороги"</t>
  </si>
  <si>
    <t>Площадь отремонтированных путем ремонта автомобильных дорог общего пользования местного значения городского округа Тольятти / в т.ч. в рамках реализации национального проекта "Безопасные и качественные автомобильные дороги"</t>
  </si>
  <si>
    <t xml:space="preserve">4. 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контроль: </t>
  </si>
  <si>
    <t xml:space="preserve"> 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</t>
  </si>
  <si>
    <t>Количество отремонтированных путем капитального ремонта и ремонта надземных и подземных пешеходных переходов</t>
  </si>
  <si>
    <t>Количество разработанной документации по строительному контролю при капитальном ремонте</t>
  </si>
  <si>
    <t>Ремонт автомобильных дорог местного значения</t>
  </si>
  <si>
    <t>183,33 / 156</t>
  </si>
  <si>
    <t>2.4.1.</t>
  </si>
  <si>
    <t>2.4.2.</t>
  </si>
  <si>
    <t>Осуществление строительного контроля на объекте: Реконструкция Южного шоссе от ул. Заставной до ул. Цеховой с устройством парковочных автостоянок вдоль Южных проходных АО "АВТОВАЗ"</t>
  </si>
  <si>
    <t>Осуществление строительного контроля на объекте: Подземный пешеходный переход: подземный переход через автомобильную дорогу по адресу: Самарская область, г. Тольятти, ул. Свердлова, в районе дома № 80 (капитальный ремонт)</t>
  </si>
  <si>
    <t>5.141.</t>
  </si>
  <si>
    <t>7.1.156</t>
  </si>
  <si>
    <t>Устройство разворотной площадки из асфальтогранулята в мкр.Северный</t>
  </si>
  <si>
    <t>Осуществление технологического присоединения к электрическим сетям на объекте: "Капитальный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27"</t>
  </si>
  <si>
    <t xml:space="preserve">ООТ "14 квартал" </t>
  </si>
  <si>
    <t>ООТ "ВЦМ"</t>
  </si>
  <si>
    <t>ООТ "МТЦ"</t>
  </si>
  <si>
    <t>ООТ "Административный центр" по ул.Фрунзе</t>
  </si>
  <si>
    <t>ООТ "ХимЭнергоСтрой" в районе дома №6 по ул. Новозаводская</t>
  </si>
  <si>
    <t>проспект Степана Разина от дома №35 до дома №25</t>
  </si>
  <si>
    <t>вдоль ул. Пескалинская на участке от ул. Удалецкая до ул. Весенняя</t>
  </si>
  <si>
    <t>ООТ "Дилижанс"</t>
  </si>
  <si>
    <t>ООТ Лесная на участке от ул.Комомольской до Карла Маркса</t>
  </si>
  <si>
    <t>ООТ "2-я Дачная"</t>
  </si>
  <si>
    <t>ООТ "База УМТС"</t>
  </si>
  <si>
    <t>ООТ "3-я проходная СК"</t>
  </si>
  <si>
    <t>с четной и нечетной стороны по ул.Ботаническая</t>
  </si>
  <si>
    <t>ликвидация и устройство пешеходной дорожки на пересечении Приморского б-ра и пр-та Степана Разина</t>
  </si>
  <si>
    <t>устройство пешеходной дорожки с сокращением заездного кармана у остановки общественного транспорта Магазин "Экзотика"</t>
  </si>
  <si>
    <t>устройство пешеходной дорожки с сокращением заездного кармана у остановки общественного транспорта Магазин "1000 Мелочей"</t>
  </si>
  <si>
    <t>в районе дома №9 по ул.Автостроителей</t>
  </si>
  <si>
    <t>на пересечении ул.Белорусской и ул.Ленинградской</t>
  </si>
  <si>
    <t>в районе дома №44 по Московскому пр-ту</t>
  </si>
  <si>
    <t xml:space="preserve"> на спуске к набережной 6 квартала</t>
  </si>
  <si>
    <t>в районе дома №46а по ул.Горького</t>
  </si>
  <si>
    <t xml:space="preserve"> на пересечении ул.Голосова и ул.Новозаводской</t>
  </si>
  <si>
    <t>в районе дома №97 по пр-ту Степана Разина</t>
  </si>
  <si>
    <t>на Ленинском пр-те в районе дома №38А</t>
  </si>
  <si>
    <t>вдоль ул.Высоковольтной</t>
  </si>
  <si>
    <t>в районе остановки общественного транспорта "Спту №47"</t>
  </si>
  <si>
    <t>вдоль дома №13/1 по Гаражному переулку</t>
  </si>
  <si>
    <t>в районе остановки общественного транспорта "Театральная"</t>
  </si>
  <si>
    <t>в районе д. 3, 16, 25а по Комсомольскому шоссе</t>
  </si>
  <si>
    <t>ПБДД</t>
  </si>
  <si>
    <t>МРАД</t>
  </si>
  <si>
    <t>СУДС</t>
  </si>
  <si>
    <t>РГПТ</t>
  </si>
  <si>
    <t>Диагностика автомобильных дорог местного значения</t>
  </si>
  <si>
    <t>5.142.</t>
  </si>
  <si>
    <t>Протяженность автомобильных дорог, на которых выполнена диагностика и оценка транспортно-экплуатационного состояния дорог</t>
  </si>
  <si>
    <t>Количество разработанной документации по технологическому присоединению к электрическим сетям объектов капитального ремонта автомобильных дорог общего пользования местного значения городского округа Тольятти</t>
  </si>
  <si>
    <t>Предоставление субсидии на возмещение недополученных доходов и  финансовое обеспечение (возмещение) затрат в связи с выполнением работ по перевозке отдельных категорий граждан по социальной карте жителя Самарской области в связи с сокращением пассажиропотока в условиях угрозы распространения новой коронавирусной инфекции (COVID-19)</t>
  </si>
  <si>
    <t>Предоставление субсидий исполнителям, выполняющим работы по перевозке пассажиров и багажа транспортом общего пользования</t>
  </si>
  <si>
    <t>Экспертиза работ, выполняемых по объекту: "Капитальный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27"</t>
  </si>
  <si>
    <t>ул. 40 лет Победы, ООТ "Школа №70"</t>
  </si>
  <si>
    <t>ул. Громовой, ООТ "УТЭП"</t>
  </si>
  <si>
    <t>ул. Фрунзе, ООТ "11 квартал"</t>
  </si>
  <si>
    <t>ул. Вокзальная, ООТ "Кузнечно-прессовый цех</t>
  </si>
  <si>
    <t>ул. Железнодорожная, ООТ "Поликлиника"</t>
  </si>
  <si>
    <t>г.о. Тольятти,  ул. Революционная от  Ленинского проспекта до ул. Дзержинского</t>
  </si>
  <si>
    <t>г.о. Тольятти, ул. Революционная ООТ "Ателье мод"</t>
  </si>
  <si>
    <t>Количество разработанной документации по строительному контролю и авторскому надзору по реконструкции объектов дорожного хозяйства</t>
  </si>
  <si>
    <t>Оказание услуг по проведению проверки сметной стоимости</t>
  </si>
  <si>
    <t>Количество заключений о достоверности определения сметной стоимости</t>
  </si>
  <si>
    <t>Количество разработанной документации по строительному контролю и авторскому надзору по строительству объектов дорожного хозяйства</t>
  </si>
  <si>
    <t>Доля отечественного оборудования (товаров, работ, услуг) в общем объеме закупок</t>
  </si>
  <si>
    <t>Доля объектов, на которых предусматривается использование новых наилучших технологий, включенных в Реестр</t>
  </si>
  <si>
    <t>Количество пассажиров льготной категории граждан за которых выплачена субсидия перевозчикам  в условиях угрозы распространения новой коронавирусной инфекции</t>
  </si>
  <si>
    <t>Ремонт автомобильной дороги по боковому проезду ул. Маршала Жукова от дома №1 до дома №35 по ул.Маршала Жукова</t>
  </si>
  <si>
    <t>Ремонт автомобильной дороги по ул. Тополиная (от  ул. 70 лет Октября до ул.40 лет Победы)</t>
  </si>
  <si>
    <t>318,73 / 295,83</t>
  </si>
  <si>
    <t>Проектно-изыскательские работы на строительство улицы Ивана Красюка в жилой застройке микрорайона Жигулевское море от ул. Казачьей до пересечения ул. Молодецкая и проезда Оренбургский</t>
  </si>
  <si>
    <t>Проектно-изыскательские работы на строительство улицы Казачья в жилой застройке микрорайона Жигулевское море от ул. Ивана Красюка до ул. Бориса Коваленко</t>
  </si>
  <si>
    <t>3.18.</t>
  </si>
  <si>
    <t>3.19.</t>
  </si>
  <si>
    <t>Устройство искусственных дорожных неровностей на ул. Советская, 53 д/с "Жар-Птица"</t>
  </si>
  <si>
    <t>Устройство искусственных дорожных неровностей по ул. Фрунзе в районе ООТ "Маршала Жукова"</t>
  </si>
  <si>
    <t>Устройство пешеходной дорожки к пешеходному переходу на Приморском бульваре (на пересечении с ул. Революционной от сквера 50-летия АВТОВАЗа)</t>
  </si>
  <si>
    <t xml:space="preserve">Замена опор и установка подсветки, дублирующей сигналы светофоров на ул. 40 лет Победы, д.80 </t>
  </si>
  <si>
    <t>Установка светофоров Т7, сокращение заездного кармана, устройство тротуара на ул. Мира, д.170</t>
  </si>
  <si>
    <t>Устройство светофорного объекта с применением подсветки, дублирующий сигнал светофоров на ул. Голосова, д. 30А</t>
  </si>
  <si>
    <t>Устройство светофорного объекта, установка дорожных знаков и устройство пешеходной дорожки на Южном шоссе в районе дома №36 ООТ "1-я вставка"</t>
  </si>
  <si>
    <t>Устройство светофорного объекта, установка дорожных знаков, установка пешеходных ограждений на Южном шоссе в районе ООТ "Машиностроительный колледж"</t>
  </si>
  <si>
    <t>Установка светофора Т7,  установка пешеходных ограждений на ул. Мира в районе домов № 96, 96 А,100 Б, ООТ "Дом природы"</t>
  </si>
  <si>
    <t>Устройство светофоров Т7, устройство пешеходного перехода, устройство ИДН, устройство пешеходной дорожки, установка дорожных знаков, установка пешеходных ограждений на б-ре Королева, д. № 12</t>
  </si>
  <si>
    <t>5.102.</t>
  </si>
  <si>
    <t>5.103.</t>
  </si>
  <si>
    <t xml:space="preserve">Установка секций транспортных светофоров,  установка дорожных знаков перед
пересечением проезжих частей, по ул. Ларина и по ул. Новозаводской </t>
  </si>
  <si>
    <t>Приложение № 1                                                                                              к  постановлению администрации городского округа Тольятти "_____" _______________2021г. № _______________</t>
  </si>
  <si>
    <t>Приложение № 4                                                                                                                      к  постановлению администрации городского округа Тольятти "_____" _______________2021г. № _______________</t>
  </si>
  <si>
    <t>Осуществление технологического присоединения энергопринимающих устройств к электрическим сетям, в т.ч.:</t>
  </si>
  <si>
    <t>ул. Северная (на участке от ул. Борковская до дома № 105 по ул. Северная)</t>
  </si>
  <si>
    <t>31.1.</t>
  </si>
  <si>
    <t>31.2</t>
  </si>
  <si>
    <t>Осуществление технологического присоединения энергопринимающих устройств к электрическим сетям</t>
  </si>
  <si>
    <t>Количество актов об осуществлении технологического присоединения энергопринимающих устройств к электрическим сетям</t>
  </si>
  <si>
    <t>ООТ "АвтоВАЗагро" по ул.Ботаническая</t>
  </si>
  <si>
    <t>ООТ "3-я проходная ВЦМ" по ул.Новозаводская</t>
  </si>
  <si>
    <t>Устройство линий наружного электроосвещения мест концентрации ДТП, в т.ч.:</t>
  </si>
  <si>
    <t>Приобретение автобусов путем предоставления субсидий в целях возмещения затрат на оплату лизинговых платежей за автобусы большого класса, работающие на газомоторном топливе, приобретенные в рамках национального проекта «Безопасные и качественные автомобильные дороги»</t>
  </si>
  <si>
    <t>2.5.</t>
  </si>
  <si>
    <t>ул. Октябрьская от ул. Комсомольская до здания 55 по ул. Октябрьская</t>
  </si>
  <si>
    <t>ул. Громовой, от ул. Матросова до ул.Куйбышева, северо-западнее объекта недвижимости, имеющего адрес: ул. Громовой, 92</t>
  </si>
  <si>
    <t>Реконструкция магистральной улицы районного значения транспортно-пешеходной по бульвару Приморский от Московского проспекта до обводной дороги пос. Приморский (I этап)</t>
  </si>
  <si>
    <t>78,43 / 48,57</t>
  </si>
  <si>
    <t>40,94 / 40,94</t>
  </si>
  <si>
    <t>Количество экспертных заключений о соответствии представленных ОНМЦК на устройство средств по обеспечению безопасности участников дорожного движения нормативным правовым актам Российской Федерации, методическим рекомендациям, иным
правовым актам, регулирующим строительную деятельность</t>
  </si>
  <si>
    <t>247,48 / 220,15</t>
  </si>
  <si>
    <t>411,33 / 49,63</t>
  </si>
  <si>
    <t>Департамент дорожного хозяйства и транспорта администрации городского округа Тольятти, департамент градостроительной деятельности администрации городского округа Тольятти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</si>
</sst>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0.0"/>
    <numFmt numFmtId="166" formatCode="#,##0.0"/>
    <numFmt numFmtId="167" formatCode="#,##0.0_р_."/>
    <numFmt numFmtId="168" formatCode="#,##0_р_."/>
    <numFmt numFmtId="169" formatCode="#,##0.00_р_."/>
    <numFmt numFmtId="170" formatCode="#,##0.000_р_."/>
  </numFmts>
  <fonts count="48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Arial Cyr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Arial Cyr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Cyr"/>
      <charset val="204"/>
    </font>
    <font>
      <b/>
      <i/>
      <sz val="9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name val="Arial Cyr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i/>
      <sz val="10"/>
      <name val="Arial Cyr"/>
      <charset val="204"/>
    </font>
    <font>
      <b/>
      <sz val="12"/>
      <name val="Arial"/>
      <family val="2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.5"/>
      <name val="Times New Roman"/>
      <family val="1"/>
      <charset val="204"/>
    </font>
    <font>
      <u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6" fillId="0" borderId="0"/>
    <xf numFmtId="0" fontId="16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3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558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ont="1" applyFill="1"/>
    <xf numFmtId="4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/>
    <xf numFmtId="0" fontId="0" fillId="2" borderId="0" xfId="0" applyFont="1" applyFill="1"/>
    <xf numFmtId="0" fontId="19" fillId="2" borderId="0" xfId="0" applyFont="1" applyFill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24" fillId="2" borderId="0" xfId="0" applyFont="1" applyFill="1"/>
    <xf numFmtId="0" fontId="0" fillId="0" borderId="0" xfId="0" applyFont="1" applyFill="1" applyAlignment="1"/>
    <xf numFmtId="0" fontId="3" fillId="0" borderId="0" xfId="0" applyFont="1" applyFill="1" applyAlignment="1"/>
    <xf numFmtId="0" fontId="2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/>
    </xf>
    <xf numFmtId="167" fontId="29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12" fillId="0" borderId="0" xfId="0" applyFont="1" applyFill="1"/>
    <xf numFmtId="0" fontId="24" fillId="0" borderId="0" xfId="0" applyFont="1" applyFill="1"/>
    <xf numFmtId="165" fontId="0" fillId="0" borderId="0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top" wrapText="1"/>
    </xf>
    <xf numFmtId="0" fontId="17" fillId="4" borderId="0" xfId="0" applyFont="1" applyFill="1" applyBorder="1" applyAlignment="1">
      <alignment vertical="center" wrapText="1"/>
    </xf>
    <xf numFmtId="0" fontId="17" fillId="3" borderId="0" xfId="0" applyFont="1" applyFill="1" applyBorder="1" applyAlignment="1">
      <alignment vertical="center" wrapText="1"/>
    </xf>
    <xf numFmtId="0" fontId="0" fillId="2" borderId="0" xfId="0" applyFont="1" applyFill="1" applyAlignment="1"/>
    <xf numFmtId="0" fontId="15" fillId="0" borderId="0" xfId="0" applyFont="1" applyFill="1"/>
    <xf numFmtId="0" fontId="3" fillId="0" borderId="6" xfId="0" applyFont="1" applyFill="1" applyBorder="1"/>
    <xf numFmtId="0" fontId="0" fillId="0" borderId="6" xfId="0" applyFont="1" applyFill="1" applyBorder="1"/>
    <xf numFmtId="0" fontId="4" fillId="3" borderId="1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26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0" fillId="0" borderId="0" xfId="0" applyFont="1" applyFill="1" applyBorder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3" fontId="30" fillId="0" borderId="1" xfId="0" applyNumberFormat="1" applyFont="1" applyFill="1" applyBorder="1" applyAlignment="1">
      <alignment horizontal="center" vertical="center"/>
    </xf>
    <xf numFmtId="0" fontId="0" fillId="5" borderId="0" xfId="0" applyFont="1" applyFill="1"/>
    <xf numFmtId="3" fontId="35" fillId="0" borderId="1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left" vertical="center" wrapText="1"/>
    </xf>
    <xf numFmtId="168" fontId="13" fillId="0" borderId="1" xfId="0" applyNumberFormat="1" applyFont="1" applyFill="1" applyBorder="1" applyAlignment="1">
      <alignment horizontal="center" vertical="center"/>
    </xf>
    <xf numFmtId="169" fontId="4" fillId="0" borderId="8" xfId="0" applyNumberFormat="1" applyFont="1" applyFill="1" applyBorder="1" applyAlignment="1">
      <alignment horizontal="center" vertical="center" wrapText="1"/>
    </xf>
    <xf numFmtId="168" fontId="26" fillId="0" borderId="1" xfId="0" applyNumberFormat="1" applyFont="1" applyFill="1" applyBorder="1" applyAlignment="1">
      <alignment horizontal="center" vertical="center" wrapText="1"/>
    </xf>
    <xf numFmtId="167" fontId="26" fillId="0" borderId="1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left" vertical="center" wrapText="1"/>
    </xf>
    <xf numFmtId="168" fontId="35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wrapText="1"/>
    </xf>
    <xf numFmtId="167" fontId="20" fillId="0" borderId="1" xfId="9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/>
    <xf numFmtId="0" fontId="19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165" fontId="26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28" fillId="0" borderId="0" xfId="0" applyFont="1" applyFill="1" applyBorder="1"/>
    <xf numFmtId="4" fontId="40" fillId="0" borderId="0" xfId="0" applyNumberFormat="1" applyFont="1" applyFill="1"/>
    <xf numFmtId="0" fontId="40" fillId="0" borderId="0" xfId="0" applyFont="1" applyFill="1"/>
    <xf numFmtId="0" fontId="12" fillId="0" borderId="0" xfId="0" applyFont="1" applyFill="1" applyAlignment="1">
      <alignment horizontal="center" vertical="center"/>
    </xf>
    <xf numFmtId="3" fontId="29" fillId="0" borderId="1" xfId="4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4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wrapText="1"/>
    </xf>
    <xf numFmtId="0" fontId="22" fillId="0" borderId="0" xfId="0" applyFont="1" applyFill="1" applyAlignment="1">
      <alignment horizontal="center"/>
    </xf>
    <xf numFmtId="166" fontId="41" fillId="0" borderId="1" xfId="0" applyNumberFormat="1" applyFont="1" applyFill="1" applyBorder="1" applyAlignment="1">
      <alignment horizontal="center" vertical="center"/>
    </xf>
    <xf numFmtId="0" fontId="0" fillId="0" borderId="6" xfId="0" applyFont="1" applyBorder="1"/>
    <xf numFmtId="0" fontId="0" fillId="0" borderId="3" xfId="0" applyFont="1" applyFill="1" applyBorder="1"/>
    <xf numFmtId="0" fontId="3" fillId="0" borderId="3" xfId="0" applyFont="1" applyFill="1" applyBorder="1"/>
    <xf numFmtId="49" fontId="26" fillId="0" borderId="1" xfId="0" applyNumberFormat="1" applyFont="1" applyFill="1" applyBorder="1" applyAlignment="1">
      <alignment horizontal="center" vertical="center" wrapText="1"/>
    </xf>
    <xf numFmtId="0" fontId="47" fillId="0" borderId="8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168" fontId="4" fillId="0" borderId="20" xfId="0" applyNumberFormat="1" applyFont="1" applyFill="1" applyBorder="1" applyAlignment="1">
      <alignment horizontal="center" vertical="top" wrapText="1"/>
    </xf>
    <xf numFmtId="169" fontId="4" fillId="0" borderId="20" xfId="0" applyNumberFormat="1" applyFont="1" applyFill="1" applyBorder="1" applyAlignment="1">
      <alignment horizontal="center" vertical="top" wrapText="1"/>
    </xf>
    <xf numFmtId="169" fontId="4" fillId="0" borderId="21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169" fontId="4" fillId="0" borderId="20" xfId="0" applyNumberFormat="1" applyFont="1" applyFill="1" applyBorder="1" applyAlignment="1">
      <alignment horizontal="center" vertical="center" wrapText="1"/>
    </xf>
    <xf numFmtId="168" fontId="4" fillId="0" borderId="20" xfId="0" applyNumberFormat="1" applyFont="1" applyFill="1" applyBorder="1" applyAlignment="1">
      <alignment horizontal="center" vertical="center" wrapText="1"/>
    </xf>
    <xf numFmtId="169" fontId="4" fillId="0" borderId="21" xfId="0" applyNumberFormat="1" applyFont="1" applyFill="1" applyBorder="1" applyAlignment="1">
      <alignment horizontal="center" vertical="center" wrapText="1"/>
    </xf>
    <xf numFmtId="168" fontId="4" fillId="0" borderId="21" xfId="0" applyNumberFormat="1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167" fontId="4" fillId="0" borderId="20" xfId="0" applyNumberFormat="1" applyFont="1" applyFill="1" applyBorder="1" applyAlignment="1">
      <alignment horizontal="center" vertical="top" wrapText="1"/>
    </xf>
    <xf numFmtId="167" fontId="4" fillId="0" borderId="21" xfId="0" applyNumberFormat="1" applyFont="1" applyFill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2" fontId="4" fillId="0" borderId="20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1" fontId="4" fillId="0" borderId="20" xfId="0" applyNumberFormat="1" applyFont="1" applyBorder="1" applyAlignment="1">
      <alignment horizontal="center" vertical="top" wrapText="1"/>
    </xf>
    <xf numFmtId="1" fontId="4" fillId="0" borderId="21" xfId="0" applyNumberFormat="1" applyFont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165" fontId="4" fillId="0" borderId="17" xfId="0" applyNumberFormat="1" applyFont="1" applyFill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center" vertical="top" wrapText="1"/>
    </xf>
    <xf numFmtId="169" fontId="4" fillId="2" borderId="20" xfId="0" applyNumberFormat="1" applyFont="1" applyFill="1" applyBorder="1" applyAlignment="1">
      <alignment horizontal="center" vertical="top" wrapText="1"/>
    </xf>
    <xf numFmtId="2" fontId="4" fillId="2" borderId="20" xfId="0" applyNumberFormat="1" applyFont="1" applyFill="1" applyBorder="1" applyAlignment="1">
      <alignment horizontal="center" vertical="top" wrapText="1"/>
    </xf>
    <xf numFmtId="2" fontId="4" fillId="2" borderId="21" xfId="0" applyNumberFormat="1" applyFont="1" applyFill="1" applyBorder="1" applyAlignment="1">
      <alignment horizontal="center" vertical="top" wrapText="1"/>
    </xf>
    <xf numFmtId="168" fontId="4" fillId="2" borderId="20" xfId="0" applyNumberFormat="1" applyFont="1" applyFill="1" applyBorder="1" applyAlignment="1">
      <alignment horizontal="center" vertical="top" wrapText="1"/>
    </xf>
    <xf numFmtId="0" fontId="4" fillId="2" borderId="20" xfId="0" applyNumberFormat="1" applyFont="1" applyFill="1" applyBorder="1" applyAlignment="1">
      <alignment horizontal="center" vertical="top" wrapText="1"/>
    </xf>
    <xf numFmtId="0" fontId="4" fillId="2" borderId="21" xfId="0" applyNumberFormat="1" applyFont="1" applyFill="1" applyBorder="1" applyAlignment="1">
      <alignment horizontal="center" vertical="top" wrapText="1"/>
    </xf>
    <xf numFmtId="0" fontId="4" fillId="0" borderId="20" xfId="0" applyNumberFormat="1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center" vertical="top" wrapText="1"/>
    </xf>
    <xf numFmtId="0" fontId="4" fillId="0" borderId="23" xfId="0" applyNumberFormat="1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/>
    </xf>
    <xf numFmtId="168" fontId="4" fillId="2" borderId="20" xfId="0" applyNumberFormat="1" applyFont="1" applyFill="1" applyBorder="1" applyAlignment="1">
      <alignment horizontal="center" vertical="center" wrapText="1"/>
    </xf>
    <xf numFmtId="168" fontId="4" fillId="2" borderId="21" xfId="0" applyNumberFormat="1" applyFont="1" applyFill="1" applyBorder="1" applyAlignment="1">
      <alignment horizontal="center" vertical="center" wrapText="1"/>
    </xf>
    <xf numFmtId="167" fontId="4" fillId="0" borderId="20" xfId="0" applyNumberFormat="1" applyFont="1" applyFill="1" applyBorder="1" applyAlignment="1">
      <alignment horizontal="center" vertical="center" wrapText="1"/>
    </xf>
    <xf numFmtId="167" fontId="4" fillId="0" borderId="21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168" fontId="4" fillId="0" borderId="21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top" wrapText="1"/>
    </xf>
    <xf numFmtId="170" fontId="4" fillId="0" borderId="17" xfId="0" applyNumberFormat="1" applyFont="1" applyFill="1" applyBorder="1" applyAlignment="1">
      <alignment horizontal="center" vertical="top" wrapText="1"/>
    </xf>
    <xf numFmtId="170" fontId="4" fillId="0" borderId="18" xfId="0" applyNumberFormat="1" applyFont="1" applyFill="1" applyBorder="1" applyAlignment="1">
      <alignment horizontal="center" vertical="top" wrapText="1"/>
    </xf>
    <xf numFmtId="168" fontId="35" fillId="0" borderId="8" xfId="0" applyNumberFormat="1" applyFont="1" applyFill="1" applyBorder="1" applyAlignment="1">
      <alignment vertical="center"/>
    </xf>
    <xf numFmtId="0" fontId="0" fillId="0" borderId="15" xfId="0" applyFont="1" applyFill="1" applyBorder="1"/>
    <xf numFmtId="0" fontId="0" fillId="0" borderId="29" xfId="0" applyFont="1" applyFill="1" applyBorder="1"/>
    <xf numFmtId="0" fontId="0" fillId="0" borderId="30" xfId="0" applyFont="1" applyFill="1" applyBorder="1"/>
    <xf numFmtId="0" fontId="4" fillId="0" borderId="31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center" wrapText="1"/>
    </xf>
    <xf numFmtId="168" fontId="4" fillId="0" borderId="6" xfId="0" applyNumberFormat="1" applyFont="1" applyFill="1" applyBorder="1" applyAlignment="1">
      <alignment horizontal="center" vertical="center" wrapText="1"/>
    </xf>
    <xf numFmtId="168" fontId="4" fillId="0" borderId="31" xfId="0" applyNumberFormat="1" applyFont="1" applyFill="1" applyBorder="1" applyAlignment="1">
      <alignment horizontal="center" vertical="center" wrapText="1"/>
    </xf>
    <xf numFmtId="168" fontId="4" fillId="0" borderId="3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top" wrapText="1"/>
    </xf>
    <xf numFmtId="168" fontId="4" fillId="0" borderId="23" xfId="0" applyNumberFormat="1" applyFont="1" applyFill="1" applyBorder="1" applyAlignment="1">
      <alignment horizontal="center" vertical="center" wrapText="1"/>
    </xf>
    <xf numFmtId="168" fontId="4" fillId="0" borderId="24" xfId="0" applyNumberFormat="1" applyFont="1" applyFill="1" applyBorder="1" applyAlignment="1">
      <alignment horizontal="center" vertical="center" wrapText="1"/>
    </xf>
    <xf numFmtId="3" fontId="30" fillId="0" borderId="1" xfId="7" applyNumberFormat="1" applyFont="1" applyBorder="1" applyAlignment="1">
      <alignment horizontal="center" vertical="center"/>
    </xf>
    <xf numFmtId="3" fontId="29" fillId="0" borderId="1" xfId="7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3" fontId="30" fillId="0" borderId="1" xfId="0" applyNumberFormat="1" applyFont="1" applyBorder="1" applyAlignment="1">
      <alignment horizontal="center" vertical="center"/>
    </xf>
    <xf numFmtId="166" fontId="24" fillId="0" borderId="0" xfId="0" applyNumberFormat="1" applyFont="1" applyFill="1"/>
    <xf numFmtId="3" fontId="30" fillId="2" borderId="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168" fontId="35" fillId="0" borderId="4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 wrapText="1"/>
    </xf>
    <xf numFmtId="0" fontId="37" fillId="3" borderId="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31" xfId="0" applyFont="1" applyBorder="1" applyAlignment="1">
      <alignment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26" xfId="0" applyFont="1" applyBorder="1" applyAlignment="1">
      <alignment vertical="top" wrapText="1"/>
    </xf>
    <xf numFmtId="1" fontId="4" fillId="0" borderId="26" xfId="0" applyNumberFormat="1" applyFont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7" fillId="3" borderId="13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168" fontId="4" fillId="0" borderId="26" xfId="0" applyNumberFormat="1" applyFont="1" applyFill="1" applyBorder="1" applyAlignment="1">
      <alignment horizontal="center" vertical="center" wrapText="1"/>
    </xf>
    <xf numFmtId="167" fontId="4" fillId="0" borderId="26" xfId="0" applyNumberFormat="1" applyFont="1" applyFill="1" applyBorder="1" applyAlignment="1">
      <alignment horizontal="center" vertical="center" wrapText="1"/>
    </xf>
    <xf numFmtId="167" fontId="4" fillId="0" borderId="27" xfId="0" applyNumberFormat="1" applyFont="1" applyFill="1" applyBorder="1" applyAlignment="1">
      <alignment horizontal="center" vertical="center" wrapText="1"/>
    </xf>
    <xf numFmtId="16" fontId="4" fillId="0" borderId="35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4" fillId="2" borderId="36" xfId="0" applyNumberFormat="1" applyFont="1" applyFill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2" fontId="4" fillId="0" borderId="23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2" borderId="20" xfId="0" applyFont="1" applyFill="1" applyBorder="1" applyAlignment="1">
      <alignment vertical="center" wrapText="1"/>
    </xf>
    <xf numFmtId="0" fontId="4" fillId="0" borderId="6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vertical="center" wrapText="1" shrinkToFit="1"/>
    </xf>
    <xf numFmtId="4" fontId="7" fillId="0" borderId="0" xfId="0" applyNumberFormat="1" applyFont="1" applyFill="1"/>
    <xf numFmtId="165" fontId="9" fillId="0" borderId="1" xfId="0" applyNumberFormat="1" applyFont="1" applyFill="1" applyBorder="1" applyAlignment="1">
      <alignment horizontal="center" vertical="center" wrapText="1"/>
    </xf>
    <xf numFmtId="3" fontId="30" fillId="0" borderId="4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top" wrapText="1"/>
    </xf>
    <xf numFmtId="16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4" fillId="2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top" wrapText="1"/>
    </xf>
    <xf numFmtId="0" fontId="4" fillId="0" borderId="3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4" fontId="24" fillId="0" borderId="0" xfId="0" applyNumberFormat="1" applyFont="1" applyFill="1"/>
    <xf numFmtId="3" fontId="24" fillId="0" borderId="0" xfId="0" applyNumberFormat="1" applyFont="1" applyFill="1"/>
    <xf numFmtId="169" fontId="4" fillId="0" borderId="8" xfId="0" applyNumberFormat="1" applyFont="1" applyFill="1" applyBorder="1" applyAlignment="1">
      <alignment horizontal="center" vertical="top" wrapText="1"/>
    </xf>
    <xf numFmtId="0" fontId="0" fillId="0" borderId="0" xfId="0" applyFont="1" applyBorder="1"/>
    <xf numFmtId="0" fontId="0" fillId="8" borderId="0" xfId="0" applyFont="1" applyFill="1"/>
    <xf numFmtId="2" fontId="4" fillId="0" borderId="17" xfId="0" applyNumberFormat="1" applyFont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top" wrapText="1"/>
    </xf>
    <xf numFmtId="168" fontId="30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6" fontId="14" fillId="0" borderId="1" xfId="0" applyNumberFormat="1" applyFont="1" applyFill="1" applyBorder="1" applyAlignment="1">
      <alignment horizontal="center" vertical="center"/>
    </xf>
    <xf numFmtId="165" fontId="26" fillId="0" borderId="1" xfId="7" applyNumberFormat="1" applyFont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/>
    </xf>
    <xf numFmtId="0" fontId="4" fillId="0" borderId="1" xfId="7" applyFont="1" applyBorder="1" applyAlignment="1">
      <alignment horizontal="center" vertical="center" wrapText="1"/>
    </xf>
    <xf numFmtId="0" fontId="26" fillId="0" borderId="1" xfId="7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 shrinkToFit="1"/>
    </xf>
    <xf numFmtId="3" fontId="4" fillId="0" borderId="1" xfId="0" applyNumberFormat="1" applyFont="1" applyFill="1" applyBorder="1" applyAlignment="1">
      <alignment horizontal="center" vertical="center" wrapText="1" shrinkToFit="1"/>
    </xf>
    <xf numFmtId="3" fontId="6" fillId="0" borderId="1" xfId="0" applyNumberFormat="1" applyFont="1" applyFill="1" applyBorder="1" applyAlignment="1">
      <alignment horizontal="center" vertical="center" wrapText="1" shrinkToFit="1"/>
    </xf>
    <xf numFmtId="3" fontId="4" fillId="0" borderId="1" xfId="0" applyNumberFormat="1" applyFont="1" applyFill="1" applyBorder="1" applyAlignment="1">
      <alignment horizontal="center" vertical="center" shrinkToFit="1"/>
    </xf>
    <xf numFmtId="3" fontId="5" fillId="0" borderId="1" xfId="0" applyNumberFormat="1" applyFont="1" applyFill="1" applyBorder="1" applyAlignment="1">
      <alignment horizontal="center" vertical="center" shrinkToFit="1"/>
    </xf>
    <xf numFmtId="3" fontId="5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168" fontId="13" fillId="0" borderId="5" xfId="0" applyNumberFormat="1" applyFont="1" applyFill="1" applyBorder="1" applyAlignment="1">
      <alignment horizontal="center" vertical="center"/>
    </xf>
    <xf numFmtId="168" fontId="13" fillId="0" borderId="4" xfId="0" applyNumberFormat="1" applyFont="1" applyFill="1" applyBorder="1" applyAlignment="1">
      <alignment horizontal="center" vertical="center"/>
    </xf>
    <xf numFmtId="168" fontId="35" fillId="0" borderId="4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167" fontId="35" fillId="0" borderId="8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30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167" fontId="3" fillId="0" borderId="0" xfId="0" applyNumberFormat="1" applyFont="1" applyFill="1"/>
    <xf numFmtId="0" fontId="24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15" fillId="0" borderId="0" xfId="0" applyFont="1" applyFill="1" applyBorder="1"/>
    <xf numFmtId="0" fontId="17" fillId="0" borderId="0" xfId="0" applyFont="1" applyFill="1" applyBorder="1" applyAlignment="1">
      <alignment vertical="center" wrapText="1"/>
    </xf>
    <xf numFmtId="2" fontId="17" fillId="0" borderId="0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1" fontId="4" fillId="0" borderId="1" xfId="0" applyNumberFormat="1" applyFont="1" applyFill="1" applyBorder="1" applyAlignment="1">
      <alignment horizontal="center" vertical="center" shrinkToFit="1"/>
    </xf>
    <xf numFmtId="4" fontId="5" fillId="0" borderId="1" xfId="0" applyNumberFormat="1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vertical="center" wrapText="1" shrinkToFit="1"/>
    </xf>
    <xf numFmtId="2" fontId="5" fillId="0" borderId="1" xfId="0" applyNumberFormat="1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vertical="center" wrapText="1" shrinkToFi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4" fillId="0" borderId="1" xfId="0" applyNumberFormat="1" applyFont="1" applyFill="1" applyBorder="1" applyAlignment="1">
      <alignment horizontal="center" vertical="center" shrinkToFit="1"/>
    </xf>
    <xf numFmtId="3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shrinkToFit="1"/>
    </xf>
    <xf numFmtId="4" fontId="32" fillId="0" borderId="1" xfId="0" applyNumberFormat="1" applyFont="1" applyFill="1" applyBorder="1" applyAlignment="1">
      <alignment vertical="center" wrapText="1" shrinkToFit="1"/>
    </xf>
    <xf numFmtId="2" fontId="6" fillId="0" borderId="1" xfId="0" applyNumberFormat="1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left" vertical="center" wrapText="1" shrinkToFit="1"/>
    </xf>
    <xf numFmtId="4" fontId="9" fillId="0" borderId="1" xfId="0" applyNumberFormat="1" applyFont="1" applyFill="1" applyBorder="1" applyAlignment="1">
      <alignment horizontal="left" vertical="center" wrapText="1" shrinkToFit="1"/>
    </xf>
    <xf numFmtId="4" fontId="36" fillId="0" borderId="1" xfId="0" applyNumberFormat="1" applyFont="1" applyFill="1" applyBorder="1" applyAlignment="1">
      <alignment horizontal="center" vertical="center" wrapText="1" shrinkToFit="1"/>
    </xf>
    <xf numFmtId="4" fontId="32" fillId="0" borderId="1" xfId="0" applyNumberFormat="1" applyFont="1" applyFill="1" applyBorder="1" applyAlignment="1">
      <alignment horizontal="left" vertical="center" wrapText="1" shrinkToFi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left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left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3" fontId="26" fillId="0" borderId="1" xfId="1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left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left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4" fontId="10" fillId="0" borderId="1" xfId="3" applyNumberFormat="1" applyFont="1" applyFill="1" applyBorder="1" applyAlignment="1">
      <alignment horizontal="center" vertical="center" wrapText="1"/>
    </xf>
    <xf numFmtId="4" fontId="9" fillId="0" borderId="1" xfId="3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left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2" fontId="4" fillId="0" borderId="5" xfId="2" applyNumberFormat="1" applyFont="1" applyFill="1" applyBorder="1" applyAlignment="1">
      <alignment horizontal="center" vertical="center" wrapText="1"/>
    </xf>
    <xf numFmtId="3" fontId="4" fillId="0" borderId="5" xfId="1" applyNumberFormat="1" applyFont="1" applyFill="1" applyBorder="1" applyAlignment="1">
      <alignment horizontal="center" vertical="center" wrapText="1"/>
    </xf>
    <xf numFmtId="2" fontId="4" fillId="0" borderId="5" xfId="1" applyNumberFormat="1" applyFont="1" applyFill="1" applyBorder="1" applyAlignment="1">
      <alignment horizontal="center" vertical="center" wrapText="1"/>
    </xf>
    <xf numFmtId="2" fontId="4" fillId="0" borderId="5" xfId="1" applyNumberFormat="1" applyFont="1" applyFill="1" applyBorder="1" applyAlignment="1">
      <alignment horizontal="center" vertical="center"/>
    </xf>
    <xf numFmtId="3" fontId="4" fillId="0" borderId="5" xfId="1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center" vertical="center"/>
    </xf>
    <xf numFmtId="4" fontId="9" fillId="0" borderId="4" xfId="1" applyNumberFormat="1" applyFont="1" applyFill="1" applyBorder="1" applyAlignment="1">
      <alignment horizontal="left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wrapText="1" shrinkToFit="1"/>
    </xf>
    <xf numFmtId="3" fontId="4" fillId="0" borderId="4" xfId="1" applyNumberFormat="1" applyFont="1" applyFill="1" applyBorder="1" applyAlignment="1">
      <alignment horizontal="center" vertical="center" wrapText="1"/>
    </xf>
    <xf numFmtId="2" fontId="4" fillId="0" borderId="4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left" vertical="center" wrapText="1"/>
    </xf>
    <xf numFmtId="2" fontId="6" fillId="0" borderId="1" xfId="1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5" fontId="32" fillId="0" borderId="1" xfId="0" applyNumberFormat="1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 shrinkToFit="1"/>
    </xf>
    <xf numFmtId="4" fontId="4" fillId="0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ont="1" applyFill="1"/>
    <xf numFmtId="2" fontId="0" fillId="0" borderId="0" xfId="0" applyNumberFormat="1" applyFont="1" applyFill="1"/>
    <xf numFmtId="0" fontId="0" fillId="0" borderId="6" xfId="0" applyFont="1" applyFill="1" applyBorder="1" applyAlignment="1">
      <alignment wrapText="1"/>
    </xf>
    <xf numFmtId="2" fontId="0" fillId="0" borderId="6" xfId="0" applyNumberFormat="1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2" fontId="0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3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168" fontId="35" fillId="0" borderId="5" xfId="0" applyNumberFormat="1" applyFont="1" applyFill="1" applyBorder="1" applyAlignment="1">
      <alignment horizontal="center" vertical="center"/>
    </xf>
    <xf numFmtId="168" fontId="35" fillId="0" borderId="8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68" fontId="35" fillId="0" borderId="9" xfId="0" applyNumberFormat="1" applyFont="1" applyFill="1" applyBorder="1" applyAlignment="1">
      <alignment horizontal="center" vertical="center"/>
    </xf>
    <xf numFmtId="168" fontId="35" fillId="0" borderId="10" xfId="0" applyNumberFormat="1" applyFont="1" applyFill="1" applyBorder="1" applyAlignment="1">
      <alignment horizontal="center" vertical="center"/>
    </xf>
    <xf numFmtId="168" fontId="35" fillId="0" borderId="12" xfId="0" applyNumberFormat="1" applyFont="1" applyFill="1" applyBorder="1" applyAlignment="1">
      <alignment horizontal="center" vertical="center"/>
    </xf>
    <xf numFmtId="168" fontId="35" fillId="0" borderId="13" xfId="0" applyNumberFormat="1" applyFont="1" applyFill="1" applyBorder="1" applyAlignment="1">
      <alignment horizontal="center" vertical="center"/>
    </xf>
    <xf numFmtId="168" fontId="13" fillId="0" borderId="5" xfId="0" applyNumberFormat="1" applyFont="1" applyFill="1" applyBorder="1" applyAlignment="1">
      <alignment horizontal="center" vertical="center"/>
    </xf>
    <xf numFmtId="168" fontId="13" fillId="0" borderId="8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167" fontId="35" fillId="0" borderId="5" xfId="0" applyNumberFormat="1" applyFont="1" applyFill="1" applyBorder="1" applyAlignment="1">
      <alignment horizontal="center" vertical="center"/>
    </xf>
    <xf numFmtId="167" fontId="35" fillId="0" borderId="8" xfId="0" applyNumberFormat="1" applyFont="1" applyFill="1" applyBorder="1" applyAlignment="1">
      <alignment horizontal="center" vertical="center"/>
    </xf>
    <xf numFmtId="167" fontId="35" fillId="0" borderId="4" xfId="0" applyNumberFormat="1" applyFont="1" applyFill="1" applyBorder="1" applyAlignment="1">
      <alignment horizontal="center" vertical="center"/>
    </xf>
    <xf numFmtId="168" fontId="35" fillId="0" borderId="4" xfId="0" applyNumberFormat="1" applyFont="1" applyFill="1" applyBorder="1" applyAlignment="1">
      <alignment horizontal="center" vertical="center"/>
    </xf>
    <xf numFmtId="168" fontId="13" fillId="0" borderId="4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0" fillId="0" borderId="1" xfId="6" applyFont="1" applyFill="1" applyBorder="1" applyAlignment="1">
      <alignment horizontal="left" vertical="center" wrapText="1"/>
    </xf>
    <xf numFmtId="168" fontId="35" fillId="0" borderId="1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2" fontId="8" fillId="0" borderId="7" xfId="1" applyNumberFormat="1" applyFont="1" applyFill="1" applyBorder="1" applyAlignment="1">
      <alignment horizontal="left" vertical="center" wrapText="1"/>
    </xf>
    <xf numFmtId="2" fontId="8" fillId="0" borderId="3" xfId="1" applyNumberFormat="1" applyFont="1" applyFill="1" applyBorder="1" applyAlignment="1">
      <alignment horizontal="left" vertical="center" wrapText="1"/>
    </xf>
    <xf numFmtId="2" fontId="8" fillId="0" borderId="2" xfId="1" applyNumberFormat="1" applyFont="1" applyFill="1" applyBorder="1" applyAlignment="1">
      <alignment horizontal="left" vertical="center" wrapText="1"/>
    </xf>
    <xf numFmtId="4" fontId="8" fillId="0" borderId="1" xfId="1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left" vertical="center" wrapText="1"/>
    </xf>
    <xf numFmtId="165" fontId="8" fillId="0" borderId="7" xfId="1" applyNumberFormat="1" applyFont="1" applyFill="1" applyBorder="1" applyAlignment="1">
      <alignment horizontal="left" vertical="center" wrapText="1"/>
    </xf>
    <xf numFmtId="165" fontId="8" fillId="0" borderId="3" xfId="1" applyNumberFormat="1" applyFont="1" applyFill="1" applyBorder="1" applyAlignment="1">
      <alignment horizontal="left" vertical="center" wrapText="1"/>
    </xf>
    <xf numFmtId="165" fontId="8" fillId="0" borderId="2" xfId="1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5" fontId="26" fillId="0" borderId="5" xfId="0" applyNumberFormat="1" applyFont="1" applyFill="1" applyBorder="1" applyAlignment="1">
      <alignment horizontal="center" vertical="center" wrapText="1"/>
    </xf>
    <xf numFmtId="165" fontId="26" fillId="0" borderId="4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/>
    </xf>
    <xf numFmtId="3" fontId="29" fillId="0" borderId="1" xfId="0" applyNumberFormat="1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top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left" vertical="top" wrapText="1"/>
    </xf>
    <xf numFmtId="0" fontId="5" fillId="2" borderId="24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vertical="top"/>
    </xf>
    <xf numFmtId="0" fontId="3" fillId="2" borderId="24" xfId="0" applyFont="1" applyFill="1" applyBorder="1" applyAlignment="1">
      <alignment vertical="top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top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8" fillId="7" borderId="22" xfId="0" applyFont="1" applyFill="1" applyBorder="1" applyAlignment="1">
      <alignment horizontal="center" vertical="top" wrapText="1"/>
    </xf>
    <xf numFmtId="0" fontId="8" fillId="7" borderId="23" xfId="0" applyFont="1" applyFill="1" applyBorder="1" applyAlignment="1">
      <alignment horizontal="center" vertical="top" wrapText="1"/>
    </xf>
    <xf numFmtId="0" fontId="8" fillId="7" borderId="24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 wrapText="1"/>
    </xf>
    <xf numFmtId="0" fontId="8" fillId="7" borderId="19" xfId="0" applyFont="1" applyFill="1" applyBorder="1" applyAlignment="1">
      <alignment horizontal="center" vertical="top" wrapText="1"/>
    </xf>
    <xf numFmtId="0" fontId="8" fillId="7" borderId="20" xfId="0" applyFont="1" applyFill="1" applyBorder="1" applyAlignment="1">
      <alignment horizontal="center" vertical="top" wrapText="1"/>
    </xf>
    <xf numFmtId="0" fontId="8" fillId="7" borderId="21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/>
    </xf>
    <xf numFmtId="0" fontId="0" fillId="0" borderId="21" xfId="0" applyFont="1" applyFill="1" applyBorder="1" applyAlignment="1">
      <alignment vertical="top"/>
    </xf>
    <xf numFmtId="0" fontId="5" fillId="2" borderId="19" xfId="0" applyFont="1" applyFill="1" applyBorder="1" applyAlignment="1">
      <alignment horizontal="left" vertical="top"/>
    </xf>
    <xf numFmtId="0" fontId="5" fillId="2" borderId="20" xfId="0" applyFont="1" applyFill="1" applyBorder="1" applyAlignment="1">
      <alignment horizontal="left" vertical="top"/>
    </xf>
    <xf numFmtId="0" fontId="5" fillId="2" borderId="21" xfId="0" applyFont="1" applyFill="1" applyBorder="1" applyAlignment="1">
      <alignment horizontal="left" vertical="top"/>
    </xf>
    <xf numFmtId="0" fontId="26" fillId="0" borderId="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justify" vertical="center" wrapText="1"/>
    </xf>
    <xf numFmtId="1" fontId="4" fillId="0" borderId="20" xfId="0" applyNumberFormat="1" applyFont="1" applyFill="1" applyBorder="1" applyAlignment="1">
      <alignment horizontal="center" vertical="top" wrapText="1"/>
    </xf>
  </cellXfs>
  <cellStyles count="11">
    <cellStyle name="Обычный" xfId="0" builtinId="0"/>
    <cellStyle name="Обычный 2" xfId="1" xr:uid="{00000000-0005-0000-0000-000001000000}"/>
    <cellStyle name="Обычный 2 2" xfId="7" xr:uid="{00000000-0005-0000-0000-000002000000}"/>
    <cellStyle name="Обычный 2 3" xfId="8" xr:uid="{00000000-0005-0000-0000-000003000000}"/>
    <cellStyle name="Обычный 3" xfId="2" xr:uid="{00000000-0005-0000-0000-000004000000}"/>
    <cellStyle name="Обычный 4" xfId="3" xr:uid="{00000000-0005-0000-0000-000005000000}"/>
    <cellStyle name="Обычный_Лист1" xfId="6" xr:uid="{00000000-0005-0000-0000-000006000000}"/>
    <cellStyle name="Финансовый" xfId="4" builtinId="3"/>
    <cellStyle name="Финансовый 2" xfId="5" xr:uid="{00000000-0005-0000-0000-000008000000}"/>
    <cellStyle name="Финансовый 3" xfId="9" xr:uid="{00000000-0005-0000-0000-000009000000}"/>
    <cellStyle name="Финансовый 4" xfId="10" xr:uid="{00000000-0005-0000-0000-00000A000000}"/>
  </cellStyles>
  <dxfs count="0"/>
  <tableStyles count="0" defaultTableStyle="TableStyleMedium2" defaultPivotStyle="PivotStyleLight16"/>
  <colors>
    <mruColors>
      <color rgb="FFFFFF99"/>
      <color rgb="FFFFFF00"/>
      <color rgb="FFFFFF66"/>
      <color rgb="FFFFFFCC"/>
      <color rgb="FFF9B67F"/>
      <color rgb="FFFF9933"/>
      <color rgb="FFFFCC6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rhoz\tumplan\&#1101;&#1083;.&#1087;&#1086;&#1095;&#1090;&#1072;\&#1054;&#1058;&#1063;&#1045;&#1058;&#1067;%20&#1069;&#1050;&#1054;&#1053;&#1054;&#1052;&#1048;&#1057;&#1058;&#1067;\&#1055;&#1088;&#1086;&#1075;&#1088;&#1072;&#1084;&#1084;&#1072;\&#1055;&#1088;&#1086;&#1077;&#1082;&#1090;&#1099;%20&#1087;&#1086;&#1089;&#1090;&#1072;&#1085;&#1086;&#1074;&#1083;&#1077;&#1085;&#1080;&#1081;\&#1055;&#1088;&#1086;&#1075;&#1088;&#1072;&#1084;&#1084;&#1072;%202021-2025\&#1080;&#1079;&#1084;.%20&#1044;&#1091;&#1084;&#1072;%2024.03.2021\&#1050;&#1086;&#1087;&#1080;&#1103;%20&#1087;&#1088;&#1080;&#1083;&#1086;&#1078;&#1077;&#1085;&#1080;&#1103;%2024.03.21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rhoz\tumplan\&#1101;&#1083;.&#1087;&#1086;&#1095;&#1090;&#1072;\&#1054;&#1058;&#1063;&#1045;&#1058;&#1067;%20&#1069;&#1050;&#1054;&#1053;&#1054;&#1052;&#1048;&#1057;&#1058;&#1067;\&#1055;&#1088;&#1086;&#1075;&#1088;&#1072;&#1084;&#1084;&#1072;\&#1055;&#1088;&#1086;&#1077;&#1082;&#1090;&#1099;%20&#1087;&#1086;&#1089;&#1090;&#1072;&#1085;&#1086;&#1074;&#1083;&#1077;&#1085;&#1080;&#1081;\&#1055;&#1088;&#1086;&#1075;&#1088;&#1072;&#1084;&#1084;&#1072;%202021-2025\&#1059;&#1090;&#1074;&#1077;&#1088;&#1076;&#1080;&#1083;&#1080;%20&#1085;&#1072;%20&#1044;&#1059;&#1052;&#1077;%20(&#1079;&#1072;&#1087;&#1091;&#1089;&#1082;&#1072;&#1077;&#1084;%20&#1087;&#1088;&#1086;&#1077;&#1082;&#1090;%20&#1087;&#1086;&#1089;&#1090;&#1072;&#1085;&#1086;&#1074;&#1083;&#1077;&#1085;&#1080;&#1103;)\&#1059;&#1090;&#1074;.&#1087;&#1088;&#1080;&#1083;&#1086;&#1078;&#1077;&#1085;&#1080;&#1103;%2021-25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конеч.рез."/>
      <sheetName val="2.переченьПБДД"/>
      <sheetName val="3.переченьМРАД"/>
      <sheetName val="4.меропр."/>
      <sheetName val="5.индик."/>
      <sheetName val="Лист1"/>
    </sheetNames>
    <sheetDataSet>
      <sheetData sheetId="0" refreshError="1"/>
      <sheetData sheetId="1" refreshError="1"/>
      <sheetData sheetId="2" refreshError="1">
        <row r="96">
          <cell r="G96">
            <v>0</v>
          </cell>
          <cell r="Q96">
            <v>0</v>
          </cell>
          <cell r="V96">
            <v>0</v>
          </cell>
          <cell r="AA96">
            <v>0</v>
          </cell>
        </row>
        <row r="215">
          <cell r="G215">
            <v>0</v>
          </cell>
          <cell r="L215">
            <v>0</v>
          </cell>
          <cell r="Q215">
            <v>0</v>
          </cell>
          <cell r="AA215">
            <v>0</v>
          </cell>
          <cell r="AB215">
            <v>0</v>
          </cell>
          <cell r="AC215">
            <v>0</v>
          </cell>
        </row>
        <row r="216">
          <cell r="G216">
            <v>0</v>
          </cell>
          <cell r="L216">
            <v>0</v>
          </cell>
          <cell r="Q216">
            <v>0</v>
          </cell>
          <cell r="AA216">
            <v>0</v>
          </cell>
          <cell r="AB216">
            <v>0</v>
          </cell>
          <cell r="AC216">
            <v>0</v>
          </cell>
        </row>
        <row r="217">
          <cell r="G217">
            <v>0</v>
          </cell>
          <cell r="L217">
            <v>0</v>
          </cell>
          <cell r="Q217">
            <v>0</v>
          </cell>
          <cell r="AA217">
            <v>0</v>
          </cell>
          <cell r="AB217">
            <v>0</v>
          </cell>
          <cell r="AC217">
            <v>0</v>
          </cell>
        </row>
        <row r="218">
          <cell r="G218">
            <v>0</v>
          </cell>
          <cell r="L218">
            <v>0</v>
          </cell>
          <cell r="Q218">
            <v>0</v>
          </cell>
          <cell r="AA218">
            <v>0</v>
          </cell>
          <cell r="AB218">
            <v>0</v>
          </cell>
          <cell r="AC218">
            <v>0</v>
          </cell>
        </row>
        <row r="219">
          <cell r="G219">
            <v>0</v>
          </cell>
          <cell r="L219">
            <v>0</v>
          </cell>
          <cell r="Q219">
            <v>0</v>
          </cell>
          <cell r="AA219">
            <v>0</v>
          </cell>
          <cell r="AB219">
            <v>0</v>
          </cell>
          <cell r="AC219">
            <v>0</v>
          </cell>
        </row>
        <row r="220">
          <cell r="G220">
            <v>0</v>
          </cell>
          <cell r="L220">
            <v>0</v>
          </cell>
          <cell r="Q220">
            <v>0</v>
          </cell>
          <cell r="AA220">
            <v>0</v>
          </cell>
          <cell r="AB220">
            <v>0</v>
          </cell>
          <cell r="AC220">
            <v>0</v>
          </cell>
        </row>
        <row r="221">
          <cell r="G221">
            <v>0</v>
          </cell>
          <cell r="L221">
            <v>0</v>
          </cell>
          <cell r="Q221">
            <v>0</v>
          </cell>
          <cell r="AA221">
            <v>0</v>
          </cell>
          <cell r="AB221">
            <v>0</v>
          </cell>
          <cell r="AC221">
            <v>0</v>
          </cell>
        </row>
        <row r="222">
          <cell r="G222">
            <v>0</v>
          </cell>
          <cell r="L222">
            <v>0</v>
          </cell>
          <cell r="Q222">
            <v>0</v>
          </cell>
          <cell r="AA222">
            <v>0</v>
          </cell>
          <cell r="AB222">
            <v>0</v>
          </cell>
          <cell r="AC222">
            <v>0</v>
          </cell>
        </row>
        <row r="223">
          <cell r="G223">
            <v>0</v>
          </cell>
          <cell r="L223">
            <v>0</v>
          </cell>
          <cell r="Q223">
            <v>0</v>
          </cell>
          <cell r="AA223">
            <v>0</v>
          </cell>
          <cell r="AB223">
            <v>0</v>
          </cell>
          <cell r="AC223">
            <v>0</v>
          </cell>
        </row>
        <row r="224">
          <cell r="G224">
            <v>0</v>
          </cell>
          <cell r="L224">
            <v>0</v>
          </cell>
          <cell r="Q224">
            <v>0</v>
          </cell>
          <cell r="AA224">
            <v>0</v>
          </cell>
          <cell r="AB224">
            <v>0</v>
          </cell>
          <cell r="AC224">
            <v>0</v>
          </cell>
        </row>
        <row r="225">
          <cell r="G225">
            <v>0</v>
          </cell>
          <cell r="L225">
            <v>0</v>
          </cell>
          <cell r="Q225">
            <v>0</v>
          </cell>
          <cell r="AA225">
            <v>0</v>
          </cell>
          <cell r="AB225">
            <v>0</v>
          </cell>
          <cell r="AC225">
            <v>0</v>
          </cell>
        </row>
        <row r="226">
          <cell r="G226">
            <v>0</v>
          </cell>
          <cell r="L226">
            <v>0</v>
          </cell>
          <cell r="Q226">
            <v>0</v>
          </cell>
          <cell r="AA226">
            <v>0</v>
          </cell>
          <cell r="AB226">
            <v>0</v>
          </cell>
          <cell r="AC226">
            <v>0</v>
          </cell>
        </row>
        <row r="227">
          <cell r="G227">
            <v>0</v>
          </cell>
          <cell r="L227">
            <v>0</v>
          </cell>
          <cell r="Q227">
            <v>0</v>
          </cell>
          <cell r="AA227">
            <v>0</v>
          </cell>
          <cell r="AB227">
            <v>0</v>
          </cell>
          <cell r="AC227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(МРАД)"/>
      <sheetName val="1.переченьПБДД"/>
      <sheetName val="2.переченьМРАД"/>
      <sheetName val="3.меропр."/>
      <sheetName val="4.индикаторы"/>
      <sheetName val="конечные результаты"/>
      <sheetName val="Лист1"/>
    </sheetNames>
    <sheetDataSet>
      <sheetData sheetId="0"/>
      <sheetData sheetId="1"/>
      <sheetData sheetId="2"/>
      <sheetData sheetId="3">
        <row r="44">
          <cell r="F44">
            <v>78904.999280000004</v>
          </cell>
          <cell r="G44">
            <v>700000.00072000001</v>
          </cell>
          <cell r="H44">
            <v>0</v>
          </cell>
          <cell r="I44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25"/>
  <sheetViews>
    <sheetView view="pageBreakPreview" zoomScale="80" zoomScaleSheetLayoutView="80" workbookViewId="0">
      <selection activeCell="N7" sqref="N7"/>
    </sheetView>
  </sheetViews>
  <sheetFormatPr defaultRowHeight="12.75" x14ac:dyDescent="0.2"/>
  <cols>
    <col min="1" max="1" width="4.85546875" style="3" customWidth="1"/>
    <col min="2" max="2" width="35.140625" style="3" customWidth="1"/>
    <col min="3" max="3" width="11.5703125" style="3" customWidth="1"/>
    <col min="4" max="4" width="8.85546875" style="3"/>
    <col min="5" max="5" width="9.42578125" style="3" bestFit="1" customWidth="1"/>
    <col min="6" max="9" width="8.85546875" style="3"/>
    <col min="10" max="10" width="18.5703125" style="3" customWidth="1"/>
    <col min="11" max="16384" width="9.140625" style="3"/>
  </cols>
  <sheetData>
    <row r="1" spans="1:9" ht="70.150000000000006" customHeight="1" x14ac:dyDescent="0.2">
      <c r="E1" s="76"/>
      <c r="F1" s="388"/>
      <c r="G1" s="388"/>
      <c r="H1" s="388"/>
      <c r="I1" s="388"/>
    </row>
    <row r="2" spans="1:9" ht="40.15" customHeight="1" x14ac:dyDescent="0.2">
      <c r="A2" s="550" t="s">
        <v>1196</v>
      </c>
      <c r="B2" s="550"/>
      <c r="C2" s="550"/>
      <c r="D2" s="550"/>
      <c r="E2" s="550"/>
      <c r="F2" s="550"/>
      <c r="G2" s="550"/>
      <c r="H2" s="550"/>
      <c r="I2" s="550"/>
    </row>
    <row r="3" spans="1:9" ht="31.5" customHeight="1" x14ac:dyDescent="0.2">
      <c r="A3" s="400" t="s">
        <v>214</v>
      </c>
      <c r="B3" s="400" t="s">
        <v>876</v>
      </c>
      <c r="C3" s="400" t="s">
        <v>877</v>
      </c>
      <c r="D3" s="400" t="s">
        <v>712</v>
      </c>
      <c r="E3" s="400" t="s">
        <v>878</v>
      </c>
      <c r="F3" s="400"/>
      <c r="G3" s="400"/>
      <c r="H3" s="400"/>
      <c r="I3" s="400"/>
    </row>
    <row r="4" spans="1:9" ht="17.25" customHeight="1" x14ac:dyDescent="0.2">
      <c r="A4" s="400"/>
      <c r="B4" s="400"/>
      <c r="C4" s="400"/>
      <c r="D4" s="400"/>
      <c r="E4" s="385">
        <v>2021</v>
      </c>
      <c r="F4" s="385">
        <v>2022</v>
      </c>
      <c r="G4" s="385">
        <v>2023</v>
      </c>
      <c r="H4" s="385">
        <v>2024</v>
      </c>
      <c r="I4" s="385">
        <v>2025</v>
      </c>
    </row>
    <row r="5" spans="1:9" ht="15" x14ac:dyDescent="0.2">
      <c r="A5" s="385">
        <v>1</v>
      </c>
      <c r="B5" s="385">
        <v>2</v>
      </c>
      <c r="C5" s="385">
        <v>3</v>
      </c>
      <c r="D5" s="385">
        <v>4</v>
      </c>
      <c r="E5" s="385">
        <v>5</v>
      </c>
      <c r="F5" s="385">
        <v>6</v>
      </c>
      <c r="G5" s="385">
        <v>7</v>
      </c>
      <c r="H5" s="385">
        <v>8</v>
      </c>
      <c r="I5" s="385">
        <v>9</v>
      </c>
    </row>
    <row r="6" spans="1:9" ht="59.45" customHeight="1" x14ac:dyDescent="0.2">
      <c r="A6" s="387">
        <v>1</v>
      </c>
      <c r="B6" s="551" t="s">
        <v>900</v>
      </c>
      <c r="C6" s="48" t="s">
        <v>733</v>
      </c>
      <c r="D6" s="48">
        <v>2.5</v>
      </c>
      <c r="E6" s="48">
        <v>2.4500000000000002</v>
      </c>
      <c r="F6" s="29">
        <v>2.4</v>
      </c>
      <c r="G6" s="29">
        <v>2.35</v>
      </c>
      <c r="H6" s="29">
        <v>2.2999999999999998</v>
      </c>
      <c r="I6" s="48">
        <v>2.25</v>
      </c>
    </row>
    <row r="7" spans="1:9" ht="52.15" customHeight="1" x14ac:dyDescent="0.2">
      <c r="A7" s="387">
        <v>2</v>
      </c>
      <c r="B7" s="551" t="s">
        <v>901</v>
      </c>
      <c r="C7" s="48" t="s">
        <v>872</v>
      </c>
      <c r="D7" s="48">
        <v>789</v>
      </c>
      <c r="E7" s="48">
        <v>788</v>
      </c>
      <c r="F7" s="48">
        <v>785</v>
      </c>
      <c r="G7" s="48">
        <v>780</v>
      </c>
      <c r="H7" s="48">
        <v>775</v>
      </c>
      <c r="I7" s="48">
        <v>770</v>
      </c>
    </row>
    <row r="8" spans="1:9" ht="76.900000000000006" customHeight="1" x14ac:dyDescent="0.2">
      <c r="A8" s="387">
        <v>3</v>
      </c>
      <c r="B8" s="551" t="s">
        <v>873</v>
      </c>
      <c r="C8" s="385" t="s">
        <v>736</v>
      </c>
      <c r="D8" s="48">
        <v>711.9</v>
      </c>
      <c r="E8" s="204">
        <v>733.5</v>
      </c>
      <c r="F8" s="204">
        <v>752.8</v>
      </c>
      <c r="G8" s="204">
        <v>764.2</v>
      </c>
      <c r="H8" s="204">
        <v>810.3</v>
      </c>
      <c r="I8" s="48">
        <v>817.5</v>
      </c>
    </row>
    <row r="9" spans="1:9" ht="104.45" customHeight="1" x14ac:dyDescent="0.2">
      <c r="A9" s="387">
        <v>4</v>
      </c>
      <c r="B9" s="552" t="s">
        <v>886</v>
      </c>
      <c r="C9" s="385" t="s">
        <v>733</v>
      </c>
      <c r="D9" s="48" t="s">
        <v>716</v>
      </c>
      <c r="E9" s="29">
        <v>0.35</v>
      </c>
      <c r="F9" s="29">
        <v>0.22</v>
      </c>
      <c r="G9" s="29" t="s">
        <v>716</v>
      </c>
      <c r="H9" s="29">
        <v>0.72</v>
      </c>
      <c r="I9" s="29">
        <v>0.79</v>
      </c>
    </row>
    <row r="10" spans="1:9" ht="103.9" customHeight="1" x14ac:dyDescent="0.2">
      <c r="A10" s="387">
        <v>5</v>
      </c>
      <c r="B10" s="552" t="s">
        <v>887</v>
      </c>
      <c r="C10" s="385" t="s">
        <v>733</v>
      </c>
      <c r="D10" s="48" t="s">
        <v>716</v>
      </c>
      <c r="E10" s="29">
        <v>0.1</v>
      </c>
      <c r="F10" s="48" t="s">
        <v>716</v>
      </c>
      <c r="G10" s="48" t="s">
        <v>716</v>
      </c>
      <c r="H10" s="48" t="s">
        <v>716</v>
      </c>
      <c r="I10" s="48" t="s">
        <v>716</v>
      </c>
    </row>
    <row r="11" spans="1:9" ht="103.15" customHeight="1" x14ac:dyDescent="0.2">
      <c r="A11" s="387">
        <v>6</v>
      </c>
      <c r="B11" s="551" t="s">
        <v>890</v>
      </c>
      <c r="C11" s="385" t="s">
        <v>733</v>
      </c>
      <c r="D11" s="48" t="s">
        <v>716</v>
      </c>
      <c r="E11" s="29">
        <v>0.05</v>
      </c>
      <c r="F11" s="29">
        <v>1.4</v>
      </c>
      <c r="G11" s="29">
        <v>1</v>
      </c>
      <c r="H11" s="29">
        <v>1.18</v>
      </c>
      <c r="I11" s="29">
        <v>0.98</v>
      </c>
    </row>
    <row r="12" spans="1:9" ht="180" customHeight="1" x14ac:dyDescent="0.2">
      <c r="A12" s="387">
        <v>7</v>
      </c>
      <c r="B12" s="551" t="s">
        <v>874</v>
      </c>
      <c r="C12" s="385" t="s">
        <v>733</v>
      </c>
      <c r="D12" s="48">
        <v>43.8</v>
      </c>
      <c r="E12" s="48">
        <v>3</v>
      </c>
      <c r="F12" s="48" t="s">
        <v>716</v>
      </c>
      <c r="G12" s="48" t="s">
        <v>716</v>
      </c>
      <c r="H12" s="48">
        <v>68.760000000000005</v>
      </c>
      <c r="I12" s="48">
        <v>37</v>
      </c>
    </row>
    <row r="13" spans="1:9" ht="52.15" customHeight="1" x14ac:dyDescent="0.2">
      <c r="A13" s="387">
        <v>8</v>
      </c>
      <c r="B13" s="551" t="s">
        <v>875</v>
      </c>
      <c r="C13" s="385" t="s">
        <v>733</v>
      </c>
      <c r="D13" s="48">
        <v>40</v>
      </c>
      <c r="E13" s="48">
        <v>45</v>
      </c>
      <c r="F13" s="48">
        <v>49</v>
      </c>
      <c r="G13" s="48">
        <v>50</v>
      </c>
      <c r="H13" s="48">
        <v>55</v>
      </c>
      <c r="I13" s="48">
        <v>60</v>
      </c>
    </row>
    <row r="14" spans="1:9" ht="42.6" customHeight="1" x14ac:dyDescent="0.2">
      <c r="A14" s="387">
        <v>9</v>
      </c>
      <c r="B14" s="553" t="s">
        <v>883</v>
      </c>
      <c r="C14" s="48" t="s">
        <v>733</v>
      </c>
      <c r="D14" s="48">
        <v>20.5</v>
      </c>
      <c r="E14" s="48">
        <v>32.6</v>
      </c>
      <c r="F14" s="48">
        <v>32.6</v>
      </c>
      <c r="G14" s="48">
        <v>32.6</v>
      </c>
      <c r="H14" s="48">
        <v>32.6</v>
      </c>
      <c r="I14" s="48">
        <v>32.6</v>
      </c>
    </row>
    <row r="15" spans="1:9" ht="42.6" customHeight="1" x14ac:dyDescent="0.2">
      <c r="A15" s="387">
        <v>10</v>
      </c>
      <c r="B15" s="553" t="s">
        <v>884</v>
      </c>
      <c r="C15" s="48" t="s">
        <v>733</v>
      </c>
      <c r="D15" s="48">
        <v>77.5</v>
      </c>
      <c r="E15" s="48">
        <v>77.5</v>
      </c>
      <c r="F15" s="48">
        <v>77.5</v>
      </c>
      <c r="G15" s="48">
        <v>77.5</v>
      </c>
      <c r="H15" s="48">
        <v>77.5</v>
      </c>
      <c r="I15" s="48">
        <v>77.5</v>
      </c>
    </row>
    <row r="16" spans="1:9" ht="43.9" customHeight="1" x14ac:dyDescent="0.2">
      <c r="A16" s="387">
        <v>11</v>
      </c>
      <c r="B16" s="553" t="s">
        <v>1013</v>
      </c>
      <c r="C16" s="48" t="s">
        <v>733</v>
      </c>
      <c r="D16" s="48">
        <v>90.1</v>
      </c>
      <c r="E16" s="48">
        <v>91.3</v>
      </c>
      <c r="F16" s="48">
        <v>91.3</v>
      </c>
      <c r="G16" s="48">
        <v>91.3</v>
      </c>
      <c r="H16" s="48">
        <v>91.3</v>
      </c>
      <c r="I16" s="48">
        <v>91.3</v>
      </c>
    </row>
    <row r="17" spans="1:9" ht="45" customHeight="1" x14ac:dyDescent="0.2">
      <c r="A17" s="387">
        <v>12</v>
      </c>
      <c r="B17" s="553" t="s">
        <v>885</v>
      </c>
      <c r="C17" s="48" t="s">
        <v>733</v>
      </c>
      <c r="D17" s="48">
        <v>81.3</v>
      </c>
      <c r="E17" s="48">
        <v>81.3</v>
      </c>
      <c r="F17" s="48">
        <v>81.3</v>
      </c>
      <c r="G17" s="48">
        <v>81.3</v>
      </c>
      <c r="H17" s="48">
        <v>81.3</v>
      </c>
      <c r="I17" s="48">
        <v>81.3</v>
      </c>
    </row>
    <row r="18" spans="1:9" ht="13.5" x14ac:dyDescent="0.25">
      <c r="A18" s="554" t="s">
        <v>880</v>
      </c>
      <c r="B18" s="555"/>
      <c r="C18" s="555"/>
      <c r="D18" s="555"/>
      <c r="E18" s="555"/>
      <c r="F18" s="555"/>
      <c r="G18" s="555"/>
      <c r="H18" s="555"/>
      <c r="I18" s="555"/>
    </row>
    <row r="19" spans="1:9" ht="30" x14ac:dyDescent="0.2">
      <c r="A19" s="387">
        <v>13</v>
      </c>
      <c r="B19" s="552" t="s">
        <v>881</v>
      </c>
      <c r="C19" s="48" t="s">
        <v>882</v>
      </c>
      <c r="D19" s="204">
        <v>1115.1470999999999</v>
      </c>
      <c r="E19" s="48">
        <v>1115.5</v>
      </c>
      <c r="F19" s="204">
        <v>1115.75</v>
      </c>
      <c r="G19" s="204">
        <v>1116</v>
      </c>
      <c r="H19" s="204">
        <v>1116.25</v>
      </c>
      <c r="I19" s="48">
        <v>1116.5</v>
      </c>
    </row>
    <row r="20" spans="1:9" ht="27.6" customHeight="1" x14ac:dyDescent="0.25">
      <c r="A20" s="554" t="s">
        <v>879</v>
      </c>
      <c r="B20" s="555"/>
      <c r="C20" s="555"/>
      <c r="D20" s="555"/>
      <c r="E20" s="555"/>
      <c r="F20" s="555"/>
      <c r="G20" s="555"/>
      <c r="H20" s="555"/>
      <c r="I20" s="555"/>
    </row>
    <row r="21" spans="1:9" ht="59.25" customHeight="1" x14ac:dyDescent="0.2">
      <c r="A21" s="387">
        <v>14</v>
      </c>
      <c r="B21" s="556" t="s">
        <v>891</v>
      </c>
      <c r="C21" s="385" t="s">
        <v>733</v>
      </c>
      <c r="D21" s="204" t="s">
        <v>716</v>
      </c>
      <c r="E21" s="204">
        <v>74.66</v>
      </c>
      <c r="F21" s="204">
        <v>76.599999999999994</v>
      </c>
      <c r="G21" s="204">
        <v>77.8</v>
      </c>
      <c r="H21" s="204">
        <v>80.599999999999994</v>
      </c>
      <c r="I21" s="204">
        <v>82.8</v>
      </c>
    </row>
    <row r="22" spans="1:9" ht="77.45" customHeight="1" x14ac:dyDescent="0.2">
      <c r="A22" s="387">
        <v>15</v>
      </c>
      <c r="B22" s="552" t="s">
        <v>1410</v>
      </c>
      <c r="C22" s="48" t="s">
        <v>733</v>
      </c>
      <c r="D22" s="48" t="s">
        <v>716</v>
      </c>
      <c r="E22" s="48">
        <v>10</v>
      </c>
      <c r="F22" s="48" t="s">
        <v>716</v>
      </c>
      <c r="G22" s="48" t="s">
        <v>716</v>
      </c>
      <c r="H22" s="48" t="s">
        <v>716</v>
      </c>
      <c r="I22" s="48" t="s">
        <v>716</v>
      </c>
    </row>
    <row r="23" spans="1:9" ht="77.45" customHeight="1" x14ac:dyDescent="0.2">
      <c r="A23" s="387">
        <v>16</v>
      </c>
      <c r="B23" s="552" t="s">
        <v>1409</v>
      </c>
      <c r="C23" s="48" t="s">
        <v>733</v>
      </c>
      <c r="D23" s="48" t="s">
        <v>716</v>
      </c>
      <c r="E23" s="48">
        <v>62</v>
      </c>
      <c r="F23" s="48" t="s">
        <v>716</v>
      </c>
      <c r="G23" s="48" t="s">
        <v>716</v>
      </c>
      <c r="H23" s="48" t="s">
        <v>716</v>
      </c>
      <c r="I23" s="48" t="s">
        <v>716</v>
      </c>
    </row>
    <row r="25" spans="1:9" x14ac:dyDescent="0.2">
      <c r="D25" s="39"/>
      <c r="E25" s="39"/>
    </row>
  </sheetData>
  <mergeCells count="9">
    <mergeCell ref="F1:I1"/>
    <mergeCell ref="A20:I20"/>
    <mergeCell ref="A18:I18"/>
    <mergeCell ref="A3:A4"/>
    <mergeCell ref="B3:B4"/>
    <mergeCell ref="C3:C4"/>
    <mergeCell ref="D3:D4"/>
    <mergeCell ref="E3:I3"/>
    <mergeCell ref="A2:I2"/>
  </mergeCells>
  <pageMargins left="0.70866141732283472" right="0.11811023622047245" top="0.74803149606299213" bottom="0.74803149606299213" header="0.31496062992125984" footer="0.31496062992125984"/>
  <pageSetup paperSize="9" scale="90" fitToHeight="0" orientation="portrait" r:id="rId1"/>
  <rowBreaks count="1" manualBreakCount="1">
    <brk id="1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343"/>
  <sheetViews>
    <sheetView view="pageBreakPreview" topLeftCell="A234" zoomScale="80" zoomScaleNormal="50" zoomScaleSheetLayoutView="80" workbookViewId="0">
      <selection activeCell="B208" sqref="B208"/>
    </sheetView>
  </sheetViews>
  <sheetFormatPr defaultColWidth="9.140625" defaultRowHeight="42" customHeight="1" outlineLevelCol="2" x14ac:dyDescent="0.2"/>
  <cols>
    <col min="1" max="1" width="5" style="3" customWidth="1"/>
    <col min="2" max="2" width="107.5703125" style="278" customWidth="1"/>
    <col min="3" max="3" width="11.140625" style="1" customWidth="1"/>
    <col min="4" max="4" width="16.5703125" style="3" customWidth="1"/>
    <col min="5" max="5" width="10.42578125" style="3" hidden="1" customWidth="1" outlineLevel="1"/>
    <col min="6" max="6" width="11.7109375" style="3" hidden="1" customWidth="1" outlineLevel="1"/>
    <col min="7" max="7" width="13" style="3" hidden="1" customWidth="1" outlineLevel="1"/>
    <col min="8" max="8" width="10.85546875" style="1" customWidth="1" collapsed="1"/>
    <col min="9" max="9" width="15.85546875" style="3" customWidth="1"/>
    <col min="10" max="10" width="10.140625" style="3" hidden="1" customWidth="1" outlineLevel="2"/>
    <col min="11" max="11" width="12.42578125" style="3" hidden="1" customWidth="1" outlineLevel="2"/>
    <col min="12" max="12" width="13.85546875" style="3" hidden="1" customWidth="1" outlineLevel="2"/>
    <col min="13" max="13" width="10.7109375" style="1" customWidth="1" collapsed="1"/>
    <col min="14" max="14" width="14.28515625" style="3" customWidth="1"/>
    <col min="15" max="15" width="10.28515625" style="3" hidden="1" customWidth="1" outlineLevel="1"/>
    <col min="16" max="16" width="12.5703125" style="3" hidden="1" customWidth="1" outlineLevel="1"/>
    <col min="17" max="17" width="2.140625" style="3" hidden="1" customWidth="1" outlineLevel="1"/>
    <col min="18" max="18" width="10.28515625" style="1" customWidth="1" collapsed="1"/>
    <col min="19" max="19" width="15.85546875" style="3" customWidth="1"/>
    <col min="20" max="20" width="9.5703125" style="3" hidden="1" customWidth="1" outlineLevel="1"/>
    <col min="21" max="21" width="11.28515625" style="3" hidden="1" customWidth="1" outlineLevel="1"/>
    <col min="22" max="22" width="13" style="3" hidden="1" customWidth="1" outlineLevel="1"/>
    <col min="23" max="23" width="10.7109375" style="1" customWidth="1" collapsed="1"/>
    <col min="24" max="24" width="15.85546875" style="3" customWidth="1"/>
    <col min="25" max="25" width="10.42578125" style="3" hidden="1" customWidth="1" outlineLevel="1"/>
    <col min="26" max="26" width="11.42578125" style="3" hidden="1" customWidth="1" outlineLevel="1"/>
    <col min="27" max="27" width="14" style="3" hidden="1" customWidth="1" outlineLevel="1"/>
    <col min="28" max="28" width="11.5703125" style="37" customWidth="1" collapsed="1"/>
    <col min="29" max="29" width="14.5703125" style="3" bestFit="1" customWidth="1"/>
    <col min="30" max="30" width="11" style="3" bestFit="1" customWidth="1"/>
    <col min="31" max="16384" width="9.140625" style="3"/>
  </cols>
  <sheetData>
    <row r="1" spans="1:28" ht="83.45" customHeight="1" x14ac:dyDescent="0.25">
      <c r="S1" s="75"/>
      <c r="T1" s="75" t="s">
        <v>1011</v>
      </c>
      <c r="U1" s="75" t="s">
        <v>1011</v>
      </c>
      <c r="V1" s="75" t="s">
        <v>1011</v>
      </c>
      <c r="W1" s="403" t="s">
        <v>1432</v>
      </c>
      <c r="X1" s="403"/>
      <c r="Y1" s="403"/>
      <c r="Z1" s="403"/>
      <c r="AA1" s="403"/>
      <c r="AB1" s="403"/>
    </row>
    <row r="2" spans="1:28" s="27" customFormat="1" ht="112.5" customHeight="1" x14ac:dyDescent="0.25">
      <c r="A2" s="17"/>
      <c r="B2" s="17"/>
      <c r="C2" s="26"/>
      <c r="H2" s="77"/>
      <c r="I2" s="78"/>
      <c r="J2" s="78"/>
      <c r="K2" s="78"/>
      <c r="L2" s="78"/>
      <c r="M2" s="15"/>
      <c r="N2" s="15"/>
      <c r="O2" s="28"/>
      <c r="P2" s="15"/>
      <c r="Q2" s="15"/>
      <c r="R2" s="15"/>
      <c r="S2" s="74"/>
      <c r="T2" s="74" t="s">
        <v>779</v>
      </c>
      <c r="U2" s="74" t="s">
        <v>779</v>
      </c>
      <c r="V2" s="74" t="s">
        <v>779</v>
      </c>
      <c r="W2" s="402" t="s">
        <v>779</v>
      </c>
      <c r="X2" s="402"/>
      <c r="Y2" s="402"/>
      <c r="Z2" s="402"/>
      <c r="AA2" s="402"/>
      <c r="AB2" s="402"/>
    </row>
    <row r="3" spans="1:28" ht="30.6" customHeight="1" x14ac:dyDescent="0.35">
      <c r="A3" s="5"/>
      <c r="B3" s="412" t="s">
        <v>984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</row>
    <row r="4" spans="1:28" ht="27.6" customHeight="1" x14ac:dyDescent="0.2">
      <c r="A4" s="414" t="s">
        <v>214</v>
      </c>
      <c r="B4" s="415" t="s">
        <v>708</v>
      </c>
      <c r="C4" s="417" t="s">
        <v>707</v>
      </c>
      <c r="D4" s="417"/>
      <c r="E4" s="417"/>
      <c r="F4" s="417"/>
      <c r="G4" s="417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9" t="s">
        <v>210</v>
      </c>
    </row>
    <row r="5" spans="1:28" ht="27.6" customHeight="1" x14ac:dyDescent="0.2">
      <c r="A5" s="414"/>
      <c r="B5" s="416"/>
      <c r="C5" s="411" t="s">
        <v>209</v>
      </c>
      <c r="D5" s="411"/>
      <c r="E5" s="411"/>
      <c r="F5" s="411"/>
      <c r="G5" s="411"/>
      <c r="H5" s="411" t="s">
        <v>208</v>
      </c>
      <c r="I5" s="411"/>
      <c r="J5" s="411"/>
      <c r="K5" s="411"/>
      <c r="L5" s="411"/>
      <c r="M5" s="411" t="s">
        <v>207</v>
      </c>
      <c r="N5" s="411"/>
      <c r="O5" s="411"/>
      <c r="P5" s="411"/>
      <c r="Q5" s="411"/>
      <c r="R5" s="411" t="s">
        <v>206</v>
      </c>
      <c r="S5" s="411"/>
      <c r="T5" s="411"/>
      <c r="U5" s="411"/>
      <c r="V5" s="411"/>
      <c r="W5" s="411" t="s">
        <v>205</v>
      </c>
      <c r="X5" s="411"/>
      <c r="Y5" s="411"/>
      <c r="Z5" s="411"/>
      <c r="AA5" s="411"/>
      <c r="AB5" s="419"/>
    </row>
    <row r="6" spans="1:28" ht="24.6" customHeight="1" x14ac:dyDescent="0.2">
      <c r="A6" s="414"/>
      <c r="B6" s="416"/>
      <c r="C6" s="18" t="s">
        <v>204</v>
      </c>
      <c r="D6" s="276" t="s">
        <v>705</v>
      </c>
      <c r="E6" s="276" t="s">
        <v>202</v>
      </c>
      <c r="F6" s="276" t="s">
        <v>201</v>
      </c>
      <c r="G6" s="276" t="s">
        <v>200</v>
      </c>
      <c r="H6" s="18" t="s">
        <v>204</v>
      </c>
      <c r="I6" s="276" t="s">
        <v>705</v>
      </c>
      <c r="J6" s="276" t="s">
        <v>202</v>
      </c>
      <c r="K6" s="276" t="s">
        <v>201</v>
      </c>
      <c r="L6" s="276" t="s">
        <v>200</v>
      </c>
      <c r="M6" s="18" t="s">
        <v>204</v>
      </c>
      <c r="N6" s="276" t="s">
        <v>705</v>
      </c>
      <c r="O6" s="276" t="s">
        <v>202</v>
      </c>
      <c r="P6" s="276" t="s">
        <v>201</v>
      </c>
      <c r="Q6" s="276" t="s">
        <v>200</v>
      </c>
      <c r="R6" s="18" t="s">
        <v>204</v>
      </c>
      <c r="S6" s="276" t="s">
        <v>705</v>
      </c>
      <c r="T6" s="276" t="s">
        <v>202</v>
      </c>
      <c r="U6" s="276" t="s">
        <v>201</v>
      </c>
      <c r="V6" s="276" t="s">
        <v>200</v>
      </c>
      <c r="W6" s="18" t="s">
        <v>204</v>
      </c>
      <c r="X6" s="276" t="s">
        <v>705</v>
      </c>
      <c r="Y6" s="276" t="s">
        <v>202</v>
      </c>
      <c r="Z6" s="276" t="s">
        <v>201</v>
      </c>
      <c r="AA6" s="276" t="s">
        <v>200</v>
      </c>
      <c r="AB6" s="419"/>
    </row>
    <row r="7" spans="1:28" s="64" customFormat="1" ht="21.6" customHeight="1" x14ac:dyDescent="0.2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5</v>
      </c>
      <c r="I7" s="30">
        <v>6</v>
      </c>
      <c r="J7" s="30">
        <v>10</v>
      </c>
      <c r="K7" s="30">
        <v>11</v>
      </c>
      <c r="L7" s="30">
        <v>12</v>
      </c>
      <c r="M7" s="30">
        <v>7</v>
      </c>
      <c r="N7" s="30">
        <v>8</v>
      </c>
      <c r="O7" s="30">
        <v>15</v>
      </c>
      <c r="P7" s="30">
        <v>16</v>
      </c>
      <c r="Q7" s="30">
        <v>17</v>
      </c>
      <c r="R7" s="30">
        <v>9</v>
      </c>
      <c r="S7" s="30">
        <v>10</v>
      </c>
      <c r="T7" s="30">
        <v>20</v>
      </c>
      <c r="U7" s="30">
        <v>21</v>
      </c>
      <c r="V7" s="30">
        <v>22</v>
      </c>
      <c r="W7" s="30">
        <v>11</v>
      </c>
      <c r="X7" s="30">
        <v>12</v>
      </c>
      <c r="Y7" s="30">
        <v>25</v>
      </c>
      <c r="Z7" s="30">
        <v>26</v>
      </c>
      <c r="AA7" s="30">
        <v>27</v>
      </c>
      <c r="AB7" s="30">
        <v>13</v>
      </c>
    </row>
    <row r="8" spans="1:28" s="22" customFormat="1" ht="13.9" customHeight="1" x14ac:dyDescent="0.2">
      <c r="A8" s="401">
        <v>1</v>
      </c>
      <c r="B8" s="52" t="s">
        <v>1442</v>
      </c>
      <c r="C8" s="390">
        <f>D8+E8+F8+G8</f>
        <v>67429</v>
      </c>
      <c r="D8" s="398">
        <v>67429</v>
      </c>
      <c r="E8" s="53">
        <v>0</v>
      </c>
      <c r="F8" s="53">
        <v>0</v>
      </c>
      <c r="G8" s="53">
        <v>0</v>
      </c>
      <c r="H8" s="390">
        <f>I8+J8+K8+L8</f>
        <v>29389</v>
      </c>
      <c r="I8" s="398">
        <v>29389</v>
      </c>
      <c r="J8" s="53">
        <v>0</v>
      </c>
      <c r="K8" s="53">
        <v>0</v>
      </c>
      <c r="L8" s="53">
        <v>0</v>
      </c>
      <c r="M8" s="390">
        <f>N8</f>
        <v>30758</v>
      </c>
      <c r="N8" s="398">
        <v>30758</v>
      </c>
      <c r="O8" s="53">
        <v>0</v>
      </c>
      <c r="P8" s="53">
        <v>0</v>
      </c>
      <c r="Q8" s="53">
        <v>0</v>
      </c>
      <c r="R8" s="398">
        <v>0</v>
      </c>
      <c r="S8" s="398">
        <v>0</v>
      </c>
      <c r="T8" s="53">
        <v>0</v>
      </c>
      <c r="U8" s="53">
        <v>0</v>
      </c>
      <c r="V8" s="53">
        <v>0</v>
      </c>
      <c r="W8" s="398">
        <v>0</v>
      </c>
      <c r="X8" s="398">
        <v>0</v>
      </c>
      <c r="Y8" s="53">
        <v>0</v>
      </c>
      <c r="Z8" s="53">
        <v>0</v>
      </c>
      <c r="AA8" s="53">
        <v>0</v>
      </c>
      <c r="AB8" s="390">
        <f>C8+H8+M8+R8+W8</f>
        <v>127576</v>
      </c>
    </row>
    <row r="9" spans="1:28" s="22" customFormat="1" ht="15.75" customHeight="1" x14ac:dyDescent="0.2">
      <c r="A9" s="389"/>
      <c r="B9" s="85" t="s">
        <v>791</v>
      </c>
      <c r="C9" s="391"/>
      <c r="D9" s="399"/>
      <c r="E9" s="53"/>
      <c r="F9" s="53"/>
      <c r="G9" s="53"/>
      <c r="H9" s="391"/>
      <c r="I9" s="399"/>
      <c r="J9" s="53"/>
      <c r="K9" s="53"/>
      <c r="L9" s="53"/>
      <c r="M9" s="391"/>
      <c r="N9" s="399"/>
      <c r="O9" s="53"/>
      <c r="P9" s="53"/>
      <c r="Q9" s="53"/>
      <c r="R9" s="399"/>
      <c r="S9" s="399"/>
      <c r="T9" s="53"/>
      <c r="U9" s="53"/>
      <c r="V9" s="53"/>
      <c r="W9" s="399"/>
      <c r="X9" s="399"/>
      <c r="Y9" s="53"/>
      <c r="Z9" s="53"/>
      <c r="AA9" s="53"/>
      <c r="AB9" s="391"/>
    </row>
    <row r="10" spans="1:28" s="22" customFormat="1" ht="13.9" customHeight="1" x14ac:dyDescent="0.2">
      <c r="A10" s="389"/>
      <c r="B10" s="42" t="s">
        <v>797</v>
      </c>
      <c r="C10" s="391"/>
      <c r="D10" s="399"/>
      <c r="E10" s="53"/>
      <c r="F10" s="53"/>
      <c r="G10" s="53"/>
      <c r="H10" s="391"/>
      <c r="I10" s="399"/>
      <c r="J10" s="53"/>
      <c r="K10" s="53"/>
      <c r="L10" s="53"/>
      <c r="M10" s="391"/>
      <c r="N10" s="399"/>
      <c r="O10" s="53"/>
      <c r="P10" s="53"/>
      <c r="Q10" s="53"/>
      <c r="R10" s="399"/>
      <c r="S10" s="399"/>
      <c r="T10" s="53"/>
      <c r="U10" s="53"/>
      <c r="V10" s="53"/>
      <c r="W10" s="399"/>
      <c r="X10" s="399"/>
      <c r="Y10" s="53"/>
      <c r="Z10" s="53"/>
      <c r="AA10" s="53"/>
      <c r="AB10" s="391"/>
    </row>
    <row r="11" spans="1:28" s="22" customFormat="1" ht="13.9" customHeight="1" x14ac:dyDescent="0.2">
      <c r="A11" s="389"/>
      <c r="B11" s="42" t="s">
        <v>798</v>
      </c>
      <c r="C11" s="391"/>
      <c r="D11" s="399"/>
      <c r="E11" s="53"/>
      <c r="F11" s="53"/>
      <c r="G11" s="53"/>
      <c r="H11" s="391"/>
      <c r="I11" s="399"/>
      <c r="J11" s="53"/>
      <c r="K11" s="53"/>
      <c r="L11" s="53"/>
      <c r="M11" s="391"/>
      <c r="N11" s="399"/>
      <c r="O11" s="53"/>
      <c r="P11" s="53"/>
      <c r="Q11" s="53"/>
      <c r="R11" s="399"/>
      <c r="S11" s="399"/>
      <c r="T11" s="53"/>
      <c r="U11" s="53"/>
      <c r="V11" s="53"/>
      <c r="W11" s="399"/>
      <c r="X11" s="399"/>
      <c r="Y11" s="53"/>
      <c r="Z11" s="53"/>
      <c r="AA11" s="53"/>
      <c r="AB11" s="391"/>
    </row>
    <row r="12" spans="1:28" s="22" customFormat="1" ht="13.9" customHeight="1" x14ac:dyDescent="0.2">
      <c r="A12" s="389"/>
      <c r="B12" s="42" t="s">
        <v>799</v>
      </c>
      <c r="C12" s="391"/>
      <c r="D12" s="399"/>
      <c r="E12" s="53"/>
      <c r="F12" s="53"/>
      <c r="G12" s="53"/>
      <c r="H12" s="391"/>
      <c r="I12" s="399"/>
      <c r="J12" s="53"/>
      <c r="K12" s="53"/>
      <c r="L12" s="53"/>
      <c r="M12" s="391"/>
      <c r="N12" s="399"/>
      <c r="O12" s="53"/>
      <c r="P12" s="53"/>
      <c r="Q12" s="53"/>
      <c r="R12" s="399"/>
      <c r="S12" s="399"/>
      <c r="T12" s="53"/>
      <c r="U12" s="53"/>
      <c r="V12" s="53"/>
      <c r="W12" s="399"/>
      <c r="X12" s="399"/>
      <c r="Y12" s="53"/>
      <c r="Z12" s="53"/>
      <c r="AA12" s="53"/>
      <c r="AB12" s="391"/>
    </row>
    <row r="13" spans="1:28" s="22" customFormat="1" ht="13.9" customHeight="1" x14ac:dyDescent="0.2">
      <c r="A13" s="389"/>
      <c r="B13" s="42" t="s">
        <v>800</v>
      </c>
      <c r="C13" s="391"/>
      <c r="D13" s="399"/>
      <c r="E13" s="53"/>
      <c r="F13" s="53"/>
      <c r="G13" s="53"/>
      <c r="H13" s="391"/>
      <c r="I13" s="399"/>
      <c r="J13" s="53"/>
      <c r="K13" s="53"/>
      <c r="L13" s="53"/>
      <c r="M13" s="391"/>
      <c r="N13" s="399"/>
      <c r="O13" s="53"/>
      <c r="P13" s="53"/>
      <c r="Q13" s="53"/>
      <c r="R13" s="399"/>
      <c r="S13" s="399"/>
      <c r="T13" s="53"/>
      <c r="U13" s="53"/>
      <c r="V13" s="53"/>
      <c r="W13" s="399"/>
      <c r="X13" s="399"/>
      <c r="Y13" s="53"/>
      <c r="Z13" s="53"/>
      <c r="AA13" s="53"/>
      <c r="AB13" s="391"/>
    </row>
    <row r="14" spans="1:28" s="22" customFormat="1" ht="13.9" customHeight="1" x14ac:dyDescent="0.2">
      <c r="A14" s="389"/>
      <c r="B14" s="42" t="s">
        <v>801</v>
      </c>
      <c r="C14" s="391"/>
      <c r="D14" s="399"/>
      <c r="E14" s="53"/>
      <c r="F14" s="53"/>
      <c r="G14" s="53"/>
      <c r="H14" s="391"/>
      <c r="I14" s="399"/>
      <c r="J14" s="53"/>
      <c r="K14" s="53"/>
      <c r="L14" s="53"/>
      <c r="M14" s="391"/>
      <c r="N14" s="399"/>
      <c r="O14" s="53"/>
      <c r="P14" s="53"/>
      <c r="Q14" s="53"/>
      <c r="R14" s="399"/>
      <c r="S14" s="399"/>
      <c r="T14" s="53"/>
      <c r="U14" s="53"/>
      <c r="V14" s="53"/>
      <c r="W14" s="399"/>
      <c r="X14" s="399"/>
      <c r="Y14" s="53"/>
      <c r="Z14" s="53"/>
      <c r="AA14" s="53"/>
      <c r="AB14" s="391"/>
    </row>
    <row r="15" spans="1:28" s="22" customFormat="1" ht="13.9" customHeight="1" x14ac:dyDescent="0.2">
      <c r="A15" s="389"/>
      <c r="B15" s="42" t="s">
        <v>963</v>
      </c>
      <c r="C15" s="391"/>
      <c r="D15" s="399"/>
      <c r="E15" s="53"/>
      <c r="F15" s="53"/>
      <c r="G15" s="53"/>
      <c r="H15" s="391"/>
      <c r="I15" s="399"/>
      <c r="J15" s="53"/>
      <c r="K15" s="53"/>
      <c r="L15" s="53"/>
      <c r="M15" s="391"/>
      <c r="N15" s="399"/>
      <c r="O15" s="53"/>
      <c r="P15" s="53"/>
      <c r="Q15" s="53"/>
      <c r="R15" s="399"/>
      <c r="S15" s="399"/>
      <c r="T15" s="53"/>
      <c r="U15" s="53"/>
      <c r="V15" s="53"/>
      <c r="W15" s="399"/>
      <c r="X15" s="399"/>
      <c r="Y15" s="53"/>
      <c r="Z15" s="53"/>
      <c r="AA15" s="53"/>
      <c r="AB15" s="391"/>
    </row>
    <row r="16" spans="1:28" s="22" customFormat="1" ht="15.75" customHeight="1" x14ac:dyDescent="0.2">
      <c r="A16" s="389"/>
      <c r="B16" s="85" t="s">
        <v>792</v>
      </c>
      <c r="C16" s="391"/>
      <c r="D16" s="399"/>
      <c r="E16" s="53"/>
      <c r="F16" s="53"/>
      <c r="G16" s="53"/>
      <c r="H16" s="391"/>
      <c r="I16" s="399"/>
      <c r="J16" s="53"/>
      <c r="K16" s="53"/>
      <c r="L16" s="53"/>
      <c r="M16" s="391"/>
      <c r="N16" s="399"/>
      <c r="O16" s="53"/>
      <c r="P16" s="53"/>
      <c r="Q16" s="53"/>
      <c r="R16" s="399"/>
      <c r="S16" s="399"/>
      <c r="T16" s="53"/>
      <c r="U16" s="53"/>
      <c r="V16" s="53"/>
      <c r="W16" s="399"/>
      <c r="X16" s="399"/>
      <c r="Y16" s="53"/>
      <c r="Z16" s="53"/>
      <c r="AA16" s="53"/>
      <c r="AB16" s="391"/>
    </row>
    <row r="17" spans="1:28" s="22" customFormat="1" ht="13.9" customHeight="1" x14ac:dyDescent="0.2">
      <c r="A17" s="389"/>
      <c r="B17" s="160" t="s">
        <v>982</v>
      </c>
      <c r="C17" s="391"/>
      <c r="D17" s="399"/>
      <c r="E17" s="53"/>
      <c r="F17" s="53"/>
      <c r="G17" s="53"/>
      <c r="H17" s="391"/>
      <c r="I17" s="399"/>
      <c r="J17" s="53"/>
      <c r="K17" s="53"/>
      <c r="L17" s="53"/>
      <c r="M17" s="391"/>
      <c r="N17" s="399"/>
      <c r="O17" s="53"/>
      <c r="P17" s="53"/>
      <c r="Q17" s="53"/>
      <c r="R17" s="399"/>
      <c r="S17" s="399"/>
      <c r="T17" s="53"/>
      <c r="U17" s="53"/>
      <c r="V17" s="53"/>
      <c r="W17" s="399"/>
      <c r="X17" s="399"/>
      <c r="Y17" s="53"/>
      <c r="Z17" s="53"/>
      <c r="AA17" s="53"/>
      <c r="AB17" s="391"/>
    </row>
    <row r="18" spans="1:28" s="22" customFormat="1" ht="13.9" customHeight="1" x14ac:dyDescent="0.2">
      <c r="A18" s="389"/>
      <c r="B18" s="160" t="s">
        <v>1329</v>
      </c>
      <c r="C18" s="391"/>
      <c r="D18" s="399"/>
      <c r="E18" s="53"/>
      <c r="F18" s="53"/>
      <c r="G18" s="53"/>
      <c r="H18" s="391"/>
      <c r="I18" s="399"/>
      <c r="J18" s="53"/>
      <c r="K18" s="53"/>
      <c r="L18" s="53"/>
      <c r="M18" s="391"/>
      <c r="N18" s="399"/>
      <c r="O18" s="53"/>
      <c r="P18" s="53"/>
      <c r="Q18" s="53"/>
      <c r="R18" s="399"/>
      <c r="S18" s="399"/>
      <c r="T18" s="53"/>
      <c r="U18" s="53"/>
      <c r="V18" s="53"/>
      <c r="W18" s="399"/>
      <c r="X18" s="399"/>
      <c r="Y18" s="53"/>
      <c r="Z18" s="53"/>
      <c r="AA18" s="53"/>
      <c r="AB18" s="391"/>
    </row>
    <row r="19" spans="1:28" s="22" customFormat="1" ht="15.75" customHeight="1" x14ac:dyDescent="0.2">
      <c r="A19" s="389"/>
      <c r="B19" s="161" t="s">
        <v>1325</v>
      </c>
      <c r="C19" s="391"/>
      <c r="D19" s="399"/>
      <c r="E19" s="53"/>
      <c r="F19" s="53"/>
      <c r="G19" s="53"/>
      <c r="H19" s="391"/>
      <c r="I19" s="399"/>
      <c r="J19" s="53"/>
      <c r="K19" s="53"/>
      <c r="L19" s="53"/>
      <c r="M19" s="391"/>
      <c r="N19" s="399"/>
      <c r="O19" s="53"/>
      <c r="P19" s="53"/>
      <c r="Q19" s="53"/>
      <c r="R19" s="399"/>
      <c r="S19" s="399"/>
      <c r="T19" s="53"/>
      <c r="U19" s="53"/>
      <c r="V19" s="53"/>
      <c r="W19" s="399"/>
      <c r="X19" s="399"/>
      <c r="Y19" s="53"/>
      <c r="Z19" s="53"/>
      <c r="AA19" s="53"/>
      <c r="AB19" s="391"/>
    </row>
    <row r="20" spans="1:28" s="22" customFormat="1" ht="13.9" customHeight="1" x14ac:dyDescent="0.2">
      <c r="A20" s="389"/>
      <c r="B20" s="160" t="s">
        <v>1363</v>
      </c>
      <c r="C20" s="391"/>
      <c r="D20" s="399"/>
      <c r="E20" s="53"/>
      <c r="F20" s="53"/>
      <c r="G20" s="53"/>
      <c r="H20" s="391"/>
      <c r="I20" s="399"/>
      <c r="J20" s="53"/>
      <c r="K20" s="53"/>
      <c r="L20" s="53"/>
      <c r="M20" s="391"/>
      <c r="N20" s="399"/>
      <c r="O20" s="53"/>
      <c r="P20" s="53"/>
      <c r="Q20" s="53"/>
      <c r="R20" s="399"/>
      <c r="S20" s="399"/>
      <c r="T20" s="53"/>
      <c r="U20" s="53"/>
      <c r="V20" s="53"/>
      <c r="W20" s="399"/>
      <c r="X20" s="399"/>
      <c r="Y20" s="53"/>
      <c r="Z20" s="53"/>
      <c r="AA20" s="53"/>
      <c r="AB20" s="391"/>
    </row>
    <row r="21" spans="1:28" s="22" customFormat="1" ht="13.9" customHeight="1" x14ac:dyDescent="0.2">
      <c r="A21" s="389"/>
      <c r="B21" s="160" t="s">
        <v>1364</v>
      </c>
      <c r="C21" s="391"/>
      <c r="D21" s="399"/>
      <c r="E21" s="265"/>
      <c r="F21" s="265"/>
      <c r="G21" s="265"/>
      <c r="H21" s="391"/>
      <c r="I21" s="399"/>
      <c r="J21" s="265"/>
      <c r="K21" s="265"/>
      <c r="L21" s="265"/>
      <c r="M21" s="391"/>
      <c r="N21" s="399"/>
      <c r="O21" s="265"/>
      <c r="P21" s="265"/>
      <c r="Q21" s="265"/>
      <c r="R21" s="399"/>
      <c r="S21" s="399"/>
      <c r="T21" s="265"/>
      <c r="U21" s="265"/>
      <c r="V21" s="265"/>
      <c r="W21" s="399"/>
      <c r="X21" s="399"/>
      <c r="Y21" s="265"/>
      <c r="Z21" s="265"/>
      <c r="AA21" s="265"/>
      <c r="AB21" s="391"/>
    </row>
    <row r="22" spans="1:28" s="22" customFormat="1" ht="25.5" customHeight="1" x14ac:dyDescent="0.2">
      <c r="A22" s="401">
        <v>2</v>
      </c>
      <c r="B22" s="52" t="s">
        <v>1434</v>
      </c>
      <c r="C22" s="390">
        <f>D22+E22+F22+G22</f>
        <v>1235</v>
      </c>
      <c r="D22" s="398">
        <v>1235</v>
      </c>
      <c r="E22" s="53">
        <v>0</v>
      </c>
      <c r="F22" s="53">
        <v>0</v>
      </c>
      <c r="G22" s="53">
        <v>0</v>
      </c>
      <c r="H22" s="390">
        <f>I22+J22+K22+L22</f>
        <v>0</v>
      </c>
      <c r="I22" s="398">
        <v>0</v>
      </c>
      <c r="J22" s="53">
        <v>0</v>
      </c>
      <c r="K22" s="53">
        <v>0</v>
      </c>
      <c r="L22" s="53">
        <v>0</v>
      </c>
      <c r="M22" s="390">
        <f>N22+O22+P22+Q22</f>
        <v>0</v>
      </c>
      <c r="N22" s="398">
        <v>0</v>
      </c>
      <c r="O22" s="53">
        <v>0</v>
      </c>
      <c r="P22" s="53">
        <v>0</v>
      </c>
      <c r="Q22" s="53">
        <v>0</v>
      </c>
      <c r="R22" s="390">
        <f>S22+T22+U22+V22</f>
        <v>0</v>
      </c>
      <c r="S22" s="398">
        <v>0</v>
      </c>
      <c r="T22" s="53">
        <v>0</v>
      </c>
      <c r="U22" s="53">
        <v>0</v>
      </c>
      <c r="V22" s="53">
        <v>0</v>
      </c>
      <c r="W22" s="390">
        <f>X22+Y22+Z22+AA22</f>
        <v>0</v>
      </c>
      <c r="X22" s="398">
        <v>0</v>
      </c>
      <c r="Y22" s="53">
        <v>0</v>
      </c>
      <c r="Z22" s="53">
        <v>0</v>
      </c>
      <c r="AA22" s="53">
        <v>0</v>
      </c>
      <c r="AB22" s="390">
        <f>C22+H22+M22+R22+W22</f>
        <v>1235</v>
      </c>
    </row>
    <row r="23" spans="1:28" s="22" customFormat="1" ht="14.25" customHeight="1" x14ac:dyDescent="0.2">
      <c r="A23" s="389"/>
      <c r="B23" s="42" t="s">
        <v>791</v>
      </c>
      <c r="C23" s="391"/>
      <c r="D23" s="399"/>
      <c r="E23" s="53"/>
      <c r="F23" s="53"/>
      <c r="G23" s="53"/>
      <c r="H23" s="391"/>
      <c r="I23" s="399"/>
      <c r="J23" s="53"/>
      <c r="K23" s="53"/>
      <c r="L23" s="53"/>
      <c r="M23" s="391"/>
      <c r="N23" s="399"/>
      <c r="O23" s="53"/>
      <c r="P23" s="53"/>
      <c r="Q23" s="53"/>
      <c r="R23" s="391"/>
      <c r="S23" s="399"/>
      <c r="T23" s="53"/>
      <c r="U23" s="53"/>
      <c r="V23" s="53"/>
      <c r="W23" s="391"/>
      <c r="X23" s="399"/>
      <c r="Y23" s="53"/>
      <c r="Z23" s="53"/>
      <c r="AA23" s="53"/>
      <c r="AB23" s="391"/>
    </row>
    <row r="24" spans="1:28" s="22" customFormat="1" ht="12.75" customHeight="1" x14ac:dyDescent="0.2">
      <c r="A24" s="422"/>
      <c r="B24" s="42" t="s">
        <v>1435</v>
      </c>
      <c r="C24" s="407"/>
      <c r="D24" s="408"/>
      <c r="E24" s="53"/>
      <c r="F24" s="53"/>
      <c r="G24" s="53"/>
      <c r="H24" s="407"/>
      <c r="I24" s="408"/>
      <c r="J24" s="53"/>
      <c r="K24" s="53"/>
      <c r="L24" s="53"/>
      <c r="M24" s="407"/>
      <c r="N24" s="408"/>
      <c r="O24" s="53"/>
      <c r="P24" s="53"/>
      <c r="Q24" s="53"/>
      <c r="R24" s="407"/>
      <c r="S24" s="408"/>
      <c r="T24" s="53"/>
      <c r="U24" s="53"/>
      <c r="V24" s="53"/>
      <c r="W24" s="407"/>
      <c r="X24" s="408"/>
      <c r="Y24" s="53"/>
      <c r="Z24" s="53"/>
      <c r="AA24" s="53"/>
      <c r="AB24" s="407"/>
    </row>
    <row r="25" spans="1:28" ht="13.9" customHeight="1" x14ac:dyDescent="0.2">
      <c r="A25" s="401">
        <v>3</v>
      </c>
      <c r="B25" s="52" t="s">
        <v>790</v>
      </c>
      <c r="C25" s="390">
        <f>D25+E25+F25+G25</f>
        <v>1660</v>
      </c>
      <c r="D25" s="398">
        <v>1660</v>
      </c>
      <c r="E25" s="53">
        <v>0</v>
      </c>
      <c r="F25" s="53">
        <v>0</v>
      </c>
      <c r="G25" s="53">
        <v>0</v>
      </c>
      <c r="H25" s="390">
        <f>I25+J25+K25+L25</f>
        <v>1368</v>
      </c>
      <c r="I25" s="398">
        <v>1368</v>
      </c>
      <c r="J25" s="53">
        <v>0</v>
      </c>
      <c r="K25" s="53">
        <v>0</v>
      </c>
      <c r="L25" s="53">
        <v>0</v>
      </c>
      <c r="M25" s="390">
        <f>N25</f>
        <v>1368</v>
      </c>
      <c r="N25" s="398">
        <v>1368</v>
      </c>
      <c r="O25" s="53">
        <v>0</v>
      </c>
      <c r="P25" s="53">
        <v>0</v>
      </c>
      <c r="Q25" s="53">
        <v>0</v>
      </c>
      <c r="R25" s="398">
        <v>0</v>
      </c>
      <c r="S25" s="398">
        <v>0</v>
      </c>
      <c r="T25" s="53">
        <v>0</v>
      </c>
      <c r="U25" s="53">
        <v>0</v>
      </c>
      <c r="V25" s="53">
        <v>0</v>
      </c>
      <c r="W25" s="398">
        <v>0</v>
      </c>
      <c r="X25" s="398">
        <v>0</v>
      </c>
      <c r="Y25" s="53">
        <v>0</v>
      </c>
      <c r="Z25" s="53">
        <v>0</v>
      </c>
      <c r="AA25" s="53">
        <v>0</v>
      </c>
      <c r="AB25" s="390">
        <f>C25+H25+M25+R25+W25</f>
        <v>4396</v>
      </c>
    </row>
    <row r="26" spans="1:28" ht="13.9" customHeight="1" x14ac:dyDescent="0.2">
      <c r="A26" s="389"/>
      <c r="B26" s="85" t="s">
        <v>791</v>
      </c>
      <c r="C26" s="391"/>
      <c r="D26" s="399"/>
      <c r="E26" s="53"/>
      <c r="F26" s="53"/>
      <c r="G26" s="53"/>
      <c r="H26" s="391"/>
      <c r="I26" s="399"/>
      <c r="J26" s="53"/>
      <c r="K26" s="53"/>
      <c r="L26" s="53"/>
      <c r="M26" s="391"/>
      <c r="N26" s="399"/>
      <c r="O26" s="53"/>
      <c r="P26" s="53"/>
      <c r="Q26" s="53"/>
      <c r="R26" s="399"/>
      <c r="S26" s="399"/>
      <c r="T26" s="53"/>
      <c r="U26" s="53"/>
      <c r="V26" s="53"/>
      <c r="W26" s="399"/>
      <c r="X26" s="399"/>
      <c r="Y26" s="53"/>
      <c r="Z26" s="53"/>
      <c r="AA26" s="53"/>
      <c r="AB26" s="391"/>
    </row>
    <row r="27" spans="1:28" ht="13.9" customHeight="1" x14ac:dyDescent="0.2">
      <c r="A27" s="389"/>
      <c r="B27" s="42" t="s">
        <v>1330</v>
      </c>
      <c r="C27" s="391"/>
      <c r="D27" s="399"/>
      <c r="E27" s="53"/>
      <c r="F27" s="53"/>
      <c r="G27" s="53"/>
      <c r="H27" s="391"/>
      <c r="I27" s="399"/>
      <c r="J27" s="53"/>
      <c r="K27" s="53"/>
      <c r="L27" s="53"/>
      <c r="M27" s="391"/>
      <c r="N27" s="399"/>
      <c r="O27" s="53"/>
      <c r="P27" s="53"/>
      <c r="Q27" s="53"/>
      <c r="R27" s="399"/>
      <c r="S27" s="399"/>
      <c r="T27" s="53"/>
      <c r="U27" s="53"/>
      <c r="V27" s="53"/>
      <c r="W27" s="399"/>
      <c r="X27" s="399"/>
      <c r="Y27" s="53"/>
      <c r="Z27" s="53"/>
      <c r="AA27" s="53"/>
      <c r="AB27" s="391"/>
    </row>
    <row r="28" spans="1:28" ht="36.6" customHeight="1" x14ac:dyDescent="0.2">
      <c r="A28" s="389"/>
      <c r="B28" s="42" t="s">
        <v>1331</v>
      </c>
      <c r="C28" s="391"/>
      <c r="D28" s="399"/>
      <c r="E28" s="53"/>
      <c r="F28" s="53"/>
      <c r="G28" s="53"/>
      <c r="H28" s="391"/>
      <c r="I28" s="399"/>
      <c r="J28" s="53"/>
      <c r="K28" s="53"/>
      <c r="L28" s="53"/>
      <c r="M28" s="391"/>
      <c r="N28" s="399"/>
      <c r="O28" s="53"/>
      <c r="P28" s="53"/>
      <c r="Q28" s="53"/>
      <c r="R28" s="399"/>
      <c r="S28" s="399"/>
      <c r="T28" s="53"/>
      <c r="U28" s="53"/>
      <c r="V28" s="53"/>
      <c r="W28" s="399"/>
      <c r="X28" s="399"/>
      <c r="Y28" s="53"/>
      <c r="Z28" s="53"/>
      <c r="AA28" s="53"/>
      <c r="AB28" s="391"/>
    </row>
    <row r="29" spans="1:28" ht="36.6" customHeight="1" x14ac:dyDescent="0.2">
      <c r="A29" s="389"/>
      <c r="B29" s="42" t="s">
        <v>1332</v>
      </c>
      <c r="C29" s="391"/>
      <c r="D29" s="399"/>
      <c r="E29" s="53"/>
      <c r="F29" s="53"/>
      <c r="G29" s="53"/>
      <c r="H29" s="391"/>
      <c r="I29" s="399"/>
      <c r="J29" s="53"/>
      <c r="K29" s="53"/>
      <c r="L29" s="53"/>
      <c r="M29" s="391"/>
      <c r="N29" s="399"/>
      <c r="O29" s="53"/>
      <c r="P29" s="53"/>
      <c r="Q29" s="53"/>
      <c r="R29" s="399"/>
      <c r="S29" s="399"/>
      <c r="T29" s="53"/>
      <c r="U29" s="53"/>
      <c r="V29" s="53"/>
      <c r="W29" s="399"/>
      <c r="X29" s="399"/>
      <c r="Y29" s="53"/>
      <c r="Z29" s="53"/>
      <c r="AA29" s="53"/>
      <c r="AB29" s="391"/>
    </row>
    <row r="30" spans="1:28" ht="22.15" customHeight="1" x14ac:dyDescent="0.2">
      <c r="A30" s="389"/>
      <c r="B30" s="42" t="s">
        <v>1333</v>
      </c>
      <c r="C30" s="391"/>
      <c r="D30" s="399"/>
      <c r="E30" s="53"/>
      <c r="F30" s="53"/>
      <c r="G30" s="53"/>
      <c r="H30" s="391"/>
      <c r="I30" s="399"/>
      <c r="J30" s="53"/>
      <c r="K30" s="53"/>
      <c r="L30" s="53"/>
      <c r="M30" s="391"/>
      <c r="N30" s="399"/>
      <c r="O30" s="53"/>
      <c r="P30" s="53"/>
      <c r="Q30" s="53"/>
      <c r="R30" s="399"/>
      <c r="S30" s="399"/>
      <c r="T30" s="53"/>
      <c r="U30" s="53"/>
      <c r="V30" s="53"/>
      <c r="W30" s="399"/>
      <c r="X30" s="399"/>
      <c r="Y30" s="53"/>
      <c r="Z30" s="53"/>
      <c r="AA30" s="53"/>
      <c r="AB30" s="391"/>
    </row>
    <row r="31" spans="1:28" ht="18" customHeight="1" x14ac:dyDescent="0.2">
      <c r="A31" s="389"/>
      <c r="B31" s="42" t="s">
        <v>1334</v>
      </c>
      <c r="C31" s="391"/>
      <c r="D31" s="399"/>
      <c r="E31" s="53"/>
      <c r="F31" s="53"/>
      <c r="G31" s="53"/>
      <c r="H31" s="391"/>
      <c r="I31" s="399"/>
      <c r="J31" s="53"/>
      <c r="K31" s="53"/>
      <c r="L31" s="53"/>
      <c r="M31" s="391"/>
      <c r="N31" s="399"/>
      <c r="O31" s="53"/>
      <c r="P31" s="53"/>
      <c r="Q31" s="53"/>
      <c r="R31" s="399"/>
      <c r="S31" s="399"/>
      <c r="T31" s="53"/>
      <c r="U31" s="53"/>
      <c r="V31" s="53"/>
      <c r="W31" s="399"/>
      <c r="X31" s="399"/>
      <c r="Y31" s="53"/>
      <c r="Z31" s="53"/>
      <c r="AA31" s="53"/>
      <c r="AB31" s="391"/>
    </row>
    <row r="32" spans="1:28" ht="39" customHeight="1" x14ac:dyDescent="0.2">
      <c r="A32" s="389"/>
      <c r="B32" s="42" t="s">
        <v>1335</v>
      </c>
      <c r="C32" s="391"/>
      <c r="D32" s="399"/>
      <c r="E32" s="53"/>
      <c r="F32" s="53"/>
      <c r="G32" s="53"/>
      <c r="H32" s="391"/>
      <c r="I32" s="399"/>
      <c r="J32" s="53"/>
      <c r="K32" s="53"/>
      <c r="L32" s="53"/>
      <c r="M32" s="391"/>
      <c r="N32" s="399"/>
      <c r="O32" s="53"/>
      <c r="P32" s="53"/>
      <c r="Q32" s="53"/>
      <c r="R32" s="399"/>
      <c r="S32" s="399"/>
      <c r="T32" s="53"/>
      <c r="U32" s="53"/>
      <c r="V32" s="53"/>
      <c r="W32" s="399"/>
      <c r="X32" s="399"/>
      <c r="Y32" s="53"/>
      <c r="Z32" s="53"/>
      <c r="AA32" s="53"/>
      <c r="AB32" s="391"/>
    </row>
    <row r="33" spans="1:28" ht="37.9" customHeight="1" x14ac:dyDescent="0.2">
      <c r="A33" s="389"/>
      <c r="B33" s="42" t="s">
        <v>1336</v>
      </c>
      <c r="C33" s="391"/>
      <c r="D33" s="399"/>
      <c r="E33" s="53"/>
      <c r="F33" s="53"/>
      <c r="G33" s="53"/>
      <c r="H33" s="391"/>
      <c r="I33" s="399"/>
      <c r="J33" s="53"/>
      <c r="K33" s="53"/>
      <c r="L33" s="53"/>
      <c r="M33" s="391"/>
      <c r="N33" s="399"/>
      <c r="O33" s="53"/>
      <c r="P33" s="53"/>
      <c r="Q33" s="53"/>
      <c r="R33" s="399"/>
      <c r="S33" s="399"/>
      <c r="T33" s="53"/>
      <c r="U33" s="53"/>
      <c r="V33" s="53"/>
      <c r="W33" s="399"/>
      <c r="X33" s="399"/>
      <c r="Y33" s="53"/>
      <c r="Z33" s="53"/>
      <c r="AA33" s="53"/>
      <c r="AB33" s="391"/>
    </row>
    <row r="34" spans="1:28" ht="36.6" customHeight="1" x14ac:dyDescent="0.2">
      <c r="A34" s="389"/>
      <c r="B34" s="42" t="s">
        <v>1337</v>
      </c>
      <c r="C34" s="391"/>
      <c r="D34" s="399"/>
      <c r="E34" s="53"/>
      <c r="F34" s="53"/>
      <c r="G34" s="53"/>
      <c r="H34" s="391"/>
      <c r="I34" s="399"/>
      <c r="J34" s="53"/>
      <c r="K34" s="53"/>
      <c r="L34" s="53"/>
      <c r="M34" s="391"/>
      <c r="N34" s="399"/>
      <c r="O34" s="53"/>
      <c r="P34" s="53"/>
      <c r="Q34" s="53"/>
      <c r="R34" s="399"/>
      <c r="S34" s="399"/>
      <c r="T34" s="53"/>
      <c r="U34" s="53"/>
      <c r="V34" s="53"/>
      <c r="W34" s="399"/>
      <c r="X34" s="399"/>
      <c r="Y34" s="53"/>
      <c r="Z34" s="53"/>
      <c r="AA34" s="53"/>
      <c r="AB34" s="391"/>
    </row>
    <row r="35" spans="1:28" ht="23.45" customHeight="1" x14ac:dyDescent="0.2">
      <c r="A35" s="389"/>
      <c r="B35" s="42" t="s">
        <v>1339</v>
      </c>
      <c r="C35" s="391"/>
      <c r="D35" s="399"/>
      <c r="E35" s="53"/>
      <c r="F35" s="53"/>
      <c r="G35" s="53"/>
      <c r="H35" s="391"/>
      <c r="I35" s="399"/>
      <c r="J35" s="53"/>
      <c r="K35" s="53"/>
      <c r="L35" s="53"/>
      <c r="M35" s="391"/>
      <c r="N35" s="399"/>
      <c r="O35" s="53"/>
      <c r="P35" s="53"/>
      <c r="Q35" s="53"/>
      <c r="R35" s="399"/>
      <c r="S35" s="399"/>
      <c r="T35" s="53"/>
      <c r="U35" s="53"/>
      <c r="V35" s="53"/>
      <c r="W35" s="399"/>
      <c r="X35" s="399"/>
      <c r="Y35" s="53"/>
      <c r="Z35" s="53"/>
      <c r="AA35" s="53"/>
      <c r="AB35" s="391"/>
    </row>
    <row r="36" spans="1:28" ht="23.45" customHeight="1" x14ac:dyDescent="0.2">
      <c r="A36" s="389"/>
      <c r="B36" s="42" t="s">
        <v>1419</v>
      </c>
      <c r="C36" s="391"/>
      <c r="D36" s="399"/>
      <c r="E36" s="53"/>
      <c r="F36" s="53"/>
      <c r="G36" s="53"/>
      <c r="H36" s="391"/>
      <c r="I36" s="399"/>
      <c r="J36" s="53"/>
      <c r="K36" s="53"/>
      <c r="L36" s="53"/>
      <c r="M36" s="391"/>
      <c r="N36" s="399"/>
      <c r="O36" s="53"/>
      <c r="P36" s="53"/>
      <c r="Q36" s="53"/>
      <c r="R36" s="399"/>
      <c r="S36" s="399"/>
      <c r="T36" s="53"/>
      <c r="U36" s="53"/>
      <c r="V36" s="53"/>
      <c r="W36" s="399"/>
      <c r="X36" s="399"/>
      <c r="Y36" s="53"/>
      <c r="Z36" s="53"/>
      <c r="AA36" s="53"/>
      <c r="AB36" s="391"/>
    </row>
    <row r="37" spans="1:28" ht="23.45" customHeight="1" x14ac:dyDescent="0.2">
      <c r="A37" s="389"/>
      <c r="B37" s="42" t="s">
        <v>1420</v>
      </c>
      <c r="C37" s="391"/>
      <c r="D37" s="399"/>
      <c r="E37" s="53"/>
      <c r="F37" s="53"/>
      <c r="G37" s="53"/>
      <c r="H37" s="391"/>
      <c r="I37" s="399"/>
      <c r="J37" s="53"/>
      <c r="K37" s="53"/>
      <c r="L37" s="53"/>
      <c r="M37" s="391"/>
      <c r="N37" s="399"/>
      <c r="O37" s="53"/>
      <c r="P37" s="53"/>
      <c r="Q37" s="53"/>
      <c r="R37" s="399"/>
      <c r="S37" s="399"/>
      <c r="T37" s="53"/>
      <c r="U37" s="53"/>
      <c r="V37" s="53"/>
      <c r="W37" s="399"/>
      <c r="X37" s="399"/>
      <c r="Y37" s="53"/>
      <c r="Z37" s="53"/>
      <c r="AA37" s="53"/>
      <c r="AB37" s="391"/>
    </row>
    <row r="38" spans="1:28" ht="18" customHeight="1" x14ac:dyDescent="0.2">
      <c r="A38" s="389"/>
      <c r="B38" s="85" t="s">
        <v>792</v>
      </c>
      <c r="C38" s="391"/>
      <c r="D38" s="399"/>
      <c r="E38" s="53"/>
      <c r="F38" s="53"/>
      <c r="G38" s="53"/>
      <c r="H38" s="391"/>
      <c r="I38" s="399"/>
      <c r="J38" s="53"/>
      <c r="K38" s="53"/>
      <c r="L38" s="53"/>
      <c r="M38" s="391"/>
      <c r="N38" s="399"/>
      <c r="O38" s="53"/>
      <c r="P38" s="53"/>
      <c r="Q38" s="53"/>
      <c r="R38" s="399"/>
      <c r="S38" s="399"/>
      <c r="T38" s="53"/>
      <c r="U38" s="53"/>
      <c r="V38" s="53"/>
      <c r="W38" s="399"/>
      <c r="X38" s="399"/>
      <c r="Y38" s="53"/>
      <c r="Z38" s="53"/>
      <c r="AA38" s="53"/>
      <c r="AB38" s="391"/>
    </row>
    <row r="39" spans="1:28" ht="18" customHeight="1" x14ac:dyDescent="0.2">
      <c r="A39" s="389"/>
      <c r="B39" s="42" t="s">
        <v>793</v>
      </c>
      <c r="C39" s="391"/>
      <c r="D39" s="399"/>
      <c r="E39" s="53"/>
      <c r="F39" s="53"/>
      <c r="G39" s="53"/>
      <c r="H39" s="391"/>
      <c r="I39" s="399"/>
      <c r="J39" s="53"/>
      <c r="K39" s="53"/>
      <c r="L39" s="53"/>
      <c r="M39" s="391"/>
      <c r="N39" s="399"/>
      <c r="O39" s="53"/>
      <c r="P39" s="53"/>
      <c r="Q39" s="53"/>
      <c r="R39" s="399"/>
      <c r="S39" s="399"/>
      <c r="T39" s="53"/>
      <c r="U39" s="53"/>
      <c r="V39" s="53"/>
      <c r="W39" s="399"/>
      <c r="X39" s="399"/>
      <c r="Y39" s="53"/>
      <c r="Z39" s="53"/>
      <c r="AA39" s="53"/>
      <c r="AB39" s="391"/>
    </row>
    <row r="40" spans="1:28" ht="35.450000000000003" customHeight="1" x14ac:dyDescent="0.2">
      <c r="A40" s="389"/>
      <c r="B40" s="42" t="s">
        <v>794</v>
      </c>
      <c r="C40" s="391"/>
      <c r="D40" s="399"/>
      <c r="E40" s="53"/>
      <c r="F40" s="53"/>
      <c r="G40" s="53"/>
      <c r="H40" s="391"/>
      <c r="I40" s="399"/>
      <c r="J40" s="53"/>
      <c r="K40" s="53"/>
      <c r="L40" s="53"/>
      <c r="M40" s="391"/>
      <c r="N40" s="399"/>
      <c r="O40" s="53"/>
      <c r="P40" s="53"/>
      <c r="Q40" s="53"/>
      <c r="R40" s="399"/>
      <c r="S40" s="399"/>
      <c r="T40" s="53"/>
      <c r="U40" s="53"/>
      <c r="V40" s="53"/>
      <c r="W40" s="399"/>
      <c r="X40" s="399"/>
      <c r="Y40" s="53"/>
      <c r="Z40" s="53"/>
      <c r="AA40" s="53"/>
      <c r="AB40" s="391"/>
    </row>
    <row r="41" spans="1:28" ht="18" customHeight="1" x14ac:dyDescent="0.2">
      <c r="A41" s="389"/>
      <c r="B41" s="42" t="s">
        <v>795</v>
      </c>
      <c r="C41" s="391"/>
      <c r="D41" s="399"/>
      <c r="E41" s="53"/>
      <c r="F41" s="53"/>
      <c r="G41" s="53"/>
      <c r="H41" s="391"/>
      <c r="I41" s="399"/>
      <c r="J41" s="53"/>
      <c r="K41" s="53"/>
      <c r="L41" s="53"/>
      <c r="M41" s="391"/>
      <c r="N41" s="399"/>
      <c r="O41" s="53"/>
      <c r="P41" s="53"/>
      <c r="Q41" s="53"/>
      <c r="R41" s="399"/>
      <c r="S41" s="399"/>
      <c r="T41" s="53"/>
      <c r="U41" s="53"/>
      <c r="V41" s="53"/>
      <c r="W41" s="399"/>
      <c r="X41" s="399"/>
      <c r="Y41" s="53"/>
      <c r="Z41" s="53"/>
      <c r="AA41" s="53"/>
      <c r="AB41" s="391"/>
    </row>
    <row r="42" spans="1:28" ht="18" customHeight="1" x14ac:dyDescent="0.2">
      <c r="A42" s="389"/>
      <c r="B42" s="42" t="s">
        <v>796</v>
      </c>
      <c r="C42" s="391"/>
      <c r="D42" s="399"/>
      <c r="E42" s="53"/>
      <c r="F42" s="53"/>
      <c r="G42" s="53"/>
      <c r="H42" s="391"/>
      <c r="I42" s="399"/>
      <c r="J42" s="53"/>
      <c r="K42" s="53"/>
      <c r="L42" s="53"/>
      <c r="M42" s="391"/>
      <c r="N42" s="399"/>
      <c r="O42" s="53"/>
      <c r="P42" s="53"/>
      <c r="Q42" s="53"/>
      <c r="R42" s="399"/>
      <c r="S42" s="399"/>
      <c r="T42" s="53"/>
      <c r="U42" s="53"/>
      <c r="V42" s="53"/>
      <c r="W42" s="399"/>
      <c r="X42" s="399"/>
      <c r="Y42" s="53"/>
      <c r="Z42" s="53"/>
      <c r="AA42" s="53"/>
      <c r="AB42" s="391"/>
    </row>
    <row r="43" spans="1:28" ht="18" customHeight="1" x14ac:dyDescent="0.2">
      <c r="A43" s="401">
        <v>4</v>
      </c>
      <c r="B43" s="52" t="s">
        <v>802</v>
      </c>
      <c r="C43" s="390">
        <f>D43+E43+F43+G43</f>
        <v>1020</v>
      </c>
      <c r="D43" s="398">
        <v>1020</v>
      </c>
      <c r="E43" s="53">
        <v>0</v>
      </c>
      <c r="F43" s="53">
        <v>0</v>
      </c>
      <c r="G43" s="53">
        <v>0</v>
      </c>
      <c r="H43" s="390">
        <f>I43</f>
        <v>907</v>
      </c>
      <c r="I43" s="398">
        <v>907</v>
      </c>
      <c r="J43" s="53">
        <v>0</v>
      </c>
      <c r="K43" s="53">
        <v>0</v>
      </c>
      <c r="L43" s="53">
        <v>0</v>
      </c>
      <c r="M43" s="398">
        <v>0</v>
      </c>
      <c r="N43" s="398">
        <v>0</v>
      </c>
      <c r="O43" s="53">
        <v>0</v>
      </c>
      <c r="P43" s="53">
        <v>0</v>
      </c>
      <c r="Q43" s="53">
        <v>0</v>
      </c>
      <c r="R43" s="390">
        <v>0</v>
      </c>
      <c r="S43" s="398">
        <v>0</v>
      </c>
      <c r="T43" s="53">
        <v>0</v>
      </c>
      <c r="U43" s="53">
        <v>0</v>
      </c>
      <c r="V43" s="53">
        <v>0</v>
      </c>
      <c r="W43" s="390">
        <v>0</v>
      </c>
      <c r="X43" s="398">
        <v>0</v>
      </c>
      <c r="Y43" s="53">
        <v>0</v>
      </c>
      <c r="Z43" s="53">
        <v>0</v>
      </c>
      <c r="AA43" s="53">
        <v>0</v>
      </c>
      <c r="AB43" s="390">
        <f>C43+H43+M43+R43+W43</f>
        <v>1927</v>
      </c>
    </row>
    <row r="44" spans="1:28" ht="18" customHeight="1" x14ac:dyDescent="0.2">
      <c r="A44" s="389"/>
      <c r="B44" s="85" t="s">
        <v>791</v>
      </c>
      <c r="C44" s="391"/>
      <c r="D44" s="399"/>
      <c r="E44" s="53"/>
      <c r="F44" s="53"/>
      <c r="G44" s="53"/>
      <c r="H44" s="391"/>
      <c r="I44" s="399"/>
      <c r="J44" s="53"/>
      <c r="K44" s="53"/>
      <c r="L44" s="53"/>
      <c r="M44" s="399"/>
      <c r="N44" s="399"/>
      <c r="O44" s="53"/>
      <c r="P44" s="53"/>
      <c r="Q44" s="53"/>
      <c r="R44" s="391"/>
      <c r="S44" s="399"/>
      <c r="T44" s="53"/>
      <c r="U44" s="53"/>
      <c r="V44" s="53"/>
      <c r="W44" s="391"/>
      <c r="X44" s="399"/>
      <c r="Y44" s="53"/>
      <c r="Z44" s="53"/>
      <c r="AA44" s="53"/>
      <c r="AB44" s="391"/>
    </row>
    <row r="45" spans="1:28" ht="18" customHeight="1" x14ac:dyDescent="0.2">
      <c r="A45" s="389"/>
      <c r="B45" s="42" t="s">
        <v>978</v>
      </c>
      <c r="C45" s="391"/>
      <c r="D45" s="399"/>
      <c r="E45" s="53"/>
      <c r="F45" s="53"/>
      <c r="G45" s="53"/>
      <c r="H45" s="391"/>
      <c r="I45" s="399"/>
      <c r="J45" s="53"/>
      <c r="K45" s="53"/>
      <c r="L45" s="53"/>
      <c r="M45" s="399"/>
      <c r="N45" s="399"/>
      <c r="O45" s="53"/>
      <c r="P45" s="53"/>
      <c r="Q45" s="53"/>
      <c r="R45" s="391"/>
      <c r="S45" s="399"/>
      <c r="T45" s="53"/>
      <c r="U45" s="53"/>
      <c r="V45" s="53"/>
      <c r="W45" s="391"/>
      <c r="X45" s="399"/>
      <c r="Y45" s="53"/>
      <c r="Z45" s="53"/>
      <c r="AA45" s="53"/>
      <c r="AB45" s="391"/>
    </row>
    <row r="46" spans="1:28" ht="18" customHeight="1" x14ac:dyDescent="0.2">
      <c r="A46" s="389"/>
      <c r="B46" s="42" t="s">
        <v>979</v>
      </c>
      <c r="C46" s="391"/>
      <c r="D46" s="399"/>
      <c r="E46" s="53"/>
      <c r="F46" s="53"/>
      <c r="G46" s="53"/>
      <c r="H46" s="391"/>
      <c r="I46" s="399"/>
      <c r="J46" s="53"/>
      <c r="K46" s="53"/>
      <c r="L46" s="53"/>
      <c r="M46" s="399"/>
      <c r="N46" s="399"/>
      <c r="O46" s="53"/>
      <c r="P46" s="53"/>
      <c r="Q46" s="53"/>
      <c r="R46" s="391"/>
      <c r="S46" s="399"/>
      <c r="T46" s="53"/>
      <c r="U46" s="53"/>
      <c r="V46" s="53"/>
      <c r="W46" s="391"/>
      <c r="X46" s="399"/>
      <c r="Y46" s="53"/>
      <c r="Z46" s="53"/>
      <c r="AA46" s="53"/>
      <c r="AB46" s="391"/>
    </row>
    <row r="47" spans="1:28" ht="18" customHeight="1" x14ac:dyDescent="0.2">
      <c r="A47" s="389"/>
      <c r="B47" s="42" t="s">
        <v>1329</v>
      </c>
      <c r="C47" s="391"/>
      <c r="D47" s="399"/>
      <c r="E47" s="53"/>
      <c r="F47" s="53"/>
      <c r="G47" s="53"/>
      <c r="H47" s="391"/>
      <c r="I47" s="399"/>
      <c r="J47" s="53"/>
      <c r="K47" s="53"/>
      <c r="L47" s="53"/>
      <c r="M47" s="399"/>
      <c r="N47" s="399"/>
      <c r="O47" s="53"/>
      <c r="P47" s="53"/>
      <c r="Q47" s="53"/>
      <c r="R47" s="391"/>
      <c r="S47" s="399"/>
      <c r="T47" s="53"/>
      <c r="U47" s="53"/>
      <c r="V47" s="53"/>
      <c r="W47" s="391"/>
      <c r="X47" s="399"/>
      <c r="Y47" s="53"/>
      <c r="Z47" s="53"/>
      <c r="AA47" s="53"/>
      <c r="AB47" s="391"/>
    </row>
    <row r="48" spans="1:28" ht="18" customHeight="1" x14ac:dyDescent="0.2">
      <c r="A48" s="392"/>
      <c r="B48" s="85" t="s">
        <v>792</v>
      </c>
      <c r="C48" s="397"/>
      <c r="D48" s="399"/>
      <c r="E48" s="53"/>
      <c r="F48" s="53"/>
      <c r="G48" s="53"/>
      <c r="H48" s="391"/>
      <c r="I48" s="399"/>
      <c r="J48" s="53"/>
      <c r="K48" s="53"/>
      <c r="L48" s="53"/>
      <c r="M48" s="399"/>
      <c r="N48" s="399"/>
      <c r="O48" s="53"/>
      <c r="P48" s="53"/>
      <c r="Q48" s="53"/>
      <c r="R48" s="391"/>
      <c r="S48" s="399"/>
      <c r="T48" s="53"/>
      <c r="U48" s="53"/>
      <c r="V48" s="53"/>
      <c r="W48" s="391"/>
      <c r="X48" s="399"/>
      <c r="Y48" s="53"/>
      <c r="Z48" s="53"/>
      <c r="AA48" s="53"/>
      <c r="AB48" s="391"/>
    </row>
    <row r="49" spans="1:28" ht="18" customHeight="1" x14ac:dyDescent="0.2">
      <c r="A49" s="410"/>
      <c r="B49" s="57" t="s">
        <v>1370</v>
      </c>
      <c r="C49" s="421"/>
      <c r="D49" s="408"/>
      <c r="E49" s="53"/>
      <c r="F49" s="53"/>
      <c r="G49" s="53"/>
      <c r="H49" s="407"/>
      <c r="I49" s="408"/>
      <c r="J49" s="53"/>
      <c r="K49" s="53"/>
      <c r="L49" s="53"/>
      <c r="M49" s="408"/>
      <c r="N49" s="408"/>
      <c r="O49" s="53"/>
      <c r="P49" s="53"/>
      <c r="Q49" s="53"/>
      <c r="R49" s="407"/>
      <c r="S49" s="408"/>
      <c r="T49" s="53"/>
      <c r="U49" s="53"/>
      <c r="V49" s="53"/>
      <c r="W49" s="407"/>
      <c r="X49" s="408"/>
      <c r="Y49" s="53"/>
      <c r="Z49" s="53"/>
      <c r="AA49" s="53"/>
      <c r="AB49" s="407"/>
    </row>
    <row r="50" spans="1:28" ht="15" customHeight="1" x14ac:dyDescent="0.2">
      <c r="A50" s="401">
        <v>5</v>
      </c>
      <c r="B50" s="42" t="s">
        <v>803</v>
      </c>
      <c r="C50" s="390">
        <f>D50+E50+F50+G50</f>
        <v>8411</v>
      </c>
      <c r="D50" s="398">
        <v>8411</v>
      </c>
      <c r="E50" s="53">
        <v>0</v>
      </c>
      <c r="F50" s="53">
        <v>0</v>
      </c>
      <c r="G50" s="53">
        <v>0</v>
      </c>
      <c r="H50" s="390">
        <f>I50+J50+K50+L50</f>
        <v>7312</v>
      </c>
      <c r="I50" s="398">
        <v>7312</v>
      </c>
      <c r="J50" s="53">
        <v>0</v>
      </c>
      <c r="K50" s="53">
        <v>0</v>
      </c>
      <c r="L50" s="53">
        <v>0</v>
      </c>
      <c r="M50" s="390">
        <f>N50</f>
        <v>8219</v>
      </c>
      <c r="N50" s="398">
        <v>8219</v>
      </c>
      <c r="O50" s="53">
        <v>0</v>
      </c>
      <c r="P50" s="53">
        <v>0</v>
      </c>
      <c r="Q50" s="53">
        <v>0</v>
      </c>
      <c r="R50" s="390">
        <v>0</v>
      </c>
      <c r="S50" s="398">
        <v>0</v>
      </c>
      <c r="T50" s="53">
        <v>0</v>
      </c>
      <c r="U50" s="53">
        <v>0</v>
      </c>
      <c r="V50" s="53">
        <v>0</v>
      </c>
      <c r="W50" s="398">
        <v>0</v>
      </c>
      <c r="X50" s="398">
        <v>0</v>
      </c>
      <c r="Y50" s="53">
        <v>0</v>
      </c>
      <c r="Z50" s="53">
        <v>0</v>
      </c>
      <c r="AA50" s="53">
        <v>0</v>
      </c>
      <c r="AB50" s="390">
        <f>C50+H50+M50+R50+W50</f>
        <v>23942</v>
      </c>
    </row>
    <row r="51" spans="1:28" ht="15" customHeight="1" x14ac:dyDescent="0.2">
      <c r="A51" s="389"/>
      <c r="B51" s="85" t="s">
        <v>791</v>
      </c>
      <c r="C51" s="391"/>
      <c r="D51" s="399"/>
      <c r="E51" s="53"/>
      <c r="F51" s="53"/>
      <c r="G51" s="53"/>
      <c r="H51" s="391"/>
      <c r="I51" s="399"/>
      <c r="J51" s="53"/>
      <c r="K51" s="53"/>
      <c r="L51" s="53"/>
      <c r="M51" s="391"/>
      <c r="N51" s="399"/>
      <c r="O51" s="53"/>
      <c r="P51" s="53"/>
      <c r="Q51" s="53"/>
      <c r="R51" s="391"/>
      <c r="S51" s="399"/>
      <c r="T51" s="53"/>
      <c r="U51" s="53"/>
      <c r="V51" s="53"/>
      <c r="W51" s="399"/>
      <c r="X51" s="399"/>
      <c r="Y51" s="53"/>
      <c r="Z51" s="53"/>
      <c r="AA51" s="53"/>
      <c r="AB51" s="391"/>
    </row>
    <row r="52" spans="1:28" ht="15" customHeight="1" x14ac:dyDescent="0.2">
      <c r="A52" s="389"/>
      <c r="B52" s="42" t="s">
        <v>988</v>
      </c>
      <c r="C52" s="391"/>
      <c r="D52" s="399"/>
      <c r="E52" s="53"/>
      <c r="F52" s="53"/>
      <c r="G52" s="53"/>
      <c r="H52" s="391"/>
      <c r="I52" s="399"/>
      <c r="J52" s="53"/>
      <c r="K52" s="53"/>
      <c r="L52" s="53"/>
      <c r="M52" s="391"/>
      <c r="N52" s="399"/>
      <c r="O52" s="53"/>
      <c r="P52" s="53"/>
      <c r="Q52" s="53"/>
      <c r="R52" s="391"/>
      <c r="S52" s="399"/>
      <c r="T52" s="53"/>
      <c r="U52" s="53"/>
      <c r="V52" s="53"/>
      <c r="W52" s="399"/>
      <c r="X52" s="399"/>
      <c r="Y52" s="53"/>
      <c r="Z52" s="53"/>
      <c r="AA52" s="53"/>
      <c r="AB52" s="391"/>
    </row>
    <row r="53" spans="1:28" ht="15" customHeight="1" x14ac:dyDescent="0.2">
      <c r="A53" s="389"/>
      <c r="B53" s="42" t="s">
        <v>815</v>
      </c>
      <c r="C53" s="391"/>
      <c r="D53" s="399"/>
      <c r="E53" s="53"/>
      <c r="F53" s="53"/>
      <c r="G53" s="53"/>
      <c r="H53" s="391"/>
      <c r="I53" s="399"/>
      <c r="J53" s="53"/>
      <c r="K53" s="53"/>
      <c r="L53" s="53"/>
      <c r="M53" s="391"/>
      <c r="N53" s="399"/>
      <c r="O53" s="53"/>
      <c r="P53" s="53"/>
      <c r="Q53" s="53"/>
      <c r="R53" s="391"/>
      <c r="S53" s="399"/>
      <c r="T53" s="53"/>
      <c r="U53" s="53"/>
      <c r="V53" s="53"/>
      <c r="W53" s="399"/>
      <c r="X53" s="399"/>
      <c r="Y53" s="53"/>
      <c r="Z53" s="53"/>
      <c r="AA53" s="53"/>
      <c r="AB53" s="391"/>
    </row>
    <row r="54" spans="1:28" ht="15" customHeight="1" x14ac:dyDescent="0.2">
      <c r="A54" s="389"/>
      <c r="B54" s="42" t="s">
        <v>1327</v>
      </c>
      <c r="C54" s="391"/>
      <c r="D54" s="399"/>
      <c r="E54" s="53"/>
      <c r="F54" s="53"/>
      <c r="G54" s="53"/>
      <c r="H54" s="391"/>
      <c r="I54" s="399"/>
      <c r="J54" s="53"/>
      <c r="K54" s="53"/>
      <c r="L54" s="53"/>
      <c r="M54" s="391"/>
      <c r="N54" s="399"/>
      <c r="O54" s="53"/>
      <c r="P54" s="53"/>
      <c r="Q54" s="53"/>
      <c r="R54" s="391"/>
      <c r="S54" s="399"/>
      <c r="T54" s="53"/>
      <c r="U54" s="53"/>
      <c r="V54" s="53"/>
      <c r="W54" s="399"/>
      <c r="X54" s="399"/>
      <c r="Y54" s="53"/>
      <c r="Z54" s="53"/>
      <c r="AA54" s="53"/>
      <c r="AB54" s="391"/>
    </row>
    <row r="55" spans="1:28" ht="15" customHeight="1" x14ac:dyDescent="0.2">
      <c r="A55" s="389"/>
      <c r="B55" s="42" t="s">
        <v>1328</v>
      </c>
      <c r="C55" s="391"/>
      <c r="D55" s="399"/>
      <c r="E55" s="53"/>
      <c r="F55" s="53"/>
      <c r="G55" s="53"/>
      <c r="H55" s="391"/>
      <c r="I55" s="399"/>
      <c r="J55" s="53"/>
      <c r="K55" s="53"/>
      <c r="L55" s="53"/>
      <c r="M55" s="391"/>
      <c r="N55" s="399"/>
      <c r="O55" s="53"/>
      <c r="P55" s="53"/>
      <c r="Q55" s="53"/>
      <c r="R55" s="391"/>
      <c r="S55" s="399"/>
      <c r="T55" s="53"/>
      <c r="U55" s="53"/>
      <c r="V55" s="53"/>
      <c r="W55" s="399"/>
      <c r="X55" s="399"/>
      <c r="Y55" s="53"/>
      <c r="Z55" s="53"/>
      <c r="AA55" s="53"/>
      <c r="AB55" s="391"/>
    </row>
    <row r="56" spans="1:28" ht="15" customHeight="1" x14ac:dyDescent="0.2">
      <c r="A56" s="389"/>
      <c r="B56" s="42" t="s">
        <v>817</v>
      </c>
      <c r="C56" s="391"/>
      <c r="D56" s="399"/>
      <c r="E56" s="53"/>
      <c r="F56" s="53"/>
      <c r="G56" s="53"/>
      <c r="H56" s="391"/>
      <c r="I56" s="399"/>
      <c r="J56" s="53"/>
      <c r="K56" s="53"/>
      <c r="L56" s="53"/>
      <c r="M56" s="391"/>
      <c r="N56" s="399"/>
      <c r="O56" s="53"/>
      <c r="P56" s="53"/>
      <c r="Q56" s="53"/>
      <c r="R56" s="391"/>
      <c r="S56" s="399"/>
      <c r="T56" s="53"/>
      <c r="U56" s="53"/>
      <c r="V56" s="53"/>
      <c r="W56" s="399"/>
      <c r="X56" s="399"/>
      <c r="Y56" s="53"/>
      <c r="Z56" s="53"/>
      <c r="AA56" s="53"/>
      <c r="AB56" s="391"/>
    </row>
    <row r="57" spans="1:28" ht="15" customHeight="1" x14ac:dyDescent="0.2">
      <c r="A57" s="389"/>
      <c r="B57" s="42" t="s">
        <v>816</v>
      </c>
      <c r="C57" s="391"/>
      <c r="D57" s="399"/>
      <c r="E57" s="53"/>
      <c r="F57" s="53"/>
      <c r="G57" s="53"/>
      <c r="H57" s="391"/>
      <c r="I57" s="399"/>
      <c r="J57" s="53"/>
      <c r="K57" s="53"/>
      <c r="L57" s="53"/>
      <c r="M57" s="391"/>
      <c r="N57" s="399"/>
      <c r="O57" s="53"/>
      <c r="P57" s="53"/>
      <c r="Q57" s="53"/>
      <c r="R57" s="391"/>
      <c r="S57" s="399"/>
      <c r="T57" s="53"/>
      <c r="U57" s="53"/>
      <c r="V57" s="53"/>
      <c r="W57" s="399"/>
      <c r="X57" s="399"/>
      <c r="Y57" s="53"/>
      <c r="Z57" s="53"/>
      <c r="AA57" s="53"/>
      <c r="AB57" s="391"/>
    </row>
    <row r="58" spans="1:28" ht="15" customHeight="1" x14ac:dyDescent="0.2">
      <c r="A58" s="389"/>
      <c r="B58" s="42" t="s">
        <v>818</v>
      </c>
      <c r="C58" s="391"/>
      <c r="D58" s="399"/>
      <c r="E58" s="53"/>
      <c r="F58" s="53"/>
      <c r="G58" s="53"/>
      <c r="H58" s="391"/>
      <c r="I58" s="399"/>
      <c r="J58" s="53"/>
      <c r="K58" s="53"/>
      <c r="L58" s="53"/>
      <c r="M58" s="391"/>
      <c r="N58" s="399"/>
      <c r="O58" s="53"/>
      <c r="P58" s="53"/>
      <c r="Q58" s="53"/>
      <c r="R58" s="391"/>
      <c r="S58" s="399"/>
      <c r="T58" s="53"/>
      <c r="U58" s="53"/>
      <c r="V58" s="53"/>
      <c r="W58" s="399"/>
      <c r="X58" s="399"/>
      <c r="Y58" s="53"/>
      <c r="Z58" s="53"/>
      <c r="AA58" s="53"/>
      <c r="AB58" s="391"/>
    </row>
    <row r="59" spans="1:28" ht="15" customHeight="1" x14ac:dyDescent="0.2">
      <c r="A59" s="389"/>
      <c r="B59" s="42" t="s">
        <v>804</v>
      </c>
      <c r="C59" s="391"/>
      <c r="D59" s="399"/>
      <c r="E59" s="53"/>
      <c r="F59" s="53"/>
      <c r="G59" s="53"/>
      <c r="H59" s="391"/>
      <c r="I59" s="399"/>
      <c r="J59" s="53"/>
      <c r="K59" s="53"/>
      <c r="L59" s="53"/>
      <c r="M59" s="391"/>
      <c r="N59" s="399"/>
      <c r="O59" s="53"/>
      <c r="P59" s="53"/>
      <c r="Q59" s="53"/>
      <c r="R59" s="391"/>
      <c r="S59" s="399"/>
      <c r="T59" s="53"/>
      <c r="U59" s="53"/>
      <c r="V59" s="53"/>
      <c r="W59" s="399"/>
      <c r="X59" s="399"/>
      <c r="Y59" s="53"/>
      <c r="Z59" s="53"/>
      <c r="AA59" s="53"/>
      <c r="AB59" s="391"/>
    </row>
    <row r="60" spans="1:28" ht="15" customHeight="1" x14ac:dyDescent="0.2">
      <c r="A60" s="389"/>
      <c r="B60" s="42" t="s">
        <v>819</v>
      </c>
      <c r="C60" s="391"/>
      <c r="D60" s="399"/>
      <c r="E60" s="53"/>
      <c r="F60" s="53"/>
      <c r="G60" s="53"/>
      <c r="H60" s="391"/>
      <c r="I60" s="399"/>
      <c r="J60" s="53"/>
      <c r="K60" s="53"/>
      <c r="L60" s="53"/>
      <c r="M60" s="391"/>
      <c r="N60" s="399"/>
      <c r="O60" s="53"/>
      <c r="P60" s="53"/>
      <c r="Q60" s="53"/>
      <c r="R60" s="391"/>
      <c r="S60" s="399"/>
      <c r="T60" s="53"/>
      <c r="U60" s="53"/>
      <c r="V60" s="53"/>
      <c r="W60" s="399"/>
      <c r="X60" s="399"/>
      <c r="Y60" s="53"/>
      <c r="Z60" s="53"/>
      <c r="AA60" s="53"/>
      <c r="AB60" s="391"/>
    </row>
    <row r="61" spans="1:28" ht="15" customHeight="1" x14ac:dyDescent="0.2">
      <c r="A61" s="389"/>
      <c r="B61" s="42" t="s">
        <v>989</v>
      </c>
      <c r="C61" s="391"/>
      <c r="D61" s="399"/>
      <c r="E61" s="53"/>
      <c r="F61" s="53"/>
      <c r="G61" s="53"/>
      <c r="H61" s="391"/>
      <c r="I61" s="399"/>
      <c r="J61" s="53"/>
      <c r="K61" s="53"/>
      <c r="L61" s="53"/>
      <c r="M61" s="391"/>
      <c r="N61" s="399"/>
      <c r="O61" s="53"/>
      <c r="P61" s="53"/>
      <c r="Q61" s="53"/>
      <c r="R61" s="391"/>
      <c r="S61" s="399"/>
      <c r="T61" s="53"/>
      <c r="U61" s="53"/>
      <c r="V61" s="53"/>
      <c r="W61" s="399"/>
      <c r="X61" s="399"/>
      <c r="Y61" s="53"/>
      <c r="Z61" s="53"/>
      <c r="AA61" s="53"/>
      <c r="AB61" s="391"/>
    </row>
    <row r="62" spans="1:28" ht="15" customHeight="1" x14ac:dyDescent="0.2">
      <c r="A62" s="389"/>
      <c r="B62" s="42" t="s">
        <v>990</v>
      </c>
      <c r="C62" s="391"/>
      <c r="D62" s="399"/>
      <c r="E62" s="53"/>
      <c r="F62" s="53"/>
      <c r="G62" s="53"/>
      <c r="H62" s="391"/>
      <c r="I62" s="399"/>
      <c r="J62" s="53"/>
      <c r="K62" s="53"/>
      <c r="L62" s="53"/>
      <c r="M62" s="391"/>
      <c r="N62" s="399"/>
      <c r="O62" s="53"/>
      <c r="P62" s="53"/>
      <c r="Q62" s="53"/>
      <c r="R62" s="391"/>
      <c r="S62" s="399"/>
      <c r="T62" s="53"/>
      <c r="U62" s="53"/>
      <c r="V62" s="53"/>
      <c r="W62" s="399"/>
      <c r="X62" s="399"/>
      <c r="Y62" s="53"/>
      <c r="Z62" s="53"/>
      <c r="AA62" s="53"/>
      <c r="AB62" s="391"/>
    </row>
    <row r="63" spans="1:28" ht="31.5" x14ac:dyDescent="0.2">
      <c r="A63" s="392"/>
      <c r="B63" s="42" t="s">
        <v>1421</v>
      </c>
      <c r="C63" s="391"/>
      <c r="D63" s="399"/>
      <c r="E63" s="265"/>
      <c r="F63" s="265"/>
      <c r="G63" s="265"/>
      <c r="H63" s="391"/>
      <c r="I63" s="399"/>
      <c r="J63" s="265"/>
      <c r="K63" s="265"/>
      <c r="L63" s="265"/>
      <c r="M63" s="391"/>
      <c r="N63" s="399"/>
      <c r="O63" s="265"/>
      <c r="P63" s="265"/>
      <c r="Q63" s="265"/>
      <c r="R63" s="391"/>
      <c r="S63" s="399"/>
      <c r="T63" s="265"/>
      <c r="U63" s="265"/>
      <c r="V63" s="265"/>
      <c r="W63" s="399"/>
      <c r="X63" s="399"/>
      <c r="Y63" s="265"/>
      <c r="Z63" s="265"/>
      <c r="AA63" s="265"/>
      <c r="AB63" s="391"/>
    </row>
    <row r="64" spans="1:28" ht="15" customHeight="1" x14ac:dyDescent="0.2">
      <c r="A64" s="392"/>
      <c r="B64" s="85" t="s">
        <v>792</v>
      </c>
      <c r="C64" s="391"/>
      <c r="D64" s="399"/>
      <c r="E64" s="265"/>
      <c r="F64" s="265"/>
      <c r="G64" s="265"/>
      <c r="H64" s="391"/>
      <c r="I64" s="399"/>
      <c r="J64" s="265"/>
      <c r="K64" s="265"/>
      <c r="L64" s="265"/>
      <c r="M64" s="391"/>
      <c r="N64" s="399"/>
      <c r="O64" s="265"/>
      <c r="P64" s="265"/>
      <c r="Q64" s="265"/>
      <c r="R64" s="391"/>
      <c r="S64" s="399"/>
      <c r="T64" s="265"/>
      <c r="U64" s="265"/>
      <c r="V64" s="265"/>
      <c r="W64" s="399"/>
      <c r="X64" s="399"/>
      <c r="Y64" s="265"/>
      <c r="Z64" s="265"/>
      <c r="AA64" s="265"/>
      <c r="AB64" s="391"/>
    </row>
    <row r="65" spans="1:28" ht="15" customHeight="1" x14ac:dyDescent="0.2">
      <c r="A65" s="389"/>
      <c r="B65" s="42" t="s">
        <v>978</v>
      </c>
      <c r="C65" s="391"/>
      <c r="D65" s="399"/>
      <c r="E65" s="265"/>
      <c r="F65" s="265"/>
      <c r="G65" s="265"/>
      <c r="H65" s="391"/>
      <c r="I65" s="399"/>
      <c r="J65" s="265"/>
      <c r="K65" s="265"/>
      <c r="L65" s="265"/>
      <c r="M65" s="391"/>
      <c r="N65" s="399"/>
      <c r="O65" s="265"/>
      <c r="P65" s="265"/>
      <c r="Q65" s="265"/>
      <c r="R65" s="391"/>
      <c r="S65" s="399"/>
      <c r="T65" s="265"/>
      <c r="U65" s="265"/>
      <c r="V65" s="265"/>
      <c r="W65" s="399"/>
      <c r="X65" s="399"/>
      <c r="Y65" s="265"/>
      <c r="Z65" s="265"/>
      <c r="AA65" s="265"/>
      <c r="AB65" s="391"/>
    </row>
    <row r="66" spans="1:28" ht="15" customHeight="1" x14ac:dyDescent="0.2">
      <c r="A66" s="389"/>
      <c r="B66" s="42" t="s">
        <v>979</v>
      </c>
      <c r="C66" s="391"/>
      <c r="D66" s="399"/>
      <c r="E66" s="265"/>
      <c r="F66" s="265"/>
      <c r="G66" s="265"/>
      <c r="H66" s="391"/>
      <c r="I66" s="399"/>
      <c r="J66" s="265"/>
      <c r="K66" s="265"/>
      <c r="L66" s="265"/>
      <c r="M66" s="391"/>
      <c r="N66" s="399"/>
      <c r="O66" s="265"/>
      <c r="P66" s="265"/>
      <c r="Q66" s="265"/>
      <c r="R66" s="391"/>
      <c r="S66" s="399"/>
      <c r="T66" s="265"/>
      <c r="U66" s="265"/>
      <c r="V66" s="265"/>
      <c r="W66" s="399"/>
      <c r="X66" s="399"/>
      <c r="Y66" s="265"/>
      <c r="Z66" s="265"/>
      <c r="AA66" s="265"/>
      <c r="AB66" s="391"/>
    </row>
    <row r="67" spans="1:28" ht="15" customHeight="1" x14ac:dyDescent="0.2">
      <c r="A67" s="389"/>
      <c r="B67" s="42" t="s">
        <v>1329</v>
      </c>
      <c r="C67" s="391"/>
      <c r="D67" s="399"/>
      <c r="E67" s="265"/>
      <c r="F67" s="265"/>
      <c r="G67" s="265"/>
      <c r="H67" s="391"/>
      <c r="I67" s="399"/>
      <c r="J67" s="265"/>
      <c r="K67" s="265"/>
      <c r="L67" s="265"/>
      <c r="M67" s="391"/>
      <c r="N67" s="399"/>
      <c r="O67" s="265"/>
      <c r="P67" s="265"/>
      <c r="Q67" s="265"/>
      <c r="R67" s="391"/>
      <c r="S67" s="399"/>
      <c r="T67" s="265"/>
      <c r="U67" s="265"/>
      <c r="V67" s="265"/>
      <c r="W67" s="399"/>
      <c r="X67" s="399"/>
      <c r="Y67" s="265"/>
      <c r="Z67" s="265"/>
      <c r="AA67" s="265"/>
      <c r="AB67" s="391"/>
    </row>
    <row r="68" spans="1:28" ht="15" customHeight="1" x14ac:dyDescent="0.2">
      <c r="A68" s="389"/>
      <c r="B68" s="42" t="s">
        <v>1371</v>
      </c>
      <c r="C68" s="391"/>
      <c r="D68" s="399"/>
      <c r="E68" s="265"/>
      <c r="F68" s="265"/>
      <c r="G68" s="265"/>
      <c r="H68" s="391"/>
      <c r="I68" s="399"/>
      <c r="J68" s="265"/>
      <c r="K68" s="265"/>
      <c r="L68" s="265"/>
      <c r="M68" s="391"/>
      <c r="N68" s="399"/>
      <c r="O68" s="265"/>
      <c r="P68" s="265"/>
      <c r="Q68" s="265"/>
      <c r="R68" s="391"/>
      <c r="S68" s="399"/>
      <c r="T68" s="265"/>
      <c r="U68" s="265"/>
      <c r="V68" s="265"/>
      <c r="W68" s="399"/>
      <c r="X68" s="399"/>
      <c r="Y68" s="265"/>
      <c r="Z68" s="265"/>
      <c r="AA68" s="265"/>
      <c r="AB68" s="391"/>
    </row>
    <row r="69" spans="1:28" ht="15" customHeight="1" x14ac:dyDescent="0.2">
      <c r="A69" s="389"/>
      <c r="B69" s="42" t="s">
        <v>1374</v>
      </c>
      <c r="C69" s="391"/>
      <c r="D69" s="399"/>
      <c r="E69" s="265"/>
      <c r="F69" s="265"/>
      <c r="G69" s="265"/>
      <c r="H69" s="391"/>
      <c r="I69" s="399"/>
      <c r="J69" s="265"/>
      <c r="K69" s="265"/>
      <c r="L69" s="265"/>
      <c r="M69" s="391"/>
      <c r="N69" s="399"/>
      <c r="O69" s="265"/>
      <c r="P69" s="265"/>
      <c r="Q69" s="265"/>
      <c r="R69" s="391"/>
      <c r="S69" s="399"/>
      <c r="T69" s="265"/>
      <c r="U69" s="265"/>
      <c r="V69" s="265"/>
      <c r="W69" s="399"/>
      <c r="X69" s="399"/>
      <c r="Y69" s="265"/>
      <c r="Z69" s="265"/>
      <c r="AA69" s="265"/>
      <c r="AB69" s="391"/>
    </row>
    <row r="70" spans="1:28" ht="15" customHeight="1" x14ac:dyDescent="0.2">
      <c r="A70" s="389"/>
      <c r="B70" s="42" t="s">
        <v>1375</v>
      </c>
      <c r="C70" s="391"/>
      <c r="D70" s="399"/>
      <c r="E70" s="265"/>
      <c r="F70" s="265"/>
      <c r="G70" s="265"/>
      <c r="H70" s="391"/>
      <c r="I70" s="399"/>
      <c r="J70" s="265"/>
      <c r="K70" s="265"/>
      <c r="L70" s="265"/>
      <c r="M70" s="391"/>
      <c r="N70" s="399"/>
      <c r="O70" s="265"/>
      <c r="P70" s="265"/>
      <c r="Q70" s="265"/>
      <c r="R70" s="391"/>
      <c r="S70" s="399"/>
      <c r="T70" s="265"/>
      <c r="U70" s="265"/>
      <c r="V70" s="265"/>
      <c r="W70" s="399"/>
      <c r="X70" s="399"/>
      <c r="Y70" s="265"/>
      <c r="Z70" s="265"/>
      <c r="AA70" s="265"/>
      <c r="AB70" s="391"/>
    </row>
    <row r="71" spans="1:28" ht="15" customHeight="1" x14ac:dyDescent="0.2">
      <c r="A71" s="389"/>
      <c r="B71" s="42" t="s">
        <v>1376</v>
      </c>
      <c r="C71" s="391"/>
      <c r="D71" s="399"/>
      <c r="E71" s="265"/>
      <c r="F71" s="265"/>
      <c r="G71" s="265"/>
      <c r="H71" s="391"/>
      <c r="I71" s="399"/>
      <c r="J71" s="265"/>
      <c r="K71" s="265"/>
      <c r="L71" s="265"/>
      <c r="M71" s="391"/>
      <c r="N71" s="399"/>
      <c r="O71" s="265"/>
      <c r="P71" s="265"/>
      <c r="Q71" s="265"/>
      <c r="R71" s="391"/>
      <c r="S71" s="399"/>
      <c r="T71" s="265"/>
      <c r="U71" s="265"/>
      <c r="V71" s="265"/>
      <c r="W71" s="399"/>
      <c r="X71" s="399"/>
      <c r="Y71" s="265"/>
      <c r="Z71" s="265"/>
      <c r="AA71" s="265"/>
      <c r="AB71" s="391"/>
    </row>
    <row r="72" spans="1:28" ht="15" customHeight="1" x14ac:dyDescent="0.2">
      <c r="A72" s="389"/>
      <c r="B72" s="42" t="s">
        <v>1377</v>
      </c>
      <c r="C72" s="391"/>
      <c r="D72" s="399"/>
      <c r="E72" s="265"/>
      <c r="F72" s="265"/>
      <c r="G72" s="265"/>
      <c r="H72" s="391"/>
      <c r="I72" s="399"/>
      <c r="J72" s="265"/>
      <c r="K72" s="265"/>
      <c r="L72" s="265"/>
      <c r="M72" s="391"/>
      <c r="N72" s="399"/>
      <c r="O72" s="265"/>
      <c r="P72" s="265"/>
      <c r="Q72" s="265"/>
      <c r="R72" s="391"/>
      <c r="S72" s="399"/>
      <c r="T72" s="265"/>
      <c r="U72" s="265"/>
      <c r="V72" s="265"/>
      <c r="W72" s="399"/>
      <c r="X72" s="399"/>
      <c r="Y72" s="265"/>
      <c r="Z72" s="265"/>
      <c r="AA72" s="265"/>
      <c r="AB72" s="391"/>
    </row>
    <row r="73" spans="1:28" ht="18" customHeight="1" x14ac:dyDescent="0.2">
      <c r="A73" s="389"/>
      <c r="B73" s="42" t="s">
        <v>1378</v>
      </c>
      <c r="C73" s="391"/>
      <c r="D73" s="399"/>
      <c r="E73" s="265"/>
      <c r="F73" s="265"/>
      <c r="G73" s="265"/>
      <c r="H73" s="391"/>
      <c r="I73" s="399"/>
      <c r="J73" s="265"/>
      <c r="K73" s="265"/>
      <c r="L73" s="265"/>
      <c r="M73" s="391"/>
      <c r="N73" s="399"/>
      <c r="O73" s="265"/>
      <c r="P73" s="265"/>
      <c r="Q73" s="265"/>
      <c r="R73" s="391"/>
      <c r="S73" s="399"/>
      <c r="T73" s="265"/>
      <c r="U73" s="265"/>
      <c r="V73" s="265"/>
      <c r="W73" s="399"/>
      <c r="X73" s="399"/>
      <c r="Y73" s="265"/>
      <c r="Z73" s="265"/>
      <c r="AA73" s="265"/>
      <c r="AB73" s="391"/>
    </row>
    <row r="74" spans="1:28" ht="18" customHeight="1" x14ac:dyDescent="0.2">
      <c r="A74" s="389"/>
      <c r="B74" s="85" t="s">
        <v>1325</v>
      </c>
      <c r="C74" s="391"/>
      <c r="D74" s="399"/>
      <c r="E74" s="265"/>
      <c r="F74" s="265"/>
      <c r="G74" s="265"/>
      <c r="H74" s="391"/>
      <c r="I74" s="399"/>
      <c r="J74" s="265"/>
      <c r="K74" s="265"/>
      <c r="L74" s="265"/>
      <c r="M74" s="391"/>
      <c r="N74" s="399"/>
      <c r="O74" s="265"/>
      <c r="P74" s="265"/>
      <c r="Q74" s="265"/>
      <c r="R74" s="391"/>
      <c r="S74" s="399"/>
      <c r="T74" s="265"/>
      <c r="U74" s="265"/>
      <c r="V74" s="265"/>
      <c r="W74" s="399"/>
      <c r="X74" s="399"/>
      <c r="Y74" s="265"/>
      <c r="Z74" s="265"/>
      <c r="AA74" s="265"/>
      <c r="AB74" s="391"/>
    </row>
    <row r="75" spans="1:28" ht="18" customHeight="1" x14ac:dyDescent="0.2">
      <c r="A75" s="389"/>
      <c r="B75" s="42" t="s">
        <v>1379</v>
      </c>
      <c r="C75" s="391"/>
      <c r="D75" s="399"/>
      <c r="E75" s="265"/>
      <c r="F75" s="265"/>
      <c r="G75" s="265"/>
      <c r="H75" s="391"/>
      <c r="I75" s="399"/>
      <c r="J75" s="265"/>
      <c r="K75" s="265"/>
      <c r="L75" s="265"/>
      <c r="M75" s="391"/>
      <c r="N75" s="399"/>
      <c r="O75" s="265"/>
      <c r="P75" s="265"/>
      <c r="Q75" s="265"/>
      <c r="R75" s="391"/>
      <c r="S75" s="399"/>
      <c r="T75" s="265"/>
      <c r="U75" s="265"/>
      <c r="V75" s="265"/>
      <c r="W75" s="399"/>
      <c r="X75" s="399"/>
      <c r="Y75" s="265"/>
      <c r="Z75" s="265"/>
      <c r="AA75" s="265"/>
      <c r="AB75" s="391"/>
    </row>
    <row r="76" spans="1:28" ht="18" customHeight="1" x14ac:dyDescent="0.2">
      <c r="A76" s="389"/>
      <c r="B76" s="42" t="s">
        <v>1380</v>
      </c>
      <c r="C76" s="391"/>
      <c r="D76" s="399"/>
      <c r="E76" s="265"/>
      <c r="F76" s="265"/>
      <c r="G76" s="265"/>
      <c r="H76" s="391"/>
      <c r="I76" s="399"/>
      <c r="J76" s="265"/>
      <c r="K76" s="265"/>
      <c r="L76" s="265"/>
      <c r="M76" s="391"/>
      <c r="N76" s="399"/>
      <c r="O76" s="265"/>
      <c r="P76" s="265"/>
      <c r="Q76" s="265"/>
      <c r="R76" s="391"/>
      <c r="S76" s="399"/>
      <c r="T76" s="265"/>
      <c r="U76" s="265"/>
      <c r="V76" s="265"/>
      <c r="W76" s="399"/>
      <c r="X76" s="399"/>
      <c r="Y76" s="265"/>
      <c r="Z76" s="265"/>
      <c r="AA76" s="265"/>
      <c r="AB76" s="391"/>
    </row>
    <row r="77" spans="1:28" ht="18" customHeight="1" x14ac:dyDescent="0.2">
      <c r="A77" s="389"/>
      <c r="B77" s="42" t="s">
        <v>1381</v>
      </c>
      <c r="C77" s="391"/>
      <c r="D77" s="399"/>
      <c r="E77" s="265"/>
      <c r="F77" s="265"/>
      <c r="G77" s="265"/>
      <c r="H77" s="391"/>
      <c r="I77" s="399"/>
      <c r="J77" s="265"/>
      <c r="K77" s="265"/>
      <c r="L77" s="265"/>
      <c r="M77" s="391"/>
      <c r="N77" s="399"/>
      <c r="O77" s="265"/>
      <c r="P77" s="265"/>
      <c r="Q77" s="265"/>
      <c r="R77" s="391"/>
      <c r="S77" s="399"/>
      <c r="T77" s="265"/>
      <c r="U77" s="265"/>
      <c r="V77" s="265"/>
      <c r="W77" s="399"/>
      <c r="X77" s="399"/>
      <c r="Y77" s="265"/>
      <c r="Z77" s="265"/>
      <c r="AA77" s="265"/>
      <c r="AB77" s="391"/>
    </row>
    <row r="78" spans="1:28" ht="18" customHeight="1" x14ac:dyDescent="0.2">
      <c r="A78" s="389"/>
      <c r="B78" s="42" t="s">
        <v>1386</v>
      </c>
      <c r="C78" s="391"/>
      <c r="D78" s="399"/>
      <c r="E78" s="265"/>
      <c r="F78" s="265"/>
      <c r="G78" s="265"/>
      <c r="H78" s="391"/>
      <c r="I78" s="399"/>
      <c r="J78" s="265"/>
      <c r="K78" s="265"/>
      <c r="L78" s="265"/>
      <c r="M78" s="391"/>
      <c r="N78" s="399"/>
      <c r="O78" s="265"/>
      <c r="P78" s="265"/>
      <c r="Q78" s="265"/>
      <c r="R78" s="391"/>
      <c r="S78" s="399"/>
      <c r="T78" s="265"/>
      <c r="U78" s="265"/>
      <c r="V78" s="265"/>
      <c r="W78" s="399"/>
      <c r="X78" s="399"/>
      <c r="Y78" s="265"/>
      <c r="Z78" s="265"/>
      <c r="AA78" s="265"/>
      <c r="AB78" s="391"/>
    </row>
    <row r="79" spans="1:28" ht="31.5" x14ac:dyDescent="0.2">
      <c r="A79" s="389"/>
      <c r="B79" s="42" t="s">
        <v>1372</v>
      </c>
      <c r="C79" s="391"/>
      <c r="D79" s="399"/>
      <c r="E79" s="265"/>
      <c r="F79" s="265"/>
      <c r="G79" s="265"/>
      <c r="H79" s="391"/>
      <c r="I79" s="399"/>
      <c r="J79" s="265"/>
      <c r="K79" s="265"/>
      <c r="L79" s="265"/>
      <c r="M79" s="391"/>
      <c r="N79" s="399"/>
      <c r="O79" s="265"/>
      <c r="P79" s="265"/>
      <c r="Q79" s="265"/>
      <c r="R79" s="391"/>
      <c r="S79" s="399"/>
      <c r="T79" s="265"/>
      <c r="U79" s="265"/>
      <c r="V79" s="265"/>
      <c r="W79" s="399"/>
      <c r="X79" s="399"/>
      <c r="Y79" s="265"/>
      <c r="Z79" s="265"/>
      <c r="AA79" s="265"/>
      <c r="AB79" s="391"/>
    </row>
    <row r="80" spans="1:28" ht="31.5" x14ac:dyDescent="0.2">
      <c r="A80" s="389"/>
      <c r="B80" s="42" t="s">
        <v>1373</v>
      </c>
      <c r="C80" s="391"/>
      <c r="D80" s="399"/>
      <c r="E80" s="265"/>
      <c r="F80" s="265"/>
      <c r="G80" s="265"/>
      <c r="H80" s="391"/>
      <c r="I80" s="399"/>
      <c r="J80" s="265"/>
      <c r="K80" s="265"/>
      <c r="L80" s="265"/>
      <c r="M80" s="391"/>
      <c r="N80" s="399"/>
      <c r="O80" s="265"/>
      <c r="P80" s="265"/>
      <c r="Q80" s="265"/>
      <c r="R80" s="391"/>
      <c r="S80" s="399"/>
      <c r="T80" s="265"/>
      <c r="U80" s="265"/>
      <c r="V80" s="265"/>
      <c r="W80" s="399"/>
      <c r="X80" s="399"/>
      <c r="Y80" s="265"/>
      <c r="Z80" s="265"/>
      <c r="AA80" s="265"/>
      <c r="AB80" s="391"/>
    </row>
    <row r="81" spans="1:28" ht="18" customHeight="1" x14ac:dyDescent="0.2">
      <c r="A81" s="389"/>
      <c r="B81" s="42" t="s">
        <v>1382</v>
      </c>
      <c r="C81" s="391"/>
      <c r="D81" s="399"/>
      <c r="E81" s="265"/>
      <c r="F81" s="265"/>
      <c r="G81" s="265"/>
      <c r="H81" s="391"/>
      <c r="I81" s="399"/>
      <c r="J81" s="265"/>
      <c r="K81" s="265"/>
      <c r="L81" s="265"/>
      <c r="M81" s="391"/>
      <c r="N81" s="399"/>
      <c r="O81" s="265"/>
      <c r="P81" s="265"/>
      <c r="Q81" s="265"/>
      <c r="R81" s="391"/>
      <c r="S81" s="399"/>
      <c r="T81" s="265"/>
      <c r="U81" s="265"/>
      <c r="V81" s="265"/>
      <c r="W81" s="399"/>
      <c r="X81" s="399"/>
      <c r="Y81" s="265"/>
      <c r="Z81" s="265"/>
      <c r="AA81" s="265"/>
      <c r="AB81" s="391"/>
    </row>
    <row r="82" spans="1:28" ht="18" customHeight="1" x14ac:dyDescent="0.2">
      <c r="A82" s="389"/>
      <c r="B82" s="42" t="s">
        <v>1383</v>
      </c>
      <c r="C82" s="391"/>
      <c r="D82" s="399"/>
      <c r="E82" s="265"/>
      <c r="F82" s="265"/>
      <c r="G82" s="265"/>
      <c r="H82" s="391"/>
      <c r="I82" s="399"/>
      <c r="J82" s="265"/>
      <c r="K82" s="265"/>
      <c r="L82" s="265"/>
      <c r="M82" s="391"/>
      <c r="N82" s="399"/>
      <c r="O82" s="265"/>
      <c r="P82" s="265"/>
      <c r="Q82" s="265"/>
      <c r="R82" s="391"/>
      <c r="S82" s="399"/>
      <c r="T82" s="265"/>
      <c r="U82" s="265"/>
      <c r="V82" s="265"/>
      <c r="W82" s="399"/>
      <c r="X82" s="399"/>
      <c r="Y82" s="265"/>
      <c r="Z82" s="265"/>
      <c r="AA82" s="265"/>
      <c r="AB82" s="391"/>
    </row>
    <row r="83" spans="1:28" ht="18" customHeight="1" x14ac:dyDescent="0.2">
      <c r="A83" s="389"/>
      <c r="B83" s="42" t="s">
        <v>1384</v>
      </c>
      <c r="C83" s="391"/>
      <c r="D83" s="399"/>
      <c r="E83" s="265"/>
      <c r="F83" s="265"/>
      <c r="G83" s="265"/>
      <c r="H83" s="391"/>
      <c r="I83" s="399"/>
      <c r="J83" s="265"/>
      <c r="K83" s="265"/>
      <c r="L83" s="265"/>
      <c r="M83" s="391"/>
      <c r="N83" s="399"/>
      <c r="O83" s="265"/>
      <c r="P83" s="265"/>
      <c r="Q83" s="265"/>
      <c r="R83" s="391"/>
      <c r="S83" s="399"/>
      <c r="T83" s="265"/>
      <c r="U83" s="265"/>
      <c r="V83" s="265"/>
      <c r="W83" s="399"/>
      <c r="X83" s="399"/>
      <c r="Y83" s="265"/>
      <c r="Z83" s="265"/>
      <c r="AA83" s="265"/>
      <c r="AB83" s="391"/>
    </row>
    <row r="84" spans="1:28" ht="18" customHeight="1" x14ac:dyDescent="0.2">
      <c r="A84" s="389"/>
      <c r="B84" s="42" t="s">
        <v>1385</v>
      </c>
      <c r="C84" s="391"/>
      <c r="D84" s="399"/>
      <c r="E84" s="265"/>
      <c r="F84" s="265"/>
      <c r="G84" s="265"/>
      <c r="H84" s="391"/>
      <c r="I84" s="399"/>
      <c r="J84" s="265"/>
      <c r="K84" s="265"/>
      <c r="L84" s="265"/>
      <c r="M84" s="391"/>
      <c r="N84" s="399"/>
      <c r="O84" s="265"/>
      <c r="P84" s="265"/>
      <c r="Q84" s="265"/>
      <c r="R84" s="391"/>
      <c r="S84" s="399"/>
      <c r="T84" s="265"/>
      <c r="U84" s="265"/>
      <c r="V84" s="265"/>
      <c r="W84" s="399"/>
      <c r="X84" s="399"/>
      <c r="Y84" s="265"/>
      <c r="Z84" s="265"/>
      <c r="AA84" s="265"/>
      <c r="AB84" s="391"/>
    </row>
    <row r="85" spans="1:28" ht="40.15" customHeight="1" x14ac:dyDescent="0.2">
      <c r="A85" s="401">
        <v>6</v>
      </c>
      <c r="B85" s="52" t="s">
        <v>983</v>
      </c>
      <c r="C85" s="390">
        <f>D85</f>
        <v>817</v>
      </c>
      <c r="D85" s="398">
        <v>817</v>
      </c>
      <c r="E85" s="404"/>
      <c r="F85" s="404"/>
      <c r="G85" s="404"/>
      <c r="H85" s="390">
        <f>I85</f>
        <v>1369</v>
      </c>
      <c r="I85" s="398">
        <v>1369</v>
      </c>
      <c r="J85" s="404"/>
      <c r="K85" s="404"/>
      <c r="L85" s="404"/>
      <c r="M85" s="390">
        <f>N85</f>
        <v>0</v>
      </c>
      <c r="N85" s="398">
        <v>0</v>
      </c>
      <c r="O85" s="404"/>
      <c r="P85" s="404"/>
      <c r="Q85" s="404"/>
      <c r="R85" s="390">
        <f>S85</f>
        <v>0</v>
      </c>
      <c r="S85" s="398">
        <v>0</v>
      </c>
      <c r="T85" s="404"/>
      <c r="U85" s="404"/>
      <c r="V85" s="404"/>
      <c r="W85" s="390">
        <f>X85</f>
        <v>0</v>
      </c>
      <c r="X85" s="398">
        <v>0</v>
      </c>
      <c r="Y85" s="404"/>
      <c r="Z85" s="404"/>
      <c r="AA85" s="404"/>
      <c r="AB85" s="390">
        <f>C85+H85+M85+R85+W85</f>
        <v>2186</v>
      </c>
    </row>
    <row r="86" spans="1:28" ht="15" customHeight="1" x14ac:dyDescent="0.2">
      <c r="A86" s="389"/>
      <c r="B86" s="85" t="s">
        <v>791</v>
      </c>
      <c r="C86" s="391"/>
      <c r="D86" s="399"/>
      <c r="E86" s="405"/>
      <c r="F86" s="405"/>
      <c r="G86" s="405"/>
      <c r="H86" s="391"/>
      <c r="I86" s="399"/>
      <c r="J86" s="405"/>
      <c r="K86" s="405"/>
      <c r="L86" s="405"/>
      <c r="M86" s="391"/>
      <c r="N86" s="399"/>
      <c r="O86" s="405"/>
      <c r="P86" s="405"/>
      <c r="Q86" s="405"/>
      <c r="R86" s="391"/>
      <c r="S86" s="399"/>
      <c r="T86" s="405"/>
      <c r="U86" s="405"/>
      <c r="V86" s="405"/>
      <c r="W86" s="391"/>
      <c r="X86" s="399"/>
      <c r="Y86" s="405"/>
      <c r="Z86" s="405"/>
      <c r="AA86" s="405"/>
      <c r="AB86" s="391"/>
    </row>
    <row r="87" spans="1:28" ht="15" customHeight="1" x14ac:dyDescent="0.2">
      <c r="A87" s="389"/>
      <c r="B87" s="42" t="s">
        <v>982</v>
      </c>
      <c r="C87" s="391"/>
      <c r="D87" s="399"/>
      <c r="E87" s="406"/>
      <c r="F87" s="406"/>
      <c r="G87" s="406"/>
      <c r="H87" s="391"/>
      <c r="I87" s="399"/>
      <c r="J87" s="406"/>
      <c r="K87" s="406"/>
      <c r="L87" s="406"/>
      <c r="M87" s="391"/>
      <c r="N87" s="399"/>
      <c r="O87" s="406"/>
      <c r="P87" s="406"/>
      <c r="Q87" s="406"/>
      <c r="R87" s="391"/>
      <c r="S87" s="399"/>
      <c r="T87" s="406"/>
      <c r="U87" s="406"/>
      <c r="V87" s="406"/>
      <c r="W87" s="391"/>
      <c r="X87" s="399"/>
      <c r="Y87" s="406"/>
      <c r="Z87" s="406"/>
      <c r="AA87" s="406"/>
      <c r="AB87" s="391"/>
    </row>
    <row r="88" spans="1:28" ht="15" customHeight="1" x14ac:dyDescent="0.2">
      <c r="A88" s="389"/>
      <c r="B88" s="42" t="s">
        <v>1329</v>
      </c>
      <c r="C88" s="391"/>
      <c r="D88" s="399"/>
      <c r="E88" s="269"/>
      <c r="F88" s="269"/>
      <c r="G88" s="269"/>
      <c r="H88" s="391"/>
      <c r="I88" s="399"/>
      <c r="J88" s="269"/>
      <c r="K88" s="269"/>
      <c r="L88" s="269"/>
      <c r="M88" s="391"/>
      <c r="N88" s="399"/>
      <c r="O88" s="269"/>
      <c r="P88" s="269"/>
      <c r="Q88" s="269"/>
      <c r="R88" s="391"/>
      <c r="S88" s="399"/>
      <c r="T88" s="269"/>
      <c r="U88" s="269"/>
      <c r="V88" s="269"/>
      <c r="W88" s="391"/>
      <c r="X88" s="399"/>
      <c r="Y88" s="269"/>
      <c r="Z88" s="269"/>
      <c r="AA88" s="269"/>
      <c r="AB88" s="391"/>
    </row>
    <row r="89" spans="1:28" ht="15" customHeight="1" x14ac:dyDescent="0.2">
      <c r="A89" s="389"/>
      <c r="B89" s="85" t="s">
        <v>792</v>
      </c>
      <c r="C89" s="391"/>
      <c r="D89" s="399"/>
      <c r="E89" s="269"/>
      <c r="F89" s="269"/>
      <c r="G89" s="269"/>
      <c r="H89" s="391"/>
      <c r="I89" s="399"/>
      <c r="J89" s="269"/>
      <c r="K89" s="269"/>
      <c r="L89" s="269"/>
      <c r="M89" s="391"/>
      <c r="N89" s="399"/>
      <c r="O89" s="269"/>
      <c r="P89" s="269"/>
      <c r="Q89" s="269"/>
      <c r="R89" s="391"/>
      <c r="S89" s="399"/>
      <c r="T89" s="269"/>
      <c r="U89" s="269"/>
      <c r="V89" s="269"/>
      <c r="W89" s="391"/>
      <c r="X89" s="399"/>
      <c r="Y89" s="269"/>
      <c r="Z89" s="269"/>
      <c r="AA89" s="269"/>
      <c r="AB89" s="391"/>
    </row>
    <row r="90" spans="1:28" ht="15" customHeight="1" x14ac:dyDescent="0.2">
      <c r="A90" s="389"/>
      <c r="B90" s="42" t="s">
        <v>1363</v>
      </c>
      <c r="C90" s="391"/>
      <c r="D90" s="399"/>
      <c r="E90" s="269"/>
      <c r="F90" s="269"/>
      <c r="G90" s="269"/>
      <c r="H90" s="391"/>
      <c r="I90" s="399"/>
      <c r="J90" s="269"/>
      <c r="K90" s="269"/>
      <c r="L90" s="269"/>
      <c r="M90" s="391"/>
      <c r="N90" s="399"/>
      <c r="O90" s="269"/>
      <c r="P90" s="269"/>
      <c r="Q90" s="269"/>
      <c r="R90" s="391"/>
      <c r="S90" s="399"/>
      <c r="T90" s="269"/>
      <c r="U90" s="269"/>
      <c r="V90" s="269"/>
      <c r="W90" s="391"/>
      <c r="X90" s="399"/>
      <c r="Y90" s="269"/>
      <c r="Z90" s="269"/>
      <c r="AA90" s="269"/>
      <c r="AB90" s="391"/>
    </row>
    <row r="91" spans="1:28" ht="15" customHeight="1" x14ac:dyDescent="0.2">
      <c r="A91" s="389"/>
      <c r="B91" s="42" t="s">
        <v>1364</v>
      </c>
      <c r="C91" s="391"/>
      <c r="D91" s="399"/>
      <c r="E91" s="269"/>
      <c r="F91" s="269"/>
      <c r="G91" s="269"/>
      <c r="H91" s="391"/>
      <c r="I91" s="399"/>
      <c r="J91" s="269"/>
      <c r="K91" s="269"/>
      <c r="L91" s="269"/>
      <c r="M91" s="391"/>
      <c r="N91" s="399"/>
      <c r="O91" s="269"/>
      <c r="P91" s="269"/>
      <c r="Q91" s="269"/>
      <c r="R91" s="391"/>
      <c r="S91" s="399"/>
      <c r="T91" s="269"/>
      <c r="U91" s="269"/>
      <c r="V91" s="269"/>
      <c r="W91" s="391"/>
      <c r="X91" s="399"/>
      <c r="Y91" s="269"/>
      <c r="Z91" s="269"/>
      <c r="AA91" s="269"/>
      <c r="AB91" s="391"/>
    </row>
    <row r="92" spans="1:28" ht="15" customHeight="1" x14ac:dyDescent="0.2">
      <c r="A92" s="394">
        <v>7</v>
      </c>
      <c r="B92" s="52" t="s">
        <v>1020</v>
      </c>
      <c r="C92" s="396">
        <f>D92</f>
        <v>51269</v>
      </c>
      <c r="D92" s="398">
        <v>51269</v>
      </c>
      <c r="E92" s="390"/>
      <c r="F92" s="390"/>
      <c r="G92" s="390"/>
      <c r="H92" s="390">
        <f>I92</f>
        <v>13924</v>
      </c>
      <c r="I92" s="398">
        <v>13924</v>
      </c>
      <c r="J92" s="390"/>
      <c r="K92" s="390"/>
      <c r="L92" s="390"/>
      <c r="M92" s="390">
        <f>N92</f>
        <v>13924</v>
      </c>
      <c r="N92" s="398">
        <v>13924</v>
      </c>
      <c r="O92" s="390"/>
      <c r="P92" s="390"/>
      <c r="Q92" s="390"/>
      <c r="R92" s="390">
        <f>S92</f>
        <v>29781</v>
      </c>
      <c r="S92" s="398">
        <f>34281-4500</f>
        <v>29781</v>
      </c>
      <c r="T92" s="390"/>
      <c r="U92" s="390"/>
      <c r="V92" s="390"/>
      <c r="W92" s="390">
        <f>X92</f>
        <v>29781</v>
      </c>
      <c r="X92" s="398">
        <f>34281-4500</f>
        <v>29781</v>
      </c>
      <c r="Y92" s="390"/>
      <c r="Z92" s="390"/>
      <c r="AA92" s="390"/>
      <c r="AB92" s="390">
        <f>C92+H92+M92+R92+W92</f>
        <v>138679</v>
      </c>
    </row>
    <row r="93" spans="1:28" ht="15" customHeight="1" x14ac:dyDescent="0.2">
      <c r="A93" s="395"/>
      <c r="B93" s="85" t="s">
        <v>806</v>
      </c>
      <c r="C93" s="397"/>
      <c r="D93" s="399"/>
      <c r="E93" s="391"/>
      <c r="F93" s="391"/>
      <c r="G93" s="391"/>
      <c r="H93" s="391"/>
      <c r="I93" s="399"/>
      <c r="J93" s="391"/>
      <c r="K93" s="391"/>
      <c r="L93" s="391"/>
      <c r="M93" s="391"/>
      <c r="N93" s="399"/>
      <c r="O93" s="391"/>
      <c r="P93" s="391"/>
      <c r="Q93" s="391"/>
      <c r="R93" s="391"/>
      <c r="S93" s="399"/>
      <c r="T93" s="391"/>
      <c r="U93" s="391"/>
      <c r="V93" s="391"/>
      <c r="W93" s="391"/>
      <c r="X93" s="399"/>
      <c r="Y93" s="391"/>
      <c r="Z93" s="391"/>
      <c r="AA93" s="391"/>
      <c r="AB93" s="391"/>
    </row>
    <row r="94" spans="1:28" ht="15" customHeight="1" x14ac:dyDescent="0.2">
      <c r="A94" s="395"/>
      <c r="B94" s="42" t="s">
        <v>902</v>
      </c>
      <c r="C94" s="397"/>
      <c r="D94" s="399"/>
      <c r="E94" s="391"/>
      <c r="F94" s="391"/>
      <c r="G94" s="391"/>
      <c r="H94" s="391"/>
      <c r="I94" s="399"/>
      <c r="J94" s="391"/>
      <c r="K94" s="391"/>
      <c r="L94" s="391"/>
      <c r="M94" s="391"/>
      <c r="N94" s="399"/>
      <c r="O94" s="391"/>
      <c r="P94" s="391"/>
      <c r="Q94" s="391"/>
      <c r="R94" s="391"/>
      <c r="S94" s="399"/>
      <c r="T94" s="391"/>
      <c r="U94" s="391"/>
      <c r="V94" s="391"/>
      <c r="W94" s="391"/>
      <c r="X94" s="399"/>
      <c r="Y94" s="391"/>
      <c r="Z94" s="391"/>
      <c r="AA94" s="391"/>
      <c r="AB94" s="391"/>
    </row>
    <row r="95" spans="1:28" ht="18" customHeight="1" x14ac:dyDescent="0.2">
      <c r="A95" s="395"/>
      <c r="B95" s="42" t="s">
        <v>903</v>
      </c>
      <c r="C95" s="397"/>
      <c r="D95" s="399"/>
      <c r="E95" s="391"/>
      <c r="F95" s="391"/>
      <c r="G95" s="391"/>
      <c r="H95" s="391"/>
      <c r="I95" s="399"/>
      <c r="J95" s="391"/>
      <c r="K95" s="391"/>
      <c r="L95" s="391"/>
      <c r="M95" s="391"/>
      <c r="N95" s="399"/>
      <c r="O95" s="391"/>
      <c r="P95" s="391"/>
      <c r="Q95" s="391"/>
      <c r="R95" s="391"/>
      <c r="S95" s="399"/>
      <c r="T95" s="391"/>
      <c r="U95" s="391"/>
      <c r="V95" s="391"/>
      <c r="W95" s="391"/>
      <c r="X95" s="399"/>
      <c r="Y95" s="391"/>
      <c r="Z95" s="391"/>
      <c r="AA95" s="391"/>
      <c r="AB95" s="391"/>
    </row>
    <row r="96" spans="1:28" ht="18" customHeight="1" x14ac:dyDescent="0.2">
      <c r="A96" s="395"/>
      <c r="B96" s="42" t="s">
        <v>904</v>
      </c>
      <c r="C96" s="397"/>
      <c r="D96" s="399"/>
      <c r="E96" s="391"/>
      <c r="F96" s="391"/>
      <c r="G96" s="391"/>
      <c r="H96" s="391"/>
      <c r="I96" s="399"/>
      <c r="J96" s="391"/>
      <c r="K96" s="391"/>
      <c r="L96" s="391"/>
      <c r="M96" s="391"/>
      <c r="N96" s="399"/>
      <c r="O96" s="391"/>
      <c r="P96" s="391"/>
      <c r="Q96" s="391"/>
      <c r="R96" s="391"/>
      <c r="S96" s="399"/>
      <c r="T96" s="391"/>
      <c r="U96" s="391"/>
      <c r="V96" s="391"/>
      <c r="W96" s="391"/>
      <c r="X96" s="399"/>
      <c r="Y96" s="391"/>
      <c r="Z96" s="391"/>
      <c r="AA96" s="391"/>
      <c r="AB96" s="391"/>
    </row>
    <row r="97" spans="1:28" ht="18" customHeight="1" x14ac:dyDescent="0.2">
      <c r="A97" s="395"/>
      <c r="B97" s="42" t="s">
        <v>905</v>
      </c>
      <c r="C97" s="397"/>
      <c r="D97" s="399"/>
      <c r="E97" s="391"/>
      <c r="F97" s="391"/>
      <c r="G97" s="391"/>
      <c r="H97" s="391"/>
      <c r="I97" s="399"/>
      <c r="J97" s="391"/>
      <c r="K97" s="391"/>
      <c r="L97" s="391"/>
      <c r="M97" s="391"/>
      <c r="N97" s="399"/>
      <c r="O97" s="391"/>
      <c r="P97" s="391"/>
      <c r="Q97" s="391"/>
      <c r="R97" s="391"/>
      <c r="S97" s="399"/>
      <c r="T97" s="391"/>
      <c r="U97" s="391"/>
      <c r="V97" s="391"/>
      <c r="W97" s="391"/>
      <c r="X97" s="399"/>
      <c r="Y97" s="391"/>
      <c r="Z97" s="391"/>
      <c r="AA97" s="391"/>
      <c r="AB97" s="391"/>
    </row>
    <row r="98" spans="1:28" ht="18" customHeight="1" x14ac:dyDescent="0.2">
      <c r="A98" s="395"/>
      <c r="B98" s="42" t="s">
        <v>906</v>
      </c>
      <c r="C98" s="397"/>
      <c r="D98" s="399"/>
      <c r="E98" s="391"/>
      <c r="F98" s="391"/>
      <c r="G98" s="391"/>
      <c r="H98" s="391"/>
      <c r="I98" s="399"/>
      <c r="J98" s="391"/>
      <c r="K98" s="391"/>
      <c r="L98" s="391"/>
      <c r="M98" s="391"/>
      <c r="N98" s="399"/>
      <c r="O98" s="391"/>
      <c r="P98" s="391"/>
      <c r="Q98" s="391"/>
      <c r="R98" s="391"/>
      <c r="S98" s="399"/>
      <c r="T98" s="391"/>
      <c r="U98" s="391"/>
      <c r="V98" s="391"/>
      <c r="W98" s="391"/>
      <c r="X98" s="399"/>
      <c r="Y98" s="391"/>
      <c r="Z98" s="391"/>
      <c r="AA98" s="391"/>
      <c r="AB98" s="391"/>
    </row>
    <row r="99" spans="1:28" ht="18" customHeight="1" x14ac:dyDescent="0.2">
      <c r="A99" s="395"/>
      <c r="B99" s="42" t="s">
        <v>907</v>
      </c>
      <c r="C99" s="397"/>
      <c r="D99" s="399"/>
      <c r="E99" s="391"/>
      <c r="F99" s="391"/>
      <c r="G99" s="391"/>
      <c r="H99" s="391"/>
      <c r="I99" s="399"/>
      <c r="J99" s="391"/>
      <c r="K99" s="391"/>
      <c r="L99" s="391"/>
      <c r="M99" s="391"/>
      <c r="N99" s="399"/>
      <c r="O99" s="391"/>
      <c r="P99" s="391"/>
      <c r="Q99" s="391"/>
      <c r="R99" s="391"/>
      <c r="S99" s="399"/>
      <c r="T99" s="391"/>
      <c r="U99" s="391"/>
      <c r="V99" s="391"/>
      <c r="W99" s="391"/>
      <c r="X99" s="399"/>
      <c r="Y99" s="391"/>
      <c r="Z99" s="391"/>
      <c r="AA99" s="391"/>
      <c r="AB99" s="391"/>
    </row>
    <row r="100" spans="1:28" ht="18" customHeight="1" x14ac:dyDescent="0.2">
      <c r="A100" s="395"/>
      <c r="B100" s="42" t="s">
        <v>908</v>
      </c>
      <c r="C100" s="397"/>
      <c r="D100" s="399"/>
      <c r="E100" s="391"/>
      <c r="F100" s="391"/>
      <c r="G100" s="391"/>
      <c r="H100" s="391"/>
      <c r="I100" s="399"/>
      <c r="J100" s="391"/>
      <c r="K100" s="391"/>
      <c r="L100" s="391"/>
      <c r="M100" s="391"/>
      <c r="N100" s="399"/>
      <c r="O100" s="391"/>
      <c r="P100" s="391"/>
      <c r="Q100" s="391"/>
      <c r="R100" s="391"/>
      <c r="S100" s="399"/>
      <c r="T100" s="391"/>
      <c r="U100" s="391"/>
      <c r="V100" s="391"/>
      <c r="W100" s="391"/>
      <c r="X100" s="399"/>
      <c r="Y100" s="391"/>
      <c r="Z100" s="391"/>
      <c r="AA100" s="391"/>
      <c r="AB100" s="391"/>
    </row>
    <row r="101" spans="1:28" ht="18" customHeight="1" x14ac:dyDescent="0.2">
      <c r="A101" s="395"/>
      <c r="B101" s="42" t="s">
        <v>909</v>
      </c>
      <c r="C101" s="397"/>
      <c r="D101" s="399"/>
      <c r="E101" s="391"/>
      <c r="F101" s="391"/>
      <c r="G101" s="391"/>
      <c r="H101" s="391"/>
      <c r="I101" s="399"/>
      <c r="J101" s="391"/>
      <c r="K101" s="391"/>
      <c r="L101" s="391"/>
      <c r="M101" s="391"/>
      <c r="N101" s="399"/>
      <c r="O101" s="391"/>
      <c r="P101" s="391"/>
      <c r="Q101" s="391"/>
      <c r="R101" s="391"/>
      <c r="S101" s="399"/>
      <c r="T101" s="391"/>
      <c r="U101" s="391"/>
      <c r="V101" s="391"/>
      <c r="W101" s="391"/>
      <c r="X101" s="399"/>
      <c r="Y101" s="391"/>
      <c r="Z101" s="391"/>
      <c r="AA101" s="391"/>
      <c r="AB101" s="391"/>
    </row>
    <row r="102" spans="1:28" ht="18" customHeight="1" x14ac:dyDescent="0.2">
      <c r="A102" s="395"/>
      <c r="B102" s="42" t="s">
        <v>910</v>
      </c>
      <c r="C102" s="397"/>
      <c r="D102" s="399"/>
      <c r="E102" s="391"/>
      <c r="F102" s="391"/>
      <c r="G102" s="391"/>
      <c r="H102" s="391"/>
      <c r="I102" s="399"/>
      <c r="J102" s="391"/>
      <c r="K102" s="391"/>
      <c r="L102" s="391"/>
      <c r="M102" s="391"/>
      <c r="N102" s="399"/>
      <c r="O102" s="391"/>
      <c r="P102" s="391"/>
      <c r="Q102" s="391"/>
      <c r="R102" s="391"/>
      <c r="S102" s="399"/>
      <c r="T102" s="391"/>
      <c r="U102" s="391"/>
      <c r="V102" s="391"/>
      <c r="W102" s="391"/>
      <c r="X102" s="399"/>
      <c r="Y102" s="391"/>
      <c r="Z102" s="391"/>
      <c r="AA102" s="391"/>
      <c r="AB102" s="391"/>
    </row>
    <row r="103" spans="1:28" ht="18" customHeight="1" x14ac:dyDescent="0.2">
      <c r="A103" s="395"/>
      <c r="B103" s="42" t="s">
        <v>911</v>
      </c>
      <c r="C103" s="397"/>
      <c r="D103" s="399"/>
      <c r="E103" s="391"/>
      <c r="F103" s="391"/>
      <c r="G103" s="391"/>
      <c r="H103" s="391"/>
      <c r="I103" s="399"/>
      <c r="J103" s="391"/>
      <c r="K103" s="391"/>
      <c r="L103" s="391"/>
      <c r="M103" s="391"/>
      <c r="N103" s="399"/>
      <c r="O103" s="391"/>
      <c r="P103" s="391"/>
      <c r="Q103" s="391"/>
      <c r="R103" s="391"/>
      <c r="S103" s="399"/>
      <c r="T103" s="391"/>
      <c r="U103" s="391"/>
      <c r="V103" s="391"/>
      <c r="W103" s="391"/>
      <c r="X103" s="399"/>
      <c r="Y103" s="391"/>
      <c r="Z103" s="391"/>
      <c r="AA103" s="391"/>
      <c r="AB103" s="391"/>
    </row>
    <row r="104" spans="1:28" ht="18" customHeight="1" x14ac:dyDescent="0.2">
      <c r="A104" s="395"/>
      <c r="B104" s="42" t="s">
        <v>912</v>
      </c>
      <c r="C104" s="397"/>
      <c r="D104" s="399"/>
      <c r="E104" s="391"/>
      <c r="F104" s="391"/>
      <c r="G104" s="391"/>
      <c r="H104" s="391"/>
      <c r="I104" s="399"/>
      <c r="J104" s="391"/>
      <c r="K104" s="391"/>
      <c r="L104" s="391"/>
      <c r="M104" s="391"/>
      <c r="N104" s="399"/>
      <c r="O104" s="391"/>
      <c r="P104" s="391"/>
      <c r="Q104" s="391"/>
      <c r="R104" s="391"/>
      <c r="S104" s="399"/>
      <c r="T104" s="391"/>
      <c r="U104" s="391"/>
      <c r="V104" s="391"/>
      <c r="W104" s="391"/>
      <c r="X104" s="399"/>
      <c r="Y104" s="391"/>
      <c r="Z104" s="391"/>
      <c r="AA104" s="391"/>
      <c r="AB104" s="391"/>
    </row>
    <row r="105" spans="1:28" ht="18" customHeight="1" x14ac:dyDescent="0.2">
      <c r="A105" s="395"/>
      <c r="B105" s="42" t="s">
        <v>913</v>
      </c>
      <c r="C105" s="397"/>
      <c r="D105" s="399"/>
      <c r="E105" s="391"/>
      <c r="F105" s="391"/>
      <c r="G105" s="391"/>
      <c r="H105" s="391"/>
      <c r="I105" s="399"/>
      <c r="J105" s="391"/>
      <c r="K105" s="391"/>
      <c r="L105" s="391"/>
      <c r="M105" s="391"/>
      <c r="N105" s="399"/>
      <c r="O105" s="391"/>
      <c r="P105" s="391"/>
      <c r="Q105" s="391"/>
      <c r="R105" s="391"/>
      <c r="S105" s="399"/>
      <c r="T105" s="391"/>
      <c r="U105" s="391"/>
      <c r="V105" s="391"/>
      <c r="W105" s="391"/>
      <c r="X105" s="399"/>
      <c r="Y105" s="391"/>
      <c r="Z105" s="391"/>
      <c r="AA105" s="391"/>
      <c r="AB105" s="391"/>
    </row>
    <row r="106" spans="1:28" ht="18" customHeight="1" x14ac:dyDescent="0.2">
      <c r="A106" s="395"/>
      <c r="B106" s="42" t="s">
        <v>914</v>
      </c>
      <c r="C106" s="397"/>
      <c r="D106" s="399"/>
      <c r="E106" s="391"/>
      <c r="F106" s="391"/>
      <c r="G106" s="391"/>
      <c r="H106" s="391"/>
      <c r="I106" s="399"/>
      <c r="J106" s="391"/>
      <c r="K106" s="391"/>
      <c r="L106" s="391"/>
      <c r="M106" s="391"/>
      <c r="N106" s="399"/>
      <c r="O106" s="391"/>
      <c r="P106" s="391"/>
      <c r="Q106" s="391"/>
      <c r="R106" s="391"/>
      <c r="S106" s="399"/>
      <c r="T106" s="391"/>
      <c r="U106" s="391"/>
      <c r="V106" s="391"/>
      <c r="W106" s="391"/>
      <c r="X106" s="399"/>
      <c r="Y106" s="391"/>
      <c r="Z106" s="391"/>
      <c r="AA106" s="391"/>
      <c r="AB106" s="391"/>
    </row>
    <row r="107" spans="1:28" ht="18" customHeight="1" x14ac:dyDescent="0.2">
      <c r="A107" s="395"/>
      <c r="B107" s="42" t="s">
        <v>915</v>
      </c>
      <c r="C107" s="397"/>
      <c r="D107" s="399"/>
      <c r="E107" s="391"/>
      <c r="F107" s="391"/>
      <c r="G107" s="391"/>
      <c r="H107" s="391"/>
      <c r="I107" s="399"/>
      <c r="J107" s="391"/>
      <c r="K107" s="391"/>
      <c r="L107" s="391"/>
      <c r="M107" s="391"/>
      <c r="N107" s="399"/>
      <c r="O107" s="391"/>
      <c r="P107" s="391"/>
      <c r="Q107" s="391"/>
      <c r="R107" s="391"/>
      <c r="S107" s="399"/>
      <c r="T107" s="391"/>
      <c r="U107" s="391"/>
      <c r="V107" s="391"/>
      <c r="W107" s="391"/>
      <c r="X107" s="399"/>
      <c r="Y107" s="391"/>
      <c r="Z107" s="391"/>
      <c r="AA107" s="391"/>
      <c r="AB107" s="391"/>
    </row>
    <row r="108" spans="1:28" ht="18" customHeight="1" x14ac:dyDescent="0.2">
      <c r="A108" s="395"/>
      <c r="B108" s="42" t="s">
        <v>916</v>
      </c>
      <c r="C108" s="397"/>
      <c r="D108" s="399"/>
      <c r="E108" s="391"/>
      <c r="F108" s="391"/>
      <c r="G108" s="391"/>
      <c r="H108" s="391"/>
      <c r="I108" s="399"/>
      <c r="J108" s="391"/>
      <c r="K108" s="391"/>
      <c r="L108" s="391"/>
      <c r="M108" s="391"/>
      <c r="N108" s="399"/>
      <c r="O108" s="391"/>
      <c r="P108" s="391"/>
      <c r="Q108" s="391"/>
      <c r="R108" s="391"/>
      <c r="S108" s="399"/>
      <c r="T108" s="391"/>
      <c r="U108" s="391"/>
      <c r="V108" s="391"/>
      <c r="W108" s="391"/>
      <c r="X108" s="399"/>
      <c r="Y108" s="391"/>
      <c r="Z108" s="391"/>
      <c r="AA108" s="391"/>
      <c r="AB108" s="391"/>
    </row>
    <row r="109" spans="1:28" ht="18" customHeight="1" x14ac:dyDescent="0.2">
      <c r="A109" s="395"/>
      <c r="B109" s="42" t="s">
        <v>917</v>
      </c>
      <c r="C109" s="397"/>
      <c r="D109" s="399"/>
      <c r="E109" s="391"/>
      <c r="F109" s="391"/>
      <c r="G109" s="391"/>
      <c r="H109" s="391"/>
      <c r="I109" s="399"/>
      <c r="J109" s="391"/>
      <c r="K109" s="391"/>
      <c r="L109" s="391"/>
      <c r="M109" s="391"/>
      <c r="N109" s="399"/>
      <c r="O109" s="391"/>
      <c r="P109" s="391"/>
      <c r="Q109" s="391"/>
      <c r="R109" s="391"/>
      <c r="S109" s="399"/>
      <c r="T109" s="391"/>
      <c r="U109" s="391"/>
      <c r="V109" s="391"/>
      <c r="W109" s="391"/>
      <c r="X109" s="399"/>
      <c r="Y109" s="391"/>
      <c r="Z109" s="391"/>
      <c r="AA109" s="391"/>
      <c r="AB109" s="391"/>
    </row>
    <row r="110" spans="1:28" ht="18" customHeight="1" x14ac:dyDescent="0.2">
      <c r="A110" s="395"/>
      <c r="B110" s="42" t="s">
        <v>918</v>
      </c>
      <c r="C110" s="397"/>
      <c r="D110" s="399"/>
      <c r="E110" s="391"/>
      <c r="F110" s="391"/>
      <c r="G110" s="391"/>
      <c r="H110" s="391"/>
      <c r="I110" s="399"/>
      <c r="J110" s="391"/>
      <c r="K110" s="391"/>
      <c r="L110" s="391"/>
      <c r="M110" s="391"/>
      <c r="N110" s="399"/>
      <c r="O110" s="391"/>
      <c r="P110" s="391"/>
      <c r="Q110" s="391"/>
      <c r="R110" s="391"/>
      <c r="S110" s="399"/>
      <c r="T110" s="391"/>
      <c r="U110" s="391"/>
      <c r="V110" s="391"/>
      <c r="W110" s="391"/>
      <c r="X110" s="399"/>
      <c r="Y110" s="391"/>
      <c r="Z110" s="391"/>
      <c r="AA110" s="391"/>
      <c r="AB110" s="391"/>
    </row>
    <row r="111" spans="1:28" ht="18" customHeight="1" x14ac:dyDescent="0.2">
      <c r="A111" s="395"/>
      <c r="B111" s="42" t="s">
        <v>919</v>
      </c>
      <c r="C111" s="397"/>
      <c r="D111" s="399"/>
      <c r="E111" s="391"/>
      <c r="F111" s="391"/>
      <c r="G111" s="391"/>
      <c r="H111" s="391"/>
      <c r="I111" s="399"/>
      <c r="J111" s="391"/>
      <c r="K111" s="391"/>
      <c r="L111" s="391"/>
      <c r="M111" s="391"/>
      <c r="N111" s="399"/>
      <c r="O111" s="391"/>
      <c r="P111" s="391"/>
      <c r="Q111" s="391"/>
      <c r="R111" s="391"/>
      <c r="S111" s="399"/>
      <c r="T111" s="391"/>
      <c r="U111" s="391"/>
      <c r="V111" s="391"/>
      <c r="W111" s="391"/>
      <c r="X111" s="399"/>
      <c r="Y111" s="391"/>
      <c r="Z111" s="391"/>
      <c r="AA111" s="391"/>
      <c r="AB111" s="391"/>
    </row>
    <row r="112" spans="1:28" ht="18" customHeight="1" x14ac:dyDescent="0.2">
      <c r="A112" s="395"/>
      <c r="B112" s="42" t="s">
        <v>920</v>
      </c>
      <c r="C112" s="397"/>
      <c r="D112" s="399"/>
      <c r="E112" s="391"/>
      <c r="F112" s="391"/>
      <c r="G112" s="391"/>
      <c r="H112" s="391"/>
      <c r="I112" s="399"/>
      <c r="J112" s="391"/>
      <c r="K112" s="391"/>
      <c r="L112" s="391"/>
      <c r="M112" s="391"/>
      <c r="N112" s="399"/>
      <c r="O112" s="391"/>
      <c r="P112" s="391"/>
      <c r="Q112" s="391"/>
      <c r="R112" s="391"/>
      <c r="S112" s="399"/>
      <c r="T112" s="391"/>
      <c r="U112" s="391"/>
      <c r="V112" s="391"/>
      <c r="W112" s="391"/>
      <c r="X112" s="399"/>
      <c r="Y112" s="391"/>
      <c r="Z112" s="391"/>
      <c r="AA112" s="391"/>
      <c r="AB112" s="391"/>
    </row>
    <row r="113" spans="1:28" ht="18" customHeight="1" x14ac:dyDescent="0.2">
      <c r="A113" s="395"/>
      <c r="B113" s="42" t="s">
        <v>921</v>
      </c>
      <c r="C113" s="397"/>
      <c r="D113" s="399"/>
      <c r="E113" s="391"/>
      <c r="F113" s="391"/>
      <c r="G113" s="391"/>
      <c r="H113" s="391"/>
      <c r="I113" s="399"/>
      <c r="J113" s="391"/>
      <c r="K113" s="391"/>
      <c r="L113" s="391"/>
      <c r="M113" s="391"/>
      <c r="N113" s="399"/>
      <c r="O113" s="391"/>
      <c r="P113" s="391"/>
      <c r="Q113" s="391"/>
      <c r="R113" s="391"/>
      <c r="S113" s="399"/>
      <c r="T113" s="391"/>
      <c r="U113" s="391"/>
      <c r="V113" s="391"/>
      <c r="W113" s="391"/>
      <c r="X113" s="399"/>
      <c r="Y113" s="391"/>
      <c r="Z113" s="391"/>
      <c r="AA113" s="391"/>
      <c r="AB113" s="391"/>
    </row>
    <row r="114" spans="1:28" ht="18" customHeight="1" x14ac:dyDescent="0.2">
      <c r="A114" s="395"/>
      <c r="B114" s="42" t="s">
        <v>922</v>
      </c>
      <c r="C114" s="397"/>
      <c r="D114" s="399"/>
      <c r="E114" s="391"/>
      <c r="F114" s="391"/>
      <c r="G114" s="391"/>
      <c r="H114" s="391"/>
      <c r="I114" s="399"/>
      <c r="J114" s="391"/>
      <c r="K114" s="391"/>
      <c r="L114" s="391"/>
      <c r="M114" s="391"/>
      <c r="N114" s="399"/>
      <c r="O114" s="391"/>
      <c r="P114" s="391"/>
      <c r="Q114" s="391"/>
      <c r="R114" s="391"/>
      <c r="S114" s="399"/>
      <c r="T114" s="391"/>
      <c r="U114" s="391"/>
      <c r="V114" s="391"/>
      <c r="W114" s="391"/>
      <c r="X114" s="399"/>
      <c r="Y114" s="391"/>
      <c r="Z114" s="391"/>
      <c r="AA114" s="391"/>
      <c r="AB114" s="391"/>
    </row>
    <row r="115" spans="1:28" ht="18" customHeight="1" x14ac:dyDescent="0.2">
      <c r="A115" s="395"/>
      <c r="B115" s="42" t="s">
        <v>923</v>
      </c>
      <c r="C115" s="397"/>
      <c r="D115" s="399"/>
      <c r="E115" s="391"/>
      <c r="F115" s="391"/>
      <c r="G115" s="391"/>
      <c r="H115" s="391"/>
      <c r="I115" s="399"/>
      <c r="J115" s="391"/>
      <c r="K115" s="391"/>
      <c r="L115" s="391"/>
      <c r="M115" s="391"/>
      <c r="N115" s="399"/>
      <c r="O115" s="391"/>
      <c r="P115" s="391"/>
      <c r="Q115" s="391"/>
      <c r="R115" s="391"/>
      <c r="S115" s="399"/>
      <c r="T115" s="391"/>
      <c r="U115" s="391"/>
      <c r="V115" s="391"/>
      <c r="W115" s="391"/>
      <c r="X115" s="399"/>
      <c r="Y115" s="391"/>
      <c r="Z115" s="391"/>
      <c r="AA115" s="391"/>
      <c r="AB115" s="391"/>
    </row>
    <row r="116" spans="1:28" ht="18" customHeight="1" x14ac:dyDescent="0.2">
      <c r="A116" s="395"/>
      <c r="B116" s="42" t="s">
        <v>924</v>
      </c>
      <c r="C116" s="397"/>
      <c r="D116" s="399"/>
      <c r="E116" s="391"/>
      <c r="F116" s="391"/>
      <c r="G116" s="391"/>
      <c r="H116" s="391"/>
      <c r="I116" s="399"/>
      <c r="J116" s="391"/>
      <c r="K116" s="391"/>
      <c r="L116" s="391"/>
      <c r="M116" s="391"/>
      <c r="N116" s="399"/>
      <c r="O116" s="391"/>
      <c r="P116" s="391"/>
      <c r="Q116" s="391"/>
      <c r="R116" s="391"/>
      <c r="S116" s="399"/>
      <c r="T116" s="391"/>
      <c r="U116" s="391"/>
      <c r="V116" s="391"/>
      <c r="W116" s="391"/>
      <c r="X116" s="399"/>
      <c r="Y116" s="391"/>
      <c r="Z116" s="391"/>
      <c r="AA116" s="391"/>
      <c r="AB116" s="391"/>
    </row>
    <row r="117" spans="1:28" ht="18" customHeight="1" x14ac:dyDescent="0.2">
      <c r="A117" s="395"/>
      <c r="B117" s="42" t="s">
        <v>925</v>
      </c>
      <c r="C117" s="397"/>
      <c r="D117" s="399"/>
      <c r="E117" s="391"/>
      <c r="F117" s="391"/>
      <c r="G117" s="391"/>
      <c r="H117" s="391"/>
      <c r="I117" s="399"/>
      <c r="J117" s="391"/>
      <c r="K117" s="391"/>
      <c r="L117" s="391"/>
      <c r="M117" s="391"/>
      <c r="N117" s="399"/>
      <c r="O117" s="391"/>
      <c r="P117" s="391"/>
      <c r="Q117" s="391"/>
      <c r="R117" s="391"/>
      <c r="S117" s="399"/>
      <c r="T117" s="391"/>
      <c r="U117" s="391"/>
      <c r="V117" s="391"/>
      <c r="W117" s="391"/>
      <c r="X117" s="399"/>
      <c r="Y117" s="391"/>
      <c r="Z117" s="391"/>
      <c r="AA117" s="391"/>
      <c r="AB117" s="391"/>
    </row>
    <row r="118" spans="1:28" ht="18" customHeight="1" x14ac:dyDescent="0.2">
      <c r="A118" s="395"/>
      <c r="B118" s="42" t="s">
        <v>926</v>
      </c>
      <c r="C118" s="397"/>
      <c r="D118" s="399"/>
      <c r="E118" s="391"/>
      <c r="F118" s="391"/>
      <c r="G118" s="391"/>
      <c r="H118" s="391"/>
      <c r="I118" s="399"/>
      <c r="J118" s="391"/>
      <c r="K118" s="391"/>
      <c r="L118" s="391"/>
      <c r="M118" s="391"/>
      <c r="N118" s="399"/>
      <c r="O118" s="391"/>
      <c r="P118" s="391"/>
      <c r="Q118" s="391"/>
      <c r="R118" s="391"/>
      <c r="S118" s="399"/>
      <c r="T118" s="391"/>
      <c r="U118" s="391"/>
      <c r="V118" s="391"/>
      <c r="W118" s="391"/>
      <c r="X118" s="399"/>
      <c r="Y118" s="391"/>
      <c r="Z118" s="391"/>
      <c r="AA118" s="391"/>
      <c r="AB118" s="391"/>
    </row>
    <row r="119" spans="1:28" ht="18" customHeight="1" x14ac:dyDescent="0.2">
      <c r="A119" s="395"/>
      <c r="B119" s="42" t="s">
        <v>927</v>
      </c>
      <c r="C119" s="397"/>
      <c r="D119" s="399"/>
      <c r="E119" s="391"/>
      <c r="F119" s="391"/>
      <c r="G119" s="391"/>
      <c r="H119" s="391"/>
      <c r="I119" s="399"/>
      <c r="J119" s="391"/>
      <c r="K119" s="391"/>
      <c r="L119" s="391"/>
      <c r="M119" s="391"/>
      <c r="N119" s="399"/>
      <c r="O119" s="391"/>
      <c r="P119" s="391"/>
      <c r="Q119" s="391"/>
      <c r="R119" s="391"/>
      <c r="S119" s="399"/>
      <c r="T119" s="391"/>
      <c r="U119" s="391"/>
      <c r="V119" s="391"/>
      <c r="W119" s="391"/>
      <c r="X119" s="399"/>
      <c r="Y119" s="391"/>
      <c r="Z119" s="391"/>
      <c r="AA119" s="391"/>
      <c r="AB119" s="391"/>
    </row>
    <row r="120" spans="1:28" ht="18" customHeight="1" x14ac:dyDescent="0.2">
      <c r="A120" s="395"/>
      <c r="B120" s="42" t="s">
        <v>928</v>
      </c>
      <c r="C120" s="397"/>
      <c r="D120" s="399"/>
      <c r="E120" s="391"/>
      <c r="F120" s="391"/>
      <c r="G120" s="391"/>
      <c r="H120" s="391"/>
      <c r="I120" s="399"/>
      <c r="J120" s="391"/>
      <c r="K120" s="391"/>
      <c r="L120" s="391"/>
      <c r="M120" s="391"/>
      <c r="N120" s="399"/>
      <c r="O120" s="391"/>
      <c r="P120" s="391"/>
      <c r="Q120" s="391"/>
      <c r="R120" s="391"/>
      <c r="S120" s="399"/>
      <c r="T120" s="391"/>
      <c r="U120" s="391"/>
      <c r="V120" s="391"/>
      <c r="W120" s="391"/>
      <c r="X120" s="399"/>
      <c r="Y120" s="391"/>
      <c r="Z120" s="391"/>
      <c r="AA120" s="391"/>
      <c r="AB120" s="391"/>
    </row>
    <row r="121" spans="1:28" ht="18" customHeight="1" x14ac:dyDescent="0.2">
      <c r="A121" s="395"/>
      <c r="B121" s="42" t="s">
        <v>929</v>
      </c>
      <c r="C121" s="397"/>
      <c r="D121" s="399"/>
      <c r="E121" s="391"/>
      <c r="F121" s="391"/>
      <c r="G121" s="391"/>
      <c r="H121" s="391"/>
      <c r="I121" s="399"/>
      <c r="J121" s="391"/>
      <c r="K121" s="391"/>
      <c r="L121" s="391"/>
      <c r="M121" s="391"/>
      <c r="N121" s="399"/>
      <c r="O121" s="391"/>
      <c r="P121" s="391"/>
      <c r="Q121" s="391"/>
      <c r="R121" s="391"/>
      <c r="S121" s="399"/>
      <c r="T121" s="391"/>
      <c r="U121" s="391"/>
      <c r="V121" s="391"/>
      <c r="W121" s="391"/>
      <c r="X121" s="399"/>
      <c r="Y121" s="391"/>
      <c r="Z121" s="391"/>
      <c r="AA121" s="391"/>
      <c r="AB121" s="391"/>
    </row>
    <row r="122" spans="1:28" ht="18" customHeight="1" x14ac:dyDescent="0.2">
      <c r="A122" s="395"/>
      <c r="B122" s="42" t="s">
        <v>930</v>
      </c>
      <c r="C122" s="397"/>
      <c r="D122" s="399"/>
      <c r="E122" s="391"/>
      <c r="F122" s="391"/>
      <c r="G122" s="391"/>
      <c r="H122" s="391"/>
      <c r="I122" s="399"/>
      <c r="J122" s="391"/>
      <c r="K122" s="391"/>
      <c r="L122" s="391"/>
      <c r="M122" s="391"/>
      <c r="N122" s="399"/>
      <c r="O122" s="391"/>
      <c r="P122" s="391"/>
      <c r="Q122" s="391"/>
      <c r="R122" s="391"/>
      <c r="S122" s="399"/>
      <c r="T122" s="391"/>
      <c r="U122" s="391"/>
      <c r="V122" s="391"/>
      <c r="W122" s="391"/>
      <c r="X122" s="399"/>
      <c r="Y122" s="391"/>
      <c r="Z122" s="391"/>
      <c r="AA122" s="391"/>
      <c r="AB122" s="391"/>
    </row>
    <row r="123" spans="1:28" ht="18" customHeight="1" x14ac:dyDescent="0.2">
      <c r="A123" s="395"/>
      <c r="B123" s="42" t="s">
        <v>931</v>
      </c>
      <c r="C123" s="397"/>
      <c r="D123" s="399"/>
      <c r="E123" s="391"/>
      <c r="F123" s="391"/>
      <c r="G123" s="391"/>
      <c r="H123" s="391"/>
      <c r="I123" s="399"/>
      <c r="J123" s="391"/>
      <c r="K123" s="391"/>
      <c r="L123" s="391"/>
      <c r="M123" s="391"/>
      <c r="N123" s="399"/>
      <c r="O123" s="391"/>
      <c r="P123" s="391"/>
      <c r="Q123" s="391"/>
      <c r="R123" s="391"/>
      <c r="S123" s="399"/>
      <c r="T123" s="391"/>
      <c r="U123" s="391"/>
      <c r="V123" s="391"/>
      <c r="W123" s="391"/>
      <c r="X123" s="399"/>
      <c r="Y123" s="391"/>
      <c r="Z123" s="391"/>
      <c r="AA123" s="391"/>
      <c r="AB123" s="391"/>
    </row>
    <row r="124" spans="1:28" ht="18" customHeight="1" x14ac:dyDescent="0.2">
      <c r="A124" s="395"/>
      <c r="B124" s="42" t="s">
        <v>932</v>
      </c>
      <c r="C124" s="397"/>
      <c r="D124" s="399"/>
      <c r="E124" s="391"/>
      <c r="F124" s="391"/>
      <c r="G124" s="391"/>
      <c r="H124" s="391"/>
      <c r="I124" s="399"/>
      <c r="J124" s="391"/>
      <c r="K124" s="391"/>
      <c r="L124" s="391"/>
      <c r="M124" s="391"/>
      <c r="N124" s="399"/>
      <c r="O124" s="391"/>
      <c r="P124" s="391"/>
      <c r="Q124" s="391"/>
      <c r="R124" s="391"/>
      <c r="S124" s="399"/>
      <c r="T124" s="391"/>
      <c r="U124" s="391"/>
      <c r="V124" s="391"/>
      <c r="W124" s="391"/>
      <c r="X124" s="399"/>
      <c r="Y124" s="391"/>
      <c r="Z124" s="391"/>
      <c r="AA124" s="391"/>
      <c r="AB124" s="391"/>
    </row>
    <row r="125" spans="1:28" ht="18" customHeight="1" x14ac:dyDescent="0.2">
      <c r="A125" s="395"/>
      <c r="B125" s="42" t="s">
        <v>933</v>
      </c>
      <c r="C125" s="397"/>
      <c r="D125" s="399"/>
      <c r="E125" s="391"/>
      <c r="F125" s="391"/>
      <c r="G125" s="391"/>
      <c r="H125" s="391"/>
      <c r="I125" s="399"/>
      <c r="J125" s="391"/>
      <c r="K125" s="391"/>
      <c r="L125" s="391"/>
      <c r="M125" s="391"/>
      <c r="N125" s="399"/>
      <c r="O125" s="391"/>
      <c r="P125" s="391"/>
      <c r="Q125" s="391"/>
      <c r="R125" s="391"/>
      <c r="S125" s="399"/>
      <c r="T125" s="391"/>
      <c r="U125" s="391"/>
      <c r="V125" s="391"/>
      <c r="W125" s="391"/>
      <c r="X125" s="399"/>
      <c r="Y125" s="391"/>
      <c r="Z125" s="391"/>
      <c r="AA125" s="391"/>
      <c r="AB125" s="391"/>
    </row>
    <row r="126" spans="1:28" ht="18" customHeight="1" x14ac:dyDescent="0.2">
      <c r="A126" s="395"/>
      <c r="B126" s="42" t="s">
        <v>934</v>
      </c>
      <c r="C126" s="397"/>
      <c r="D126" s="399"/>
      <c r="E126" s="391"/>
      <c r="F126" s="391"/>
      <c r="G126" s="391"/>
      <c r="H126" s="391"/>
      <c r="I126" s="399"/>
      <c r="J126" s="391"/>
      <c r="K126" s="391"/>
      <c r="L126" s="391"/>
      <c r="M126" s="391"/>
      <c r="N126" s="399"/>
      <c r="O126" s="391"/>
      <c r="P126" s="391"/>
      <c r="Q126" s="391"/>
      <c r="R126" s="391"/>
      <c r="S126" s="399"/>
      <c r="T126" s="391"/>
      <c r="U126" s="391"/>
      <c r="V126" s="391"/>
      <c r="W126" s="391"/>
      <c r="X126" s="399"/>
      <c r="Y126" s="391"/>
      <c r="Z126" s="391"/>
      <c r="AA126" s="391"/>
      <c r="AB126" s="391"/>
    </row>
    <row r="127" spans="1:28" ht="18" customHeight="1" x14ac:dyDescent="0.2">
      <c r="A127" s="395"/>
      <c r="B127" s="42" t="s">
        <v>935</v>
      </c>
      <c r="C127" s="397"/>
      <c r="D127" s="399"/>
      <c r="E127" s="391"/>
      <c r="F127" s="391"/>
      <c r="G127" s="391"/>
      <c r="H127" s="391"/>
      <c r="I127" s="399"/>
      <c r="J127" s="391"/>
      <c r="K127" s="391"/>
      <c r="L127" s="391"/>
      <c r="M127" s="391"/>
      <c r="N127" s="399"/>
      <c r="O127" s="391"/>
      <c r="P127" s="391"/>
      <c r="Q127" s="391"/>
      <c r="R127" s="391"/>
      <c r="S127" s="399"/>
      <c r="T127" s="391"/>
      <c r="U127" s="391"/>
      <c r="V127" s="391"/>
      <c r="W127" s="391"/>
      <c r="X127" s="399"/>
      <c r="Y127" s="391"/>
      <c r="Z127" s="391"/>
      <c r="AA127" s="391"/>
      <c r="AB127" s="391"/>
    </row>
    <row r="128" spans="1:28" ht="18" customHeight="1" x14ac:dyDescent="0.2">
      <c r="A128" s="395"/>
      <c r="B128" s="42" t="s">
        <v>936</v>
      </c>
      <c r="C128" s="397"/>
      <c r="D128" s="399"/>
      <c r="E128" s="391"/>
      <c r="F128" s="391"/>
      <c r="G128" s="391"/>
      <c r="H128" s="391"/>
      <c r="I128" s="399"/>
      <c r="J128" s="391"/>
      <c r="K128" s="391"/>
      <c r="L128" s="391"/>
      <c r="M128" s="391"/>
      <c r="N128" s="399"/>
      <c r="O128" s="391"/>
      <c r="P128" s="391"/>
      <c r="Q128" s="391"/>
      <c r="R128" s="391"/>
      <c r="S128" s="399"/>
      <c r="T128" s="391"/>
      <c r="U128" s="391"/>
      <c r="V128" s="391"/>
      <c r="W128" s="391"/>
      <c r="X128" s="399"/>
      <c r="Y128" s="391"/>
      <c r="Z128" s="391"/>
      <c r="AA128" s="391"/>
      <c r="AB128" s="391"/>
    </row>
    <row r="129" spans="1:28" ht="18" customHeight="1" x14ac:dyDescent="0.2">
      <c r="A129" s="395"/>
      <c r="B129" s="42" t="s">
        <v>937</v>
      </c>
      <c r="C129" s="397"/>
      <c r="D129" s="399"/>
      <c r="E129" s="391"/>
      <c r="F129" s="391"/>
      <c r="G129" s="391"/>
      <c r="H129" s="391"/>
      <c r="I129" s="399"/>
      <c r="J129" s="391"/>
      <c r="K129" s="391"/>
      <c r="L129" s="391"/>
      <c r="M129" s="391"/>
      <c r="N129" s="399"/>
      <c r="O129" s="391"/>
      <c r="P129" s="391"/>
      <c r="Q129" s="391"/>
      <c r="R129" s="391"/>
      <c r="S129" s="399"/>
      <c r="T129" s="391"/>
      <c r="U129" s="391"/>
      <c r="V129" s="391"/>
      <c r="W129" s="391"/>
      <c r="X129" s="399"/>
      <c r="Y129" s="391"/>
      <c r="Z129" s="391"/>
      <c r="AA129" s="391"/>
      <c r="AB129" s="391"/>
    </row>
    <row r="130" spans="1:28" ht="18" customHeight="1" x14ac:dyDescent="0.2">
      <c r="A130" s="395"/>
      <c r="B130" s="42" t="s">
        <v>938</v>
      </c>
      <c r="C130" s="397"/>
      <c r="D130" s="399"/>
      <c r="E130" s="391"/>
      <c r="F130" s="391"/>
      <c r="G130" s="391"/>
      <c r="H130" s="391"/>
      <c r="I130" s="399"/>
      <c r="J130" s="391"/>
      <c r="K130" s="391"/>
      <c r="L130" s="391"/>
      <c r="M130" s="391"/>
      <c r="N130" s="399"/>
      <c r="O130" s="391"/>
      <c r="P130" s="391"/>
      <c r="Q130" s="391"/>
      <c r="R130" s="391"/>
      <c r="S130" s="399"/>
      <c r="T130" s="391"/>
      <c r="U130" s="391"/>
      <c r="V130" s="391"/>
      <c r="W130" s="391"/>
      <c r="X130" s="399"/>
      <c r="Y130" s="391"/>
      <c r="Z130" s="391"/>
      <c r="AA130" s="391"/>
      <c r="AB130" s="391"/>
    </row>
    <row r="131" spans="1:28" ht="18" customHeight="1" x14ac:dyDescent="0.2">
      <c r="A131" s="395"/>
      <c r="B131" s="42" t="s">
        <v>939</v>
      </c>
      <c r="C131" s="397"/>
      <c r="D131" s="399"/>
      <c r="E131" s="391"/>
      <c r="F131" s="391"/>
      <c r="G131" s="391"/>
      <c r="H131" s="391"/>
      <c r="I131" s="399"/>
      <c r="J131" s="391"/>
      <c r="K131" s="391"/>
      <c r="L131" s="391"/>
      <c r="M131" s="391"/>
      <c r="N131" s="399"/>
      <c r="O131" s="391"/>
      <c r="P131" s="391"/>
      <c r="Q131" s="391"/>
      <c r="R131" s="391"/>
      <c r="S131" s="399"/>
      <c r="T131" s="391"/>
      <c r="U131" s="391"/>
      <c r="V131" s="391"/>
      <c r="W131" s="391"/>
      <c r="X131" s="399"/>
      <c r="Y131" s="391"/>
      <c r="Z131" s="391"/>
      <c r="AA131" s="391"/>
      <c r="AB131" s="391"/>
    </row>
    <row r="132" spans="1:28" ht="18" customHeight="1" x14ac:dyDescent="0.2">
      <c r="A132" s="395"/>
      <c r="B132" s="42" t="s">
        <v>940</v>
      </c>
      <c r="C132" s="397"/>
      <c r="D132" s="399"/>
      <c r="E132" s="391"/>
      <c r="F132" s="391"/>
      <c r="G132" s="391"/>
      <c r="H132" s="391"/>
      <c r="I132" s="399"/>
      <c r="J132" s="391"/>
      <c r="K132" s="391"/>
      <c r="L132" s="391"/>
      <c r="M132" s="391"/>
      <c r="N132" s="399"/>
      <c r="O132" s="391"/>
      <c r="P132" s="391"/>
      <c r="Q132" s="391"/>
      <c r="R132" s="391"/>
      <c r="S132" s="399"/>
      <c r="T132" s="391"/>
      <c r="U132" s="391"/>
      <c r="V132" s="391"/>
      <c r="W132" s="391"/>
      <c r="X132" s="399"/>
      <c r="Y132" s="391"/>
      <c r="Z132" s="391"/>
      <c r="AA132" s="391"/>
      <c r="AB132" s="391"/>
    </row>
    <row r="133" spans="1:28" ht="18" customHeight="1" x14ac:dyDescent="0.2">
      <c r="A133" s="395"/>
      <c r="B133" s="42" t="s">
        <v>941</v>
      </c>
      <c r="C133" s="397"/>
      <c r="D133" s="399"/>
      <c r="E133" s="391"/>
      <c r="F133" s="391"/>
      <c r="G133" s="391"/>
      <c r="H133" s="391"/>
      <c r="I133" s="399"/>
      <c r="J133" s="391"/>
      <c r="K133" s="391"/>
      <c r="L133" s="391"/>
      <c r="M133" s="391"/>
      <c r="N133" s="399"/>
      <c r="O133" s="391"/>
      <c r="P133" s="391"/>
      <c r="Q133" s="391"/>
      <c r="R133" s="391"/>
      <c r="S133" s="399"/>
      <c r="T133" s="391"/>
      <c r="U133" s="391"/>
      <c r="V133" s="391"/>
      <c r="W133" s="391"/>
      <c r="X133" s="399"/>
      <c r="Y133" s="391"/>
      <c r="Z133" s="391"/>
      <c r="AA133" s="391"/>
      <c r="AB133" s="391"/>
    </row>
    <row r="134" spans="1:28" ht="18" customHeight="1" x14ac:dyDescent="0.2">
      <c r="A134" s="395"/>
      <c r="B134" s="42" t="s">
        <v>942</v>
      </c>
      <c r="C134" s="397"/>
      <c r="D134" s="399"/>
      <c r="E134" s="391"/>
      <c r="F134" s="391"/>
      <c r="G134" s="391"/>
      <c r="H134" s="391"/>
      <c r="I134" s="399"/>
      <c r="J134" s="391"/>
      <c r="K134" s="391"/>
      <c r="L134" s="391"/>
      <c r="M134" s="391"/>
      <c r="N134" s="399"/>
      <c r="O134" s="391"/>
      <c r="P134" s="391"/>
      <c r="Q134" s="391"/>
      <c r="R134" s="391"/>
      <c r="S134" s="399"/>
      <c r="T134" s="391"/>
      <c r="U134" s="391"/>
      <c r="V134" s="391"/>
      <c r="W134" s="391"/>
      <c r="X134" s="399"/>
      <c r="Y134" s="391"/>
      <c r="Z134" s="391"/>
      <c r="AA134" s="391"/>
      <c r="AB134" s="391"/>
    </row>
    <row r="135" spans="1:28" ht="18" customHeight="1" x14ac:dyDescent="0.2">
      <c r="A135" s="395"/>
      <c r="B135" s="42" t="s">
        <v>943</v>
      </c>
      <c r="C135" s="397"/>
      <c r="D135" s="399"/>
      <c r="E135" s="391"/>
      <c r="F135" s="391"/>
      <c r="G135" s="391"/>
      <c r="H135" s="391"/>
      <c r="I135" s="399"/>
      <c r="J135" s="391"/>
      <c r="K135" s="391"/>
      <c r="L135" s="391"/>
      <c r="M135" s="391"/>
      <c r="N135" s="399"/>
      <c r="O135" s="391"/>
      <c r="P135" s="391"/>
      <c r="Q135" s="391"/>
      <c r="R135" s="391"/>
      <c r="S135" s="399"/>
      <c r="T135" s="391"/>
      <c r="U135" s="391"/>
      <c r="V135" s="391"/>
      <c r="W135" s="391"/>
      <c r="X135" s="399"/>
      <c r="Y135" s="391"/>
      <c r="Z135" s="391"/>
      <c r="AA135" s="391"/>
      <c r="AB135" s="391"/>
    </row>
    <row r="136" spans="1:28" ht="18" customHeight="1" x14ac:dyDescent="0.2">
      <c r="A136" s="395"/>
      <c r="B136" s="42" t="s">
        <v>944</v>
      </c>
      <c r="C136" s="397"/>
      <c r="D136" s="399"/>
      <c r="E136" s="391"/>
      <c r="F136" s="391"/>
      <c r="G136" s="391"/>
      <c r="H136" s="391"/>
      <c r="I136" s="399"/>
      <c r="J136" s="391"/>
      <c r="K136" s="391"/>
      <c r="L136" s="391"/>
      <c r="M136" s="391"/>
      <c r="N136" s="399"/>
      <c r="O136" s="391"/>
      <c r="P136" s="391"/>
      <c r="Q136" s="391"/>
      <c r="R136" s="391"/>
      <c r="S136" s="399"/>
      <c r="T136" s="391"/>
      <c r="U136" s="391"/>
      <c r="V136" s="391"/>
      <c r="W136" s="391"/>
      <c r="X136" s="399"/>
      <c r="Y136" s="391"/>
      <c r="Z136" s="391"/>
      <c r="AA136" s="391"/>
      <c r="AB136" s="391"/>
    </row>
    <row r="137" spans="1:28" ht="18" customHeight="1" x14ac:dyDescent="0.2">
      <c r="A137" s="395"/>
      <c r="B137" s="42" t="s">
        <v>945</v>
      </c>
      <c r="C137" s="397"/>
      <c r="D137" s="399"/>
      <c r="E137" s="391"/>
      <c r="F137" s="391"/>
      <c r="G137" s="391"/>
      <c r="H137" s="391"/>
      <c r="I137" s="399"/>
      <c r="J137" s="391"/>
      <c r="K137" s="391"/>
      <c r="L137" s="391"/>
      <c r="M137" s="391"/>
      <c r="N137" s="399"/>
      <c r="O137" s="391"/>
      <c r="P137" s="391"/>
      <c r="Q137" s="391"/>
      <c r="R137" s="391"/>
      <c r="S137" s="399"/>
      <c r="T137" s="391"/>
      <c r="U137" s="391"/>
      <c r="V137" s="391"/>
      <c r="W137" s="391"/>
      <c r="X137" s="399"/>
      <c r="Y137" s="391"/>
      <c r="Z137" s="391"/>
      <c r="AA137" s="391"/>
      <c r="AB137" s="391"/>
    </row>
    <row r="138" spans="1:28" ht="18" customHeight="1" x14ac:dyDescent="0.2">
      <c r="A138" s="395"/>
      <c r="B138" s="42" t="s">
        <v>946</v>
      </c>
      <c r="C138" s="397"/>
      <c r="D138" s="399"/>
      <c r="E138" s="391"/>
      <c r="F138" s="391"/>
      <c r="G138" s="391"/>
      <c r="H138" s="391"/>
      <c r="I138" s="399"/>
      <c r="J138" s="391"/>
      <c r="K138" s="391"/>
      <c r="L138" s="391"/>
      <c r="M138" s="391"/>
      <c r="N138" s="399"/>
      <c r="O138" s="391"/>
      <c r="P138" s="391"/>
      <c r="Q138" s="391"/>
      <c r="R138" s="391"/>
      <c r="S138" s="399"/>
      <c r="T138" s="391"/>
      <c r="U138" s="391"/>
      <c r="V138" s="391"/>
      <c r="W138" s="391"/>
      <c r="X138" s="399"/>
      <c r="Y138" s="391"/>
      <c r="Z138" s="391"/>
      <c r="AA138" s="391"/>
      <c r="AB138" s="391"/>
    </row>
    <row r="139" spans="1:28" ht="18" customHeight="1" x14ac:dyDescent="0.2">
      <c r="A139" s="395"/>
      <c r="B139" s="42" t="s">
        <v>947</v>
      </c>
      <c r="C139" s="397"/>
      <c r="D139" s="399"/>
      <c r="E139" s="391"/>
      <c r="F139" s="391"/>
      <c r="G139" s="391"/>
      <c r="H139" s="391"/>
      <c r="I139" s="399"/>
      <c r="J139" s="391"/>
      <c r="K139" s="391"/>
      <c r="L139" s="391"/>
      <c r="M139" s="391"/>
      <c r="N139" s="399"/>
      <c r="O139" s="391"/>
      <c r="P139" s="391"/>
      <c r="Q139" s="391"/>
      <c r="R139" s="391"/>
      <c r="S139" s="399"/>
      <c r="T139" s="391"/>
      <c r="U139" s="391"/>
      <c r="V139" s="391"/>
      <c r="W139" s="391"/>
      <c r="X139" s="399"/>
      <c r="Y139" s="391"/>
      <c r="Z139" s="391"/>
      <c r="AA139" s="391"/>
      <c r="AB139" s="391"/>
    </row>
    <row r="140" spans="1:28" ht="18" customHeight="1" x14ac:dyDescent="0.2">
      <c r="A140" s="395"/>
      <c r="B140" s="57" t="s">
        <v>948</v>
      </c>
      <c r="C140" s="397"/>
      <c r="D140" s="399"/>
      <c r="E140" s="391"/>
      <c r="F140" s="391"/>
      <c r="G140" s="391"/>
      <c r="H140" s="391"/>
      <c r="I140" s="399"/>
      <c r="J140" s="391"/>
      <c r="K140" s="391"/>
      <c r="L140" s="391"/>
      <c r="M140" s="391"/>
      <c r="N140" s="399"/>
      <c r="O140" s="391"/>
      <c r="P140" s="391"/>
      <c r="Q140" s="391"/>
      <c r="R140" s="391"/>
      <c r="S140" s="399"/>
      <c r="T140" s="391"/>
      <c r="U140" s="391"/>
      <c r="V140" s="391"/>
      <c r="W140" s="391"/>
      <c r="X140" s="399"/>
      <c r="Y140" s="391"/>
      <c r="Z140" s="391"/>
      <c r="AA140" s="391"/>
      <c r="AB140" s="391"/>
    </row>
    <row r="141" spans="1:28" ht="18" customHeight="1" x14ac:dyDescent="0.2">
      <c r="A141" s="392">
        <v>7</v>
      </c>
      <c r="B141" s="52" t="s">
        <v>949</v>
      </c>
      <c r="C141" s="393"/>
      <c r="D141" s="389"/>
      <c r="E141" s="389"/>
      <c r="F141" s="389"/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89"/>
      <c r="R141" s="389"/>
      <c r="S141" s="389"/>
      <c r="T141" s="389"/>
      <c r="U141" s="389"/>
      <c r="V141" s="389"/>
      <c r="W141" s="389"/>
      <c r="X141" s="389"/>
      <c r="Y141" s="389"/>
      <c r="Z141" s="389"/>
      <c r="AA141" s="389"/>
      <c r="AB141" s="389"/>
    </row>
    <row r="142" spans="1:28" ht="18" customHeight="1" x14ac:dyDescent="0.2">
      <c r="A142" s="392"/>
      <c r="B142" s="42" t="s">
        <v>950</v>
      </c>
      <c r="C142" s="393"/>
      <c r="D142" s="389"/>
      <c r="E142" s="389"/>
      <c r="F142" s="389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89"/>
      <c r="R142" s="389"/>
      <c r="S142" s="389"/>
      <c r="T142" s="389"/>
      <c r="U142" s="389"/>
      <c r="V142" s="389"/>
      <c r="W142" s="389"/>
      <c r="X142" s="389"/>
      <c r="Y142" s="389"/>
      <c r="Z142" s="389"/>
      <c r="AA142" s="389"/>
      <c r="AB142" s="389"/>
    </row>
    <row r="143" spans="1:28" ht="18" customHeight="1" x14ac:dyDescent="0.2">
      <c r="A143" s="392"/>
      <c r="B143" s="42" t="s">
        <v>951</v>
      </c>
      <c r="C143" s="393"/>
      <c r="D143" s="389"/>
      <c r="E143" s="389"/>
      <c r="F143" s="389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89"/>
      <c r="R143" s="389"/>
      <c r="S143" s="389"/>
      <c r="T143" s="389"/>
      <c r="U143" s="389"/>
      <c r="V143" s="389"/>
      <c r="W143" s="389"/>
      <c r="X143" s="389"/>
      <c r="Y143" s="389"/>
      <c r="Z143" s="389"/>
      <c r="AA143" s="389"/>
      <c r="AB143" s="389"/>
    </row>
    <row r="144" spans="1:28" ht="18" customHeight="1" x14ac:dyDescent="0.2">
      <c r="A144" s="392"/>
      <c r="B144" s="42" t="s">
        <v>952</v>
      </c>
      <c r="C144" s="393"/>
      <c r="D144" s="389"/>
      <c r="E144" s="389"/>
      <c r="F144" s="389"/>
      <c r="G144" s="389"/>
      <c r="H144" s="389"/>
      <c r="I144" s="389"/>
      <c r="J144" s="389"/>
      <c r="K144" s="389"/>
      <c r="L144" s="389"/>
      <c r="M144" s="389"/>
      <c r="N144" s="389"/>
      <c r="O144" s="389"/>
      <c r="P144" s="389"/>
      <c r="Q144" s="389"/>
      <c r="R144" s="389"/>
      <c r="S144" s="389"/>
      <c r="T144" s="389"/>
      <c r="U144" s="389"/>
      <c r="V144" s="389"/>
      <c r="W144" s="389"/>
      <c r="X144" s="389"/>
      <c r="Y144" s="389"/>
      <c r="Z144" s="389"/>
      <c r="AA144" s="389"/>
      <c r="AB144" s="389"/>
    </row>
    <row r="145" spans="1:28" ht="18" customHeight="1" x14ac:dyDescent="0.2">
      <c r="A145" s="392"/>
      <c r="B145" s="42" t="s">
        <v>953</v>
      </c>
      <c r="C145" s="393"/>
      <c r="D145" s="389"/>
      <c r="E145" s="389"/>
      <c r="F145" s="389"/>
      <c r="G145" s="389"/>
      <c r="H145" s="389"/>
      <c r="I145" s="389"/>
      <c r="J145" s="389"/>
      <c r="K145" s="389"/>
      <c r="L145" s="389"/>
      <c r="M145" s="389"/>
      <c r="N145" s="389"/>
      <c r="O145" s="389"/>
      <c r="P145" s="389"/>
      <c r="Q145" s="389"/>
      <c r="R145" s="389"/>
      <c r="S145" s="389"/>
      <c r="T145" s="389"/>
      <c r="U145" s="389"/>
      <c r="V145" s="389"/>
      <c r="W145" s="389"/>
      <c r="X145" s="389"/>
      <c r="Y145" s="389"/>
      <c r="Z145" s="389"/>
      <c r="AA145" s="389"/>
      <c r="AB145" s="389"/>
    </row>
    <row r="146" spans="1:28" ht="18" customHeight="1" x14ac:dyDescent="0.2">
      <c r="A146" s="392"/>
      <c r="B146" s="42" t="s">
        <v>954</v>
      </c>
      <c r="C146" s="393"/>
      <c r="D146" s="389"/>
      <c r="E146" s="389"/>
      <c r="F146" s="389"/>
      <c r="G146" s="389"/>
      <c r="H146" s="389"/>
      <c r="I146" s="389"/>
      <c r="J146" s="389"/>
      <c r="K146" s="389"/>
      <c r="L146" s="389"/>
      <c r="M146" s="389"/>
      <c r="N146" s="389"/>
      <c r="O146" s="389"/>
      <c r="P146" s="389"/>
      <c r="Q146" s="389"/>
      <c r="R146" s="389"/>
      <c r="S146" s="389"/>
      <c r="T146" s="389"/>
      <c r="U146" s="389"/>
      <c r="V146" s="389"/>
      <c r="W146" s="389"/>
      <c r="X146" s="389"/>
      <c r="Y146" s="389"/>
      <c r="Z146" s="389"/>
      <c r="AA146" s="389"/>
      <c r="AB146" s="389"/>
    </row>
    <row r="147" spans="1:28" ht="18" customHeight="1" x14ac:dyDescent="0.2">
      <c r="A147" s="392"/>
      <c r="B147" s="42" t="s">
        <v>1398</v>
      </c>
      <c r="C147" s="393"/>
      <c r="D147" s="389"/>
      <c r="E147" s="389"/>
      <c r="F147" s="389"/>
      <c r="G147" s="389"/>
      <c r="H147" s="389"/>
      <c r="I147" s="389"/>
      <c r="J147" s="389"/>
      <c r="K147" s="389"/>
      <c r="L147" s="389"/>
      <c r="M147" s="389"/>
      <c r="N147" s="389"/>
      <c r="O147" s="389"/>
      <c r="P147" s="389"/>
      <c r="Q147" s="389"/>
      <c r="R147" s="389"/>
      <c r="S147" s="389"/>
      <c r="T147" s="389"/>
      <c r="U147" s="389"/>
      <c r="V147" s="389"/>
      <c r="W147" s="389"/>
      <c r="X147" s="389"/>
      <c r="Y147" s="389"/>
      <c r="Z147" s="389"/>
      <c r="AA147" s="389"/>
      <c r="AB147" s="389"/>
    </row>
    <row r="148" spans="1:28" ht="18" customHeight="1" x14ac:dyDescent="0.2">
      <c r="A148" s="392"/>
      <c r="B148" s="42" t="s">
        <v>920</v>
      </c>
      <c r="C148" s="393"/>
      <c r="D148" s="389"/>
      <c r="E148" s="389"/>
      <c r="F148" s="389"/>
      <c r="G148" s="389"/>
      <c r="H148" s="389"/>
      <c r="I148" s="389"/>
      <c r="J148" s="389"/>
      <c r="K148" s="389"/>
      <c r="L148" s="389"/>
      <c r="M148" s="389"/>
      <c r="N148" s="389"/>
      <c r="O148" s="389"/>
      <c r="P148" s="389"/>
      <c r="Q148" s="389"/>
      <c r="R148" s="389"/>
      <c r="S148" s="389"/>
      <c r="T148" s="389"/>
      <c r="U148" s="389"/>
      <c r="V148" s="389"/>
      <c r="W148" s="389"/>
      <c r="X148" s="389"/>
      <c r="Y148" s="389"/>
      <c r="Z148" s="389"/>
      <c r="AA148" s="389"/>
      <c r="AB148" s="389"/>
    </row>
    <row r="149" spans="1:28" ht="18" customHeight="1" x14ac:dyDescent="0.2">
      <c r="A149" s="392"/>
      <c r="B149" s="42" t="s">
        <v>1399</v>
      </c>
      <c r="C149" s="393"/>
      <c r="D149" s="389"/>
      <c r="E149" s="389"/>
      <c r="F149" s="389"/>
      <c r="G149" s="389"/>
      <c r="H149" s="389"/>
      <c r="I149" s="389"/>
      <c r="J149" s="389"/>
      <c r="K149" s="389"/>
      <c r="L149" s="389"/>
      <c r="M149" s="389"/>
      <c r="N149" s="389"/>
      <c r="O149" s="389"/>
      <c r="P149" s="389"/>
      <c r="Q149" s="389"/>
      <c r="R149" s="389"/>
      <c r="S149" s="389"/>
      <c r="T149" s="389"/>
      <c r="U149" s="389"/>
      <c r="V149" s="389"/>
      <c r="W149" s="389"/>
      <c r="X149" s="389"/>
      <c r="Y149" s="389"/>
      <c r="Z149" s="389"/>
      <c r="AA149" s="389"/>
      <c r="AB149" s="389"/>
    </row>
    <row r="150" spans="1:28" ht="18" customHeight="1" x14ac:dyDescent="0.2">
      <c r="A150" s="392"/>
      <c r="B150" s="42" t="s">
        <v>1400</v>
      </c>
      <c r="C150" s="393"/>
      <c r="D150" s="389"/>
      <c r="E150" s="389"/>
      <c r="F150" s="389"/>
      <c r="G150" s="389"/>
      <c r="H150" s="389"/>
      <c r="I150" s="389"/>
      <c r="J150" s="389"/>
      <c r="K150" s="389"/>
      <c r="L150" s="389"/>
      <c r="M150" s="389"/>
      <c r="N150" s="389"/>
      <c r="O150" s="389"/>
      <c r="P150" s="389"/>
      <c r="Q150" s="389"/>
      <c r="R150" s="389"/>
      <c r="S150" s="389"/>
      <c r="T150" s="389"/>
      <c r="U150" s="389"/>
      <c r="V150" s="389"/>
      <c r="W150" s="389"/>
      <c r="X150" s="389"/>
      <c r="Y150" s="389"/>
      <c r="Z150" s="389"/>
      <c r="AA150" s="389"/>
      <c r="AB150" s="389"/>
    </row>
    <row r="151" spans="1:28" ht="18" customHeight="1" x14ac:dyDescent="0.2">
      <c r="A151" s="392"/>
      <c r="B151" s="42" t="s">
        <v>1401</v>
      </c>
      <c r="C151" s="393"/>
      <c r="D151" s="389"/>
      <c r="E151" s="389"/>
      <c r="F151" s="389"/>
      <c r="G151" s="389"/>
      <c r="H151" s="389"/>
      <c r="I151" s="389"/>
      <c r="J151" s="389"/>
      <c r="K151" s="389"/>
      <c r="L151" s="389"/>
      <c r="M151" s="389"/>
      <c r="N151" s="389"/>
      <c r="O151" s="389"/>
      <c r="P151" s="389"/>
      <c r="Q151" s="389"/>
      <c r="R151" s="389"/>
      <c r="S151" s="389"/>
      <c r="T151" s="389"/>
      <c r="U151" s="389"/>
      <c r="V151" s="389"/>
      <c r="W151" s="389"/>
      <c r="X151" s="389"/>
      <c r="Y151" s="389"/>
      <c r="Z151" s="389"/>
      <c r="AA151" s="389"/>
      <c r="AB151" s="389"/>
    </row>
    <row r="152" spans="1:28" ht="18" customHeight="1" x14ac:dyDescent="0.2">
      <c r="A152" s="392"/>
      <c r="B152" s="42" t="s">
        <v>1402</v>
      </c>
      <c r="C152" s="393"/>
      <c r="D152" s="389"/>
      <c r="E152" s="389"/>
      <c r="F152" s="389"/>
      <c r="G152" s="389"/>
      <c r="H152" s="389"/>
      <c r="I152" s="389"/>
      <c r="J152" s="389"/>
      <c r="K152" s="389"/>
      <c r="L152" s="389"/>
      <c r="M152" s="389"/>
      <c r="N152" s="389"/>
      <c r="O152" s="389"/>
      <c r="P152" s="389"/>
      <c r="Q152" s="389"/>
      <c r="R152" s="389"/>
      <c r="S152" s="389"/>
      <c r="T152" s="389"/>
      <c r="U152" s="389"/>
      <c r="V152" s="389"/>
      <c r="W152" s="389"/>
      <c r="X152" s="389"/>
      <c r="Y152" s="389"/>
      <c r="Z152" s="389"/>
      <c r="AA152" s="389"/>
      <c r="AB152" s="389"/>
    </row>
    <row r="153" spans="1:28" ht="18" customHeight="1" x14ac:dyDescent="0.2">
      <c r="A153" s="392"/>
      <c r="B153" s="42" t="s">
        <v>1403</v>
      </c>
      <c r="C153" s="393"/>
      <c r="D153" s="389"/>
      <c r="E153" s="389"/>
      <c r="F153" s="389"/>
      <c r="G153" s="389"/>
      <c r="H153" s="389"/>
      <c r="I153" s="389"/>
      <c r="J153" s="389"/>
      <c r="K153" s="389"/>
      <c r="L153" s="389"/>
      <c r="M153" s="389"/>
      <c r="N153" s="389"/>
      <c r="O153" s="389"/>
      <c r="P153" s="389"/>
      <c r="Q153" s="389"/>
      <c r="R153" s="389"/>
      <c r="S153" s="389"/>
      <c r="T153" s="389"/>
      <c r="U153" s="389"/>
      <c r="V153" s="389"/>
      <c r="W153" s="389"/>
      <c r="X153" s="389"/>
      <c r="Y153" s="389"/>
      <c r="Z153" s="389"/>
      <c r="AA153" s="389"/>
      <c r="AB153" s="389"/>
    </row>
    <row r="154" spans="1:28" ht="18" customHeight="1" x14ac:dyDescent="0.2">
      <c r="A154" s="392"/>
      <c r="B154" s="42" t="s">
        <v>1404</v>
      </c>
      <c r="C154" s="393"/>
      <c r="D154" s="389"/>
      <c r="E154" s="389"/>
      <c r="F154" s="389"/>
      <c r="G154" s="389"/>
      <c r="H154" s="389"/>
      <c r="I154" s="389"/>
      <c r="J154" s="389"/>
      <c r="K154" s="389"/>
      <c r="L154" s="389"/>
      <c r="M154" s="389"/>
      <c r="N154" s="389"/>
      <c r="O154" s="389"/>
      <c r="P154" s="389"/>
      <c r="Q154" s="389"/>
      <c r="R154" s="389"/>
      <c r="S154" s="389"/>
      <c r="T154" s="389"/>
      <c r="U154" s="389"/>
      <c r="V154" s="389"/>
      <c r="W154" s="389"/>
      <c r="X154" s="389"/>
      <c r="Y154" s="389"/>
      <c r="Z154" s="389"/>
      <c r="AA154" s="389"/>
      <c r="AB154" s="389"/>
    </row>
    <row r="155" spans="1:28" ht="18" customHeight="1" x14ac:dyDescent="0.2">
      <c r="A155" s="392"/>
      <c r="B155" s="85" t="s">
        <v>792</v>
      </c>
      <c r="C155" s="393"/>
      <c r="D155" s="389"/>
      <c r="E155" s="389"/>
      <c r="F155" s="389"/>
      <c r="G155" s="389"/>
      <c r="H155" s="389"/>
      <c r="I155" s="389"/>
      <c r="J155" s="389"/>
      <c r="K155" s="389"/>
      <c r="L155" s="389"/>
      <c r="M155" s="389"/>
      <c r="N155" s="389"/>
      <c r="O155" s="389"/>
      <c r="P155" s="389"/>
      <c r="Q155" s="389"/>
      <c r="R155" s="389"/>
      <c r="S155" s="389"/>
      <c r="T155" s="389"/>
      <c r="U155" s="389"/>
      <c r="V155" s="389"/>
      <c r="W155" s="389"/>
      <c r="X155" s="389"/>
      <c r="Y155" s="389"/>
      <c r="Z155" s="389"/>
      <c r="AA155" s="389"/>
      <c r="AB155" s="389"/>
    </row>
    <row r="156" spans="1:28" ht="18" customHeight="1" x14ac:dyDescent="0.2">
      <c r="A156" s="392"/>
      <c r="B156" s="42" t="s">
        <v>1261</v>
      </c>
      <c r="C156" s="393"/>
      <c r="D156" s="389"/>
      <c r="E156" s="389"/>
      <c r="F156" s="389"/>
      <c r="G156" s="389"/>
      <c r="H156" s="389"/>
      <c r="I156" s="389"/>
      <c r="J156" s="389"/>
      <c r="K156" s="389"/>
      <c r="L156" s="389"/>
      <c r="M156" s="389"/>
      <c r="N156" s="389"/>
      <c r="O156" s="389"/>
      <c r="P156" s="389"/>
      <c r="Q156" s="389"/>
      <c r="R156" s="389"/>
      <c r="S156" s="389"/>
      <c r="T156" s="389"/>
      <c r="U156" s="389"/>
      <c r="V156" s="389"/>
      <c r="W156" s="389"/>
      <c r="X156" s="389"/>
      <c r="Y156" s="389"/>
      <c r="Z156" s="389"/>
      <c r="AA156" s="389"/>
      <c r="AB156" s="389"/>
    </row>
    <row r="157" spans="1:28" ht="18" customHeight="1" x14ac:dyDescent="0.2">
      <c r="A157" s="392"/>
      <c r="B157" s="42" t="s">
        <v>1262</v>
      </c>
      <c r="C157" s="393"/>
      <c r="D157" s="389"/>
      <c r="E157" s="389"/>
      <c r="F157" s="389"/>
      <c r="G157" s="389"/>
      <c r="H157" s="389"/>
      <c r="I157" s="389"/>
      <c r="J157" s="389"/>
      <c r="K157" s="389"/>
      <c r="L157" s="389"/>
      <c r="M157" s="389"/>
      <c r="N157" s="389"/>
      <c r="O157" s="389"/>
      <c r="P157" s="389"/>
      <c r="Q157" s="389"/>
      <c r="R157" s="389"/>
      <c r="S157" s="389"/>
      <c r="T157" s="389"/>
      <c r="U157" s="389"/>
      <c r="V157" s="389"/>
      <c r="W157" s="389"/>
      <c r="X157" s="389"/>
      <c r="Y157" s="389"/>
      <c r="Z157" s="389"/>
      <c r="AA157" s="389"/>
      <c r="AB157" s="389"/>
    </row>
    <row r="158" spans="1:28" ht="18" customHeight="1" x14ac:dyDescent="0.2">
      <c r="A158" s="392"/>
      <c r="B158" s="42" t="s">
        <v>1263</v>
      </c>
      <c r="C158" s="393"/>
      <c r="D158" s="389"/>
      <c r="E158" s="389"/>
      <c r="F158" s="389"/>
      <c r="G158" s="389"/>
      <c r="H158" s="389"/>
      <c r="I158" s="389"/>
      <c r="J158" s="389"/>
      <c r="K158" s="389"/>
      <c r="L158" s="389"/>
      <c r="M158" s="389"/>
      <c r="N158" s="389"/>
      <c r="O158" s="389"/>
      <c r="P158" s="389"/>
      <c r="Q158" s="389"/>
      <c r="R158" s="389"/>
      <c r="S158" s="389"/>
      <c r="T158" s="389"/>
      <c r="U158" s="389"/>
      <c r="V158" s="389"/>
      <c r="W158" s="389"/>
      <c r="X158" s="389"/>
      <c r="Y158" s="389"/>
      <c r="Z158" s="389"/>
      <c r="AA158" s="389"/>
      <c r="AB158" s="389"/>
    </row>
    <row r="159" spans="1:28" ht="18" customHeight="1" x14ac:dyDescent="0.2">
      <c r="A159" s="392"/>
      <c r="B159" s="42" t="s">
        <v>1264</v>
      </c>
      <c r="C159" s="393"/>
      <c r="D159" s="389"/>
      <c r="E159" s="389"/>
      <c r="F159" s="389"/>
      <c r="G159" s="389"/>
      <c r="H159" s="389"/>
      <c r="I159" s="389"/>
      <c r="J159" s="389"/>
      <c r="K159" s="389"/>
      <c r="L159" s="389"/>
      <c r="M159" s="389"/>
      <c r="N159" s="389"/>
      <c r="O159" s="389"/>
      <c r="P159" s="389"/>
      <c r="Q159" s="389"/>
      <c r="R159" s="389"/>
      <c r="S159" s="389"/>
      <c r="T159" s="389"/>
      <c r="U159" s="389"/>
      <c r="V159" s="389"/>
      <c r="W159" s="389"/>
      <c r="X159" s="389"/>
      <c r="Y159" s="389"/>
      <c r="Z159" s="389"/>
      <c r="AA159" s="389"/>
      <c r="AB159" s="389"/>
    </row>
    <row r="160" spans="1:28" ht="18" customHeight="1" x14ac:dyDescent="0.2">
      <c r="A160" s="392"/>
      <c r="B160" s="42" t="s">
        <v>1265</v>
      </c>
      <c r="C160" s="393"/>
      <c r="D160" s="389"/>
      <c r="E160" s="389"/>
      <c r="F160" s="389"/>
      <c r="G160" s="389"/>
      <c r="H160" s="389"/>
      <c r="I160" s="389"/>
      <c r="J160" s="389"/>
      <c r="K160" s="389"/>
      <c r="L160" s="389"/>
      <c r="M160" s="389"/>
      <c r="N160" s="389"/>
      <c r="O160" s="389"/>
      <c r="P160" s="389"/>
      <c r="Q160" s="389"/>
      <c r="R160" s="389"/>
      <c r="S160" s="389"/>
      <c r="T160" s="389"/>
      <c r="U160" s="389"/>
      <c r="V160" s="389"/>
      <c r="W160" s="389"/>
      <c r="X160" s="389"/>
      <c r="Y160" s="389"/>
      <c r="Z160" s="389"/>
      <c r="AA160" s="389"/>
      <c r="AB160" s="389"/>
    </row>
    <row r="161" spans="1:28" ht="18" customHeight="1" x14ac:dyDescent="0.2">
      <c r="A161" s="392"/>
      <c r="B161" s="42" t="s">
        <v>1266</v>
      </c>
      <c r="C161" s="393"/>
      <c r="D161" s="389"/>
      <c r="E161" s="389"/>
      <c r="F161" s="389"/>
      <c r="G161" s="389"/>
      <c r="H161" s="389"/>
      <c r="I161" s="389"/>
      <c r="J161" s="389"/>
      <c r="K161" s="389"/>
      <c r="L161" s="389"/>
      <c r="M161" s="389"/>
      <c r="N161" s="389"/>
      <c r="O161" s="389"/>
      <c r="P161" s="389"/>
      <c r="Q161" s="389"/>
      <c r="R161" s="389"/>
      <c r="S161" s="389"/>
      <c r="T161" s="389"/>
      <c r="U161" s="389"/>
      <c r="V161" s="389"/>
      <c r="W161" s="389"/>
      <c r="X161" s="389"/>
      <c r="Y161" s="389"/>
      <c r="Z161" s="389"/>
      <c r="AA161" s="389"/>
      <c r="AB161" s="389"/>
    </row>
    <row r="162" spans="1:28" ht="18" customHeight="1" x14ac:dyDescent="0.2">
      <c r="A162" s="392"/>
      <c r="B162" s="42" t="s">
        <v>1267</v>
      </c>
      <c r="C162" s="393"/>
      <c r="D162" s="389"/>
      <c r="E162" s="389"/>
      <c r="F162" s="389"/>
      <c r="G162" s="389"/>
      <c r="H162" s="389"/>
      <c r="I162" s="389"/>
      <c r="J162" s="389"/>
      <c r="K162" s="389"/>
      <c r="L162" s="389"/>
      <c r="M162" s="389"/>
      <c r="N162" s="389"/>
      <c r="O162" s="389"/>
      <c r="P162" s="389"/>
      <c r="Q162" s="389"/>
      <c r="R162" s="389"/>
      <c r="S162" s="389"/>
      <c r="T162" s="389"/>
      <c r="U162" s="389"/>
      <c r="V162" s="389"/>
      <c r="W162" s="389"/>
      <c r="X162" s="389"/>
      <c r="Y162" s="389"/>
      <c r="Z162" s="389"/>
      <c r="AA162" s="389"/>
      <c r="AB162" s="389"/>
    </row>
    <row r="163" spans="1:28" ht="18" customHeight="1" x14ac:dyDescent="0.2">
      <c r="A163" s="392"/>
      <c r="B163" s="42" t="s">
        <v>1268</v>
      </c>
      <c r="C163" s="393"/>
      <c r="D163" s="389"/>
      <c r="E163" s="389"/>
      <c r="F163" s="389"/>
      <c r="G163" s="389"/>
      <c r="H163" s="389"/>
      <c r="I163" s="389"/>
      <c r="J163" s="389"/>
      <c r="K163" s="389"/>
      <c r="L163" s="389"/>
      <c r="M163" s="389"/>
      <c r="N163" s="389"/>
      <c r="O163" s="389"/>
      <c r="P163" s="389"/>
      <c r="Q163" s="389"/>
      <c r="R163" s="389"/>
      <c r="S163" s="389"/>
      <c r="T163" s="389"/>
      <c r="U163" s="389"/>
      <c r="V163" s="389"/>
      <c r="W163" s="389"/>
      <c r="X163" s="389"/>
      <c r="Y163" s="389"/>
      <c r="Z163" s="389"/>
      <c r="AA163" s="389"/>
      <c r="AB163" s="389"/>
    </row>
    <row r="164" spans="1:28" ht="18" customHeight="1" x14ac:dyDescent="0.2">
      <c r="A164" s="392"/>
      <c r="B164" s="42" t="s">
        <v>1269</v>
      </c>
      <c r="C164" s="393"/>
      <c r="D164" s="389"/>
      <c r="E164" s="389"/>
      <c r="F164" s="389"/>
      <c r="G164" s="389"/>
      <c r="H164" s="389"/>
      <c r="I164" s="389"/>
      <c r="J164" s="389"/>
      <c r="K164" s="389"/>
      <c r="L164" s="389"/>
      <c r="M164" s="389"/>
      <c r="N164" s="389"/>
      <c r="O164" s="389"/>
      <c r="P164" s="389"/>
      <c r="Q164" s="389"/>
      <c r="R164" s="389"/>
      <c r="S164" s="389"/>
      <c r="T164" s="389"/>
      <c r="U164" s="389"/>
      <c r="V164" s="389"/>
      <c r="W164" s="389"/>
      <c r="X164" s="389"/>
      <c r="Y164" s="389"/>
      <c r="Z164" s="389"/>
      <c r="AA164" s="389"/>
      <c r="AB164" s="389"/>
    </row>
    <row r="165" spans="1:28" ht="18" customHeight="1" x14ac:dyDescent="0.2">
      <c r="A165" s="392"/>
      <c r="B165" s="42" t="s">
        <v>1270</v>
      </c>
      <c r="C165" s="393"/>
      <c r="D165" s="389"/>
      <c r="E165" s="389"/>
      <c r="F165" s="389"/>
      <c r="G165" s="389"/>
      <c r="H165" s="389"/>
      <c r="I165" s="389"/>
      <c r="J165" s="389"/>
      <c r="K165" s="389"/>
      <c r="L165" s="389"/>
      <c r="M165" s="389"/>
      <c r="N165" s="389"/>
      <c r="O165" s="389"/>
      <c r="P165" s="389"/>
      <c r="Q165" s="389"/>
      <c r="R165" s="389"/>
      <c r="S165" s="389"/>
      <c r="T165" s="389"/>
      <c r="U165" s="389"/>
      <c r="V165" s="389"/>
      <c r="W165" s="389"/>
      <c r="X165" s="389"/>
      <c r="Y165" s="389"/>
      <c r="Z165" s="389"/>
      <c r="AA165" s="389"/>
      <c r="AB165" s="389"/>
    </row>
    <row r="166" spans="1:28" ht="18" customHeight="1" x14ac:dyDescent="0.2">
      <c r="A166" s="392"/>
      <c r="B166" s="42" t="s">
        <v>1271</v>
      </c>
      <c r="C166" s="393"/>
      <c r="D166" s="389"/>
      <c r="E166" s="389"/>
      <c r="F166" s="389"/>
      <c r="G166" s="389"/>
      <c r="H166" s="389"/>
      <c r="I166" s="389"/>
      <c r="J166" s="389"/>
      <c r="K166" s="389"/>
      <c r="L166" s="389"/>
      <c r="M166" s="389"/>
      <c r="N166" s="389"/>
      <c r="O166" s="389"/>
      <c r="P166" s="389"/>
      <c r="Q166" s="389"/>
      <c r="R166" s="389"/>
      <c r="S166" s="389"/>
      <c r="T166" s="389"/>
      <c r="U166" s="389"/>
      <c r="V166" s="389"/>
      <c r="W166" s="389"/>
      <c r="X166" s="389"/>
      <c r="Y166" s="389"/>
      <c r="Z166" s="389"/>
      <c r="AA166" s="389"/>
      <c r="AB166" s="389"/>
    </row>
    <row r="167" spans="1:28" ht="18" customHeight="1" x14ac:dyDescent="0.2">
      <c r="A167" s="392"/>
      <c r="B167" s="42" t="s">
        <v>1272</v>
      </c>
      <c r="C167" s="393"/>
      <c r="D167" s="389"/>
      <c r="E167" s="389"/>
      <c r="F167" s="389"/>
      <c r="G167" s="389"/>
      <c r="H167" s="389"/>
      <c r="I167" s="389"/>
      <c r="J167" s="389"/>
      <c r="K167" s="389"/>
      <c r="L167" s="389"/>
      <c r="M167" s="389"/>
      <c r="N167" s="389"/>
      <c r="O167" s="389"/>
      <c r="P167" s="389"/>
      <c r="Q167" s="389"/>
      <c r="R167" s="389"/>
      <c r="S167" s="389"/>
      <c r="T167" s="389"/>
      <c r="U167" s="389"/>
      <c r="V167" s="389"/>
      <c r="W167" s="389"/>
      <c r="X167" s="389"/>
      <c r="Y167" s="389"/>
      <c r="Z167" s="389"/>
      <c r="AA167" s="389"/>
      <c r="AB167" s="389"/>
    </row>
    <row r="168" spans="1:28" ht="18" customHeight="1" x14ac:dyDescent="0.2">
      <c r="A168" s="392"/>
      <c r="B168" s="42" t="s">
        <v>1273</v>
      </c>
      <c r="C168" s="393"/>
      <c r="D168" s="389"/>
      <c r="E168" s="389"/>
      <c r="F168" s="389"/>
      <c r="G168" s="389"/>
      <c r="H168" s="389"/>
      <c r="I168" s="389"/>
      <c r="J168" s="389"/>
      <c r="K168" s="389"/>
      <c r="L168" s="389"/>
      <c r="M168" s="389"/>
      <c r="N168" s="389"/>
      <c r="O168" s="389"/>
      <c r="P168" s="389"/>
      <c r="Q168" s="389"/>
      <c r="R168" s="389"/>
      <c r="S168" s="389"/>
      <c r="T168" s="389"/>
      <c r="U168" s="389"/>
      <c r="V168" s="389"/>
      <c r="W168" s="389"/>
      <c r="X168" s="389"/>
      <c r="Y168" s="389"/>
      <c r="Z168" s="389"/>
      <c r="AA168" s="389"/>
      <c r="AB168" s="389"/>
    </row>
    <row r="169" spans="1:28" ht="18" customHeight="1" x14ac:dyDescent="0.2">
      <c r="A169" s="392"/>
      <c r="B169" s="42" t="s">
        <v>1274</v>
      </c>
      <c r="C169" s="393"/>
      <c r="D169" s="389"/>
      <c r="E169" s="389"/>
      <c r="F169" s="389"/>
      <c r="G169" s="389"/>
      <c r="H169" s="389"/>
      <c r="I169" s="389"/>
      <c r="J169" s="389"/>
      <c r="K169" s="389"/>
      <c r="L169" s="389"/>
      <c r="M169" s="389"/>
      <c r="N169" s="389"/>
      <c r="O169" s="389"/>
      <c r="P169" s="389"/>
      <c r="Q169" s="389"/>
      <c r="R169" s="389"/>
      <c r="S169" s="389"/>
      <c r="T169" s="389"/>
      <c r="U169" s="389"/>
      <c r="V169" s="389"/>
      <c r="W169" s="389"/>
      <c r="X169" s="389"/>
      <c r="Y169" s="389"/>
      <c r="Z169" s="389"/>
      <c r="AA169" s="389"/>
      <c r="AB169" s="389"/>
    </row>
    <row r="170" spans="1:28" ht="18" customHeight="1" x14ac:dyDescent="0.2">
      <c r="A170" s="392"/>
      <c r="B170" s="42" t="s">
        <v>1275</v>
      </c>
      <c r="C170" s="393"/>
      <c r="D170" s="389"/>
      <c r="E170" s="389"/>
      <c r="F170" s="389"/>
      <c r="G170" s="389"/>
      <c r="H170" s="389"/>
      <c r="I170" s="389"/>
      <c r="J170" s="389"/>
      <c r="K170" s="389"/>
      <c r="L170" s="389"/>
      <c r="M170" s="389"/>
      <c r="N170" s="389"/>
      <c r="O170" s="389"/>
      <c r="P170" s="389"/>
      <c r="Q170" s="389"/>
      <c r="R170" s="389"/>
      <c r="S170" s="389"/>
      <c r="T170" s="389"/>
      <c r="U170" s="389"/>
      <c r="V170" s="389"/>
      <c r="W170" s="389"/>
      <c r="X170" s="389"/>
      <c r="Y170" s="389"/>
      <c r="Z170" s="389"/>
      <c r="AA170" s="389"/>
      <c r="AB170" s="389"/>
    </row>
    <row r="171" spans="1:28" ht="16.149999999999999" customHeight="1" x14ac:dyDescent="0.2">
      <c r="A171" s="392"/>
      <c r="B171" s="42" t="s">
        <v>1276</v>
      </c>
      <c r="C171" s="393"/>
      <c r="D171" s="389"/>
      <c r="E171" s="389"/>
      <c r="F171" s="389"/>
      <c r="G171" s="389"/>
      <c r="H171" s="389"/>
      <c r="I171" s="389"/>
      <c r="J171" s="389"/>
      <c r="K171" s="389"/>
      <c r="L171" s="389"/>
      <c r="M171" s="389"/>
      <c r="N171" s="389"/>
      <c r="O171" s="389"/>
      <c r="P171" s="389"/>
      <c r="Q171" s="389"/>
      <c r="R171" s="389"/>
      <c r="S171" s="389"/>
      <c r="T171" s="389"/>
      <c r="U171" s="389"/>
      <c r="V171" s="389"/>
      <c r="W171" s="389"/>
      <c r="X171" s="389"/>
      <c r="Y171" s="389"/>
      <c r="Z171" s="389"/>
      <c r="AA171" s="389"/>
      <c r="AB171" s="389"/>
    </row>
    <row r="172" spans="1:28" ht="16.149999999999999" customHeight="1" x14ac:dyDescent="0.2">
      <c r="A172" s="392"/>
      <c r="B172" s="42" t="s">
        <v>1277</v>
      </c>
      <c r="C172" s="393"/>
      <c r="D172" s="389"/>
      <c r="E172" s="389"/>
      <c r="F172" s="389"/>
      <c r="G172" s="389"/>
      <c r="H172" s="389"/>
      <c r="I172" s="389"/>
      <c r="J172" s="389"/>
      <c r="K172" s="389"/>
      <c r="L172" s="389"/>
      <c r="M172" s="389"/>
      <c r="N172" s="389"/>
      <c r="O172" s="389"/>
      <c r="P172" s="389"/>
      <c r="Q172" s="389"/>
      <c r="R172" s="389"/>
      <c r="S172" s="389"/>
      <c r="T172" s="389"/>
      <c r="U172" s="389"/>
      <c r="V172" s="389"/>
      <c r="W172" s="389"/>
      <c r="X172" s="389"/>
      <c r="Y172" s="389"/>
      <c r="Z172" s="389"/>
      <c r="AA172" s="389"/>
      <c r="AB172" s="389"/>
    </row>
    <row r="173" spans="1:28" ht="16.149999999999999" customHeight="1" x14ac:dyDescent="0.2">
      <c r="A173" s="392"/>
      <c r="B173" s="42" t="s">
        <v>1278</v>
      </c>
      <c r="C173" s="393"/>
      <c r="D173" s="389"/>
      <c r="E173" s="389"/>
      <c r="F173" s="389"/>
      <c r="G173" s="389"/>
      <c r="H173" s="389"/>
      <c r="I173" s="389"/>
      <c r="J173" s="389"/>
      <c r="K173" s="389"/>
      <c r="L173" s="389"/>
      <c r="M173" s="389"/>
      <c r="N173" s="389"/>
      <c r="O173" s="389"/>
      <c r="P173" s="389"/>
      <c r="Q173" s="389"/>
      <c r="R173" s="389"/>
      <c r="S173" s="389"/>
      <c r="T173" s="389"/>
      <c r="U173" s="389"/>
      <c r="V173" s="389"/>
      <c r="W173" s="389"/>
      <c r="X173" s="389"/>
      <c r="Y173" s="389"/>
      <c r="Z173" s="389"/>
      <c r="AA173" s="389"/>
      <c r="AB173" s="389"/>
    </row>
    <row r="174" spans="1:28" ht="16.149999999999999" customHeight="1" x14ac:dyDescent="0.2">
      <c r="A174" s="392"/>
      <c r="B174" s="42" t="s">
        <v>1279</v>
      </c>
      <c r="C174" s="393"/>
      <c r="D174" s="389"/>
      <c r="E174" s="389"/>
      <c r="F174" s="389"/>
      <c r="G174" s="389"/>
      <c r="H174" s="389"/>
      <c r="I174" s="389"/>
      <c r="J174" s="389"/>
      <c r="K174" s="389"/>
      <c r="L174" s="389"/>
      <c r="M174" s="389"/>
      <c r="N174" s="389"/>
      <c r="O174" s="389"/>
      <c r="P174" s="389"/>
      <c r="Q174" s="389"/>
      <c r="R174" s="389"/>
      <c r="S174" s="389"/>
      <c r="T174" s="389"/>
      <c r="U174" s="389"/>
      <c r="V174" s="389"/>
      <c r="W174" s="389"/>
      <c r="X174" s="389"/>
      <c r="Y174" s="389"/>
      <c r="Z174" s="389"/>
      <c r="AA174" s="389"/>
      <c r="AB174" s="389"/>
    </row>
    <row r="175" spans="1:28" ht="16.149999999999999" customHeight="1" x14ac:dyDescent="0.2">
      <c r="A175" s="392"/>
      <c r="B175" s="42" t="s">
        <v>1280</v>
      </c>
      <c r="C175" s="393"/>
      <c r="D175" s="389"/>
      <c r="E175" s="389"/>
      <c r="F175" s="389"/>
      <c r="G175" s="389"/>
      <c r="H175" s="389"/>
      <c r="I175" s="389"/>
      <c r="J175" s="389"/>
      <c r="K175" s="389"/>
      <c r="L175" s="389"/>
      <c r="M175" s="389"/>
      <c r="N175" s="389"/>
      <c r="O175" s="389"/>
      <c r="P175" s="389"/>
      <c r="Q175" s="389"/>
      <c r="R175" s="389"/>
      <c r="S175" s="389"/>
      <c r="T175" s="389"/>
      <c r="U175" s="389"/>
      <c r="V175" s="389"/>
      <c r="W175" s="389"/>
      <c r="X175" s="389"/>
      <c r="Y175" s="389"/>
      <c r="Z175" s="389"/>
      <c r="AA175" s="389"/>
      <c r="AB175" s="389"/>
    </row>
    <row r="176" spans="1:28" ht="16.149999999999999" customHeight="1" x14ac:dyDescent="0.2">
      <c r="A176" s="392"/>
      <c r="B176" s="42" t="s">
        <v>1281</v>
      </c>
      <c r="C176" s="393"/>
      <c r="D176" s="389"/>
      <c r="E176" s="389"/>
      <c r="F176" s="389"/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89"/>
      <c r="R176" s="389"/>
      <c r="S176" s="389"/>
      <c r="T176" s="389"/>
      <c r="U176" s="389"/>
      <c r="V176" s="389"/>
      <c r="W176" s="389"/>
      <c r="X176" s="389"/>
      <c r="Y176" s="389"/>
      <c r="Z176" s="389"/>
      <c r="AA176" s="389"/>
      <c r="AB176" s="389"/>
    </row>
    <row r="177" spans="1:28" ht="16.149999999999999" customHeight="1" x14ac:dyDescent="0.2">
      <c r="A177" s="392"/>
      <c r="B177" s="42" t="s">
        <v>1282</v>
      </c>
      <c r="C177" s="393"/>
      <c r="D177" s="389"/>
      <c r="E177" s="389"/>
      <c r="F177" s="389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89"/>
      <c r="R177" s="389"/>
      <c r="S177" s="389"/>
      <c r="T177" s="389"/>
      <c r="U177" s="389"/>
      <c r="V177" s="389"/>
      <c r="W177" s="389"/>
      <c r="X177" s="389"/>
      <c r="Y177" s="389"/>
      <c r="Z177" s="389"/>
      <c r="AA177" s="389"/>
      <c r="AB177" s="389"/>
    </row>
    <row r="178" spans="1:28" ht="16.149999999999999" customHeight="1" x14ac:dyDescent="0.2">
      <c r="A178" s="392"/>
      <c r="B178" s="42" t="s">
        <v>1283</v>
      </c>
      <c r="C178" s="393"/>
      <c r="D178" s="389"/>
      <c r="E178" s="389"/>
      <c r="F178" s="389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89"/>
      <c r="R178" s="389"/>
      <c r="S178" s="389"/>
      <c r="T178" s="389"/>
      <c r="U178" s="389"/>
      <c r="V178" s="389"/>
      <c r="W178" s="389"/>
      <c r="X178" s="389"/>
      <c r="Y178" s="389"/>
      <c r="Z178" s="389"/>
      <c r="AA178" s="389"/>
      <c r="AB178" s="389"/>
    </row>
    <row r="179" spans="1:28" ht="16.149999999999999" customHeight="1" x14ac:dyDescent="0.2">
      <c r="A179" s="392"/>
      <c r="B179" s="42" t="s">
        <v>1284</v>
      </c>
      <c r="C179" s="393"/>
      <c r="D179" s="389"/>
      <c r="E179" s="389"/>
      <c r="F179" s="389"/>
      <c r="G179" s="389"/>
      <c r="H179" s="389"/>
      <c r="I179" s="389"/>
      <c r="J179" s="389"/>
      <c r="K179" s="389"/>
      <c r="L179" s="389"/>
      <c r="M179" s="389"/>
      <c r="N179" s="389"/>
      <c r="O179" s="389"/>
      <c r="P179" s="389"/>
      <c r="Q179" s="389"/>
      <c r="R179" s="389"/>
      <c r="S179" s="389"/>
      <c r="T179" s="389"/>
      <c r="U179" s="389"/>
      <c r="V179" s="389"/>
      <c r="W179" s="389"/>
      <c r="X179" s="389"/>
      <c r="Y179" s="389"/>
      <c r="Z179" s="389"/>
      <c r="AA179" s="389"/>
      <c r="AB179" s="389"/>
    </row>
    <row r="180" spans="1:28" ht="16.149999999999999" customHeight="1" x14ac:dyDescent="0.2">
      <c r="A180" s="392"/>
      <c r="B180" s="42" t="s">
        <v>1285</v>
      </c>
      <c r="C180" s="393"/>
      <c r="D180" s="389"/>
      <c r="E180" s="389"/>
      <c r="F180" s="389"/>
      <c r="G180" s="389"/>
      <c r="H180" s="389"/>
      <c r="I180" s="389"/>
      <c r="J180" s="389"/>
      <c r="K180" s="389"/>
      <c r="L180" s="389"/>
      <c r="M180" s="389"/>
      <c r="N180" s="389"/>
      <c r="O180" s="389"/>
      <c r="P180" s="389"/>
      <c r="Q180" s="389"/>
      <c r="R180" s="389"/>
      <c r="S180" s="389"/>
      <c r="T180" s="389"/>
      <c r="U180" s="389"/>
      <c r="V180" s="389"/>
      <c r="W180" s="389"/>
      <c r="X180" s="389"/>
      <c r="Y180" s="389"/>
      <c r="Z180" s="389"/>
      <c r="AA180" s="389"/>
      <c r="AB180" s="389"/>
    </row>
    <row r="181" spans="1:28" ht="16.149999999999999" customHeight="1" x14ac:dyDescent="0.2">
      <c r="A181" s="392"/>
      <c r="B181" s="42" t="s">
        <v>1286</v>
      </c>
      <c r="C181" s="393"/>
      <c r="D181" s="389"/>
      <c r="E181" s="389"/>
      <c r="F181" s="389"/>
      <c r="G181" s="389"/>
      <c r="H181" s="389"/>
      <c r="I181" s="389"/>
      <c r="J181" s="389"/>
      <c r="K181" s="389"/>
      <c r="L181" s="389"/>
      <c r="M181" s="389"/>
      <c r="N181" s="389"/>
      <c r="O181" s="389"/>
      <c r="P181" s="389"/>
      <c r="Q181" s="389"/>
      <c r="R181" s="389"/>
      <c r="S181" s="389"/>
      <c r="T181" s="389"/>
      <c r="U181" s="389"/>
      <c r="V181" s="389"/>
      <c r="W181" s="389"/>
      <c r="X181" s="389"/>
      <c r="Y181" s="389"/>
      <c r="Z181" s="389"/>
      <c r="AA181" s="389"/>
      <c r="AB181" s="389"/>
    </row>
    <row r="182" spans="1:28" ht="16.149999999999999" customHeight="1" x14ac:dyDescent="0.2">
      <c r="A182" s="392"/>
      <c r="B182" s="42" t="s">
        <v>1287</v>
      </c>
      <c r="C182" s="393"/>
      <c r="D182" s="389"/>
      <c r="E182" s="389"/>
      <c r="F182" s="389"/>
      <c r="G182" s="389"/>
      <c r="H182" s="389"/>
      <c r="I182" s="389"/>
      <c r="J182" s="389"/>
      <c r="K182" s="389"/>
      <c r="L182" s="389"/>
      <c r="M182" s="389"/>
      <c r="N182" s="389"/>
      <c r="O182" s="389"/>
      <c r="P182" s="389"/>
      <c r="Q182" s="389"/>
      <c r="R182" s="389"/>
      <c r="S182" s="389"/>
      <c r="T182" s="389"/>
      <c r="U182" s="389"/>
      <c r="V182" s="389"/>
      <c r="W182" s="389"/>
      <c r="X182" s="389"/>
      <c r="Y182" s="389"/>
      <c r="Z182" s="389"/>
      <c r="AA182" s="389"/>
      <c r="AB182" s="389"/>
    </row>
    <row r="183" spans="1:28" ht="16.149999999999999" customHeight="1" x14ac:dyDescent="0.2">
      <c r="A183" s="392"/>
      <c r="B183" s="42" t="s">
        <v>1288</v>
      </c>
      <c r="C183" s="393"/>
      <c r="D183" s="389"/>
      <c r="E183" s="389"/>
      <c r="F183" s="389"/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89"/>
      <c r="R183" s="389"/>
      <c r="S183" s="389"/>
      <c r="T183" s="389"/>
      <c r="U183" s="389"/>
      <c r="V183" s="389"/>
      <c r="W183" s="389"/>
      <c r="X183" s="389"/>
      <c r="Y183" s="389"/>
      <c r="Z183" s="389"/>
      <c r="AA183" s="389"/>
      <c r="AB183" s="389"/>
    </row>
    <row r="184" spans="1:28" ht="16.149999999999999" customHeight="1" x14ac:dyDescent="0.2">
      <c r="A184" s="392"/>
      <c r="B184" s="42" t="s">
        <v>1289</v>
      </c>
      <c r="C184" s="393"/>
      <c r="D184" s="389"/>
      <c r="E184" s="389"/>
      <c r="F184" s="389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89"/>
      <c r="R184" s="389"/>
      <c r="S184" s="389"/>
      <c r="T184" s="389"/>
      <c r="U184" s="389"/>
      <c r="V184" s="389"/>
      <c r="W184" s="389"/>
      <c r="X184" s="389"/>
      <c r="Y184" s="389"/>
      <c r="Z184" s="389"/>
      <c r="AA184" s="389"/>
      <c r="AB184" s="389"/>
    </row>
    <row r="185" spans="1:28" ht="16.149999999999999" customHeight="1" x14ac:dyDescent="0.2">
      <c r="A185" s="392"/>
      <c r="B185" s="42" t="s">
        <v>1290</v>
      </c>
      <c r="C185" s="393"/>
      <c r="D185" s="389"/>
      <c r="E185" s="389"/>
      <c r="F185" s="389"/>
      <c r="G185" s="389"/>
      <c r="H185" s="389"/>
      <c r="I185" s="389"/>
      <c r="J185" s="389"/>
      <c r="K185" s="389"/>
      <c r="L185" s="389"/>
      <c r="M185" s="389"/>
      <c r="N185" s="389"/>
      <c r="O185" s="389"/>
      <c r="P185" s="389"/>
      <c r="Q185" s="389"/>
      <c r="R185" s="389"/>
      <c r="S185" s="389"/>
      <c r="T185" s="389"/>
      <c r="U185" s="389"/>
      <c r="V185" s="389"/>
      <c r="W185" s="389"/>
      <c r="X185" s="389"/>
      <c r="Y185" s="389"/>
      <c r="Z185" s="389"/>
      <c r="AA185" s="389"/>
      <c r="AB185" s="389"/>
    </row>
    <row r="186" spans="1:28" ht="16.149999999999999" customHeight="1" x14ac:dyDescent="0.2">
      <c r="A186" s="392"/>
      <c r="B186" s="42" t="s">
        <v>1291</v>
      </c>
      <c r="C186" s="393"/>
      <c r="D186" s="389"/>
      <c r="E186" s="389"/>
      <c r="F186" s="389"/>
      <c r="G186" s="389"/>
      <c r="H186" s="389"/>
      <c r="I186" s="389"/>
      <c r="J186" s="389"/>
      <c r="K186" s="389"/>
      <c r="L186" s="389"/>
      <c r="M186" s="389"/>
      <c r="N186" s="389"/>
      <c r="O186" s="389"/>
      <c r="P186" s="389"/>
      <c r="Q186" s="389"/>
      <c r="R186" s="389"/>
      <c r="S186" s="389"/>
      <c r="T186" s="389"/>
      <c r="U186" s="389"/>
      <c r="V186" s="389"/>
      <c r="W186" s="389"/>
      <c r="X186" s="389"/>
      <c r="Y186" s="389"/>
      <c r="Z186" s="389"/>
      <c r="AA186" s="389"/>
      <c r="AB186" s="389"/>
    </row>
    <row r="187" spans="1:28" ht="16.149999999999999" customHeight="1" x14ac:dyDescent="0.2">
      <c r="A187" s="392"/>
      <c r="B187" s="42" t="s">
        <v>1292</v>
      </c>
      <c r="C187" s="393"/>
      <c r="D187" s="389"/>
      <c r="E187" s="389"/>
      <c r="F187" s="389"/>
      <c r="G187" s="389"/>
      <c r="H187" s="389"/>
      <c r="I187" s="389"/>
      <c r="J187" s="389"/>
      <c r="K187" s="389"/>
      <c r="L187" s="389"/>
      <c r="M187" s="389"/>
      <c r="N187" s="389"/>
      <c r="O187" s="389"/>
      <c r="P187" s="389"/>
      <c r="Q187" s="389"/>
      <c r="R187" s="389"/>
      <c r="S187" s="389"/>
      <c r="T187" s="389"/>
      <c r="U187" s="389"/>
      <c r="V187" s="389"/>
      <c r="W187" s="389"/>
      <c r="X187" s="389"/>
      <c r="Y187" s="389"/>
      <c r="Z187" s="389"/>
      <c r="AA187" s="389"/>
      <c r="AB187" s="389"/>
    </row>
    <row r="188" spans="1:28" ht="16.149999999999999" customHeight="1" x14ac:dyDescent="0.2">
      <c r="A188" s="392"/>
      <c r="B188" s="42" t="s">
        <v>1293</v>
      </c>
      <c r="C188" s="393"/>
      <c r="D188" s="389"/>
      <c r="E188" s="389"/>
      <c r="F188" s="389"/>
      <c r="G188" s="389"/>
      <c r="H188" s="389"/>
      <c r="I188" s="389"/>
      <c r="J188" s="389"/>
      <c r="K188" s="389"/>
      <c r="L188" s="389"/>
      <c r="M188" s="389"/>
      <c r="N188" s="389"/>
      <c r="O188" s="389"/>
      <c r="P188" s="389"/>
      <c r="Q188" s="389"/>
      <c r="R188" s="389"/>
      <c r="S188" s="389"/>
      <c r="T188" s="389"/>
      <c r="U188" s="389"/>
      <c r="V188" s="389"/>
      <c r="W188" s="389"/>
      <c r="X188" s="389"/>
      <c r="Y188" s="389"/>
      <c r="Z188" s="389"/>
      <c r="AA188" s="389"/>
      <c r="AB188" s="389"/>
    </row>
    <row r="189" spans="1:28" ht="16.149999999999999" customHeight="1" x14ac:dyDescent="0.2">
      <c r="A189" s="392"/>
      <c r="B189" s="42" t="s">
        <v>1294</v>
      </c>
      <c r="C189" s="393"/>
      <c r="D189" s="389"/>
      <c r="E189" s="389"/>
      <c r="F189" s="389"/>
      <c r="G189" s="389"/>
      <c r="H189" s="389"/>
      <c r="I189" s="389"/>
      <c r="J189" s="389"/>
      <c r="K189" s="389"/>
      <c r="L189" s="389"/>
      <c r="M189" s="389"/>
      <c r="N189" s="389"/>
      <c r="O189" s="389"/>
      <c r="P189" s="389"/>
      <c r="Q189" s="389"/>
      <c r="R189" s="389"/>
      <c r="S189" s="389"/>
      <c r="T189" s="389"/>
      <c r="U189" s="389"/>
      <c r="V189" s="389"/>
      <c r="W189" s="389"/>
      <c r="X189" s="389"/>
      <c r="Y189" s="389"/>
      <c r="Z189" s="389"/>
      <c r="AA189" s="389"/>
      <c r="AB189" s="389"/>
    </row>
    <row r="190" spans="1:28" ht="16.149999999999999" customHeight="1" x14ac:dyDescent="0.2">
      <c r="A190" s="392"/>
      <c r="B190" s="42" t="s">
        <v>1295</v>
      </c>
      <c r="C190" s="393"/>
      <c r="D190" s="389"/>
      <c r="E190" s="389"/>
      <c r="F190" s="389"/>
      <c r="G190" s="389"/>
      <c r="H190" s="389"/>
      <c r="I190" s="389"/>
      <c r="J190" s="389"/>
      <c r="K190" s="389"/>
      <c r="L190" s="389"/>
      <c r="M190" s="389"/>
      <c r="N190" s="389"/>
      <c r="O190" s="389"/>
      <c r="P190" s="389"/>
      <c r="Q190" s="389"/>
      <c r="R190" s="389"/>
      <c r="S190" s="389"/>
      <c r="T190" s="389"/>
      <c r="U190" s="389"/>
      <c r="V190" s="389"/>
      <c r="W190" s="389"/>
      <c r="X190" s="389"/>
      <c r="Y190" s="389"/>
      <c r="Z190" s="389"/>
      <c r="AA190" s="389"/>
      <c r="AB190" s="389"/>
    </row>
    <row r="191" spans="1:28" ht="16.149999999999999" customHeight="1" x14ac:dyDescent="0.2">
      <c r="A191" s="392"/>
      <c r="B191" s="57" t="s">
        <v>1296</v>
      </c>
      <c r="C191" s="393"/>
      <c r="D191" s="389"/>
      <c r="E191" s="389"/>
      <c r="F191" s="389"/>
      <c r="G191" s="389"/>
      <c r="H191" s="389"/>
      <c r="I191" s="389"/>
      <c r="J191" s="389"/>
      <c r="K191" s="389"/>
      <c r="L191" s="389"/>
      <c r="M191" s="389"/>
      <c r="N191" s="389"/>
      <c r="O191" s="389"/>
      <c r="P191" s="389"/>
      <c r="Q191" s="389"/>
      <c r="R191" s="389"/>
      <c r="S191" s="389"/>
      <c r="T191" s="389"/>
      <c r="U191" s="389"/>
      <c r="V191" s="389"/>
      <c r="W191" s="389"/>
      <c r="X191" s="389"/>
      <c r="Y191" s="389"/>
      <c r="Z191" s="389"/>
      <c r="AA191" s="389"/>
      <c r="AB191" s="389"/>
    </row>
    <row r="192" spans="1:28" ht="16.149999999999999" customHeight="1" x14ac:dyDescent="0.2">
      <c r="A192" s="165"/>
      <c r="B192" s="42" t="s">
        <v>1297</v>
      </c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1"/>
    </row>
    <row r="193" spans="1:28" ht="16.149999999999999" customHeight="1" x14ac:dyDescent="0.2">
      <c r="A193" s="165"/>
      <c r="B193" s="42" t="s">
        <v>1298</v>
      </c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  <c r="AA193" s="141"/>
      <c r="AB193" s="141"/>
    </row>
    <row r="194" spans="1:28" ht="16.149999999999999" customHeight="1" x14ac:dyDescent="0.2">
      <c r="A194" s="165"/>
      <c r="B194" s="85" t="s">
        <v>1325</v>
      </c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  <c r="AA194" s="141"/>
      <c r="AB194" s="141"/>
    </row>
    <row r="195" spans="1:28" ht="16.149999999999999" customHeight="1" x14ac:dyDescent="0.2">
      <c r="A195" s="165"/>
      <c r="B195" s="42" t="s">
        <v>1299</v>
      </c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  <c r="AA195" s="141"/>
      <c r="AB195" s="141"/>
    </row>
    <row r="196" spans="1:28" ht="16.149999999999999" customHeight="1" x14ac:dyDescent="0.2">
      <c r="A196" s="165"/>
      <c r="B196" s="42" t="s">
        <v>1300</v>
      </c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  <c r="AA196" s="141"/>
      <c r="AB196" s="141"/>
    </row>
    <row r="197" spans="1:28" ht="16.149999999999999" customHeight="1" x14ac:dyDescent="0.2">
      <c r="A197" s="165"/>
      <c r="B197" s="42" t="s">
        <v>1301</v>
      </c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  <c r="AA197" s="141"/>
      <c r="AB197" s="141"/>
    </row>
    <row r="198" spans="1:28" ht="16.149999999999999" customHeight="1" x14ac:dyDescent="0.2">
      <c r="A198" s="165"/>
      <c r="B198" s="42" t="s">
        <v>1302</v>
      </c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  <c r="AA198" s="141"/>
      <c r="AB198" s="141"/>
    </row>
    <row r="199" spans="1:28" ht="16.149999999999999" customHeight="1" x14ac:dyDescent="0.2">
      <c r="A199" s="165"/>
      <c r="B199" s="42" t="s">
        <v>1303</v>
      </c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  <c r="AA199" s="141"/>
      <c r="AB199" s="141"/>
    </row>
    <row r="200" spans="1:28" ht="16.149999999999999" customHeight="1" x14ac:dyDescent="0.2">
      <c r="A200" s="165"/>
      <c r="B200" s="42" t="s">
        <v>1304</v>
      </c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  <c r="AA200" s="141"/>
      <c r="AB200" s="141"/>
    </row>
    <row r="201" spans="1:28" ht="16.149999999999999" customHeight="1" x14ac:dyDescent="0.2">
      <c r="A201" s="165"/>
      <c r="B201" s="42" t="s">
        <v>1305</v>
      </c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1"/>
      <c r="U201" s="141"/>
      <c r="V201" s="141"/>
      <c r="W201" s="141"/>
      <c r="X201" s="141"/>
      <c r="Y201" s="141"/>
      <c r="Z201" s="141"/>
      <c r="AA201" s="141"/>
      <c r="AB201" s="141"/>
    </row>
    <row r="202" spans="1:28" ht="16.149999999999999" customHeight="1" x14ac:dyDescent="0.2">
      <c r="A202" s="165"/>
      <c r="B202" s="42" t="s">
        <v>1306</v>
      </c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  <c r="AA202" s="141"/>
      <c r="AB202" s="141"/>
    </row>
    <row r="203" spans="1:28" ht="16.149999999999999" customHeight="1" x14ac:dyDescent="0.2">
      <c r="A203" s="165"/>
      <c r="B203" s="42" t="s">
        <v>1307</v>
      </c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  <c r="AA203" s="141"/>
      <c r="AB203" s="141"/>
    </row>
    <row r="204" spans="1:28" ht="16.149999999999999" customHeight="1" x14ac:dyDescent="0.2">
      <c r="A204" s="165"/>
      <c r="B204" s="42" t="s">
        <v>1308</v>
      </c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141"/>
      <c r="U204" s="141"/>
      <c r="V204" s="141"/>
      <c r="W204" s="141"/>
      <c r="X204" s="141"/>
      <c r="Y204" s="141"/>
      <c r="Z204" s="141"/>
      <c r="AA204" s="141"/>
      <c r="AB204" s="141"/>
    </row>
    <row r="205" spans="1:28" ht="16.149999999999999" customHeight="1" x14ac:dyDescent="0.2">
      <c r="A205" s="165"/>
      <c r="B205" s="42" t="s">
        <v>1309</v>
      </c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  <c r="AA205" s="141"/>
      <c r="AB205" s="141"/>
    </row>
    <row r="206" spans="1:28" ht="16.149999999999999" customHeight="1" x14ac:dyDescent="0.2">
      <c r="A206" s="165"/>
      <c r="B206" s="42" t="s">
        <v>1310</v>
      </c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141"/>
      <c r="U206" s="141"/>
      <c r="V206" s="141"/>
      <c r="W206" s="141"/>
      <c r="X206" s="141"/>
      <c r="Y206" s="141"/>
      <c r="Z206" s="141"/>
      <c r="AA206" s="141"/>
      <c r="AB206" s="141"/>
    </row>
    <row r="207" spans="1:28" ht="16.149999999999999" customHeight="1" x14ac:dyDescent="0.2">
      <c r="A207" s="165"/>
      <c r="B207" s="42" t="s">
        <v>1311</v>
      </c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41"/>
      <c r="AB207" s="141"/>
    </row>
    <row r="208" spans="1:28" ht="16.149999999999999" customHeight="1" x14ac:dyDescent="0.2">
      <c r="A208" s="165"/>
      <c r="B208" s="42" t="s">
        <v>1312</v>
      </c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  <c r="AA208" s="141"/>
      <c r="AB208" s="141"/>
    </row>
    <row r="209" spans="1:28" ht="35.450000000000003" customHeight="1" x14ac:dyDescent="0.2">
      <c r="A209" s="165"/>
      <c r="B209" s="42" t="s">
        <v>1313</v>
      </c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  <c r="V209" s="141"/>
      <c r="W209" s="141"/>
      <c r="X209" s="141"/>
      <c r="Y209" s="141"/>
      <c r="Z209" s="141"/>
      <c r="AA209" s="141"/>
      <c r="AB209" s="141"/>
    </row>
    <row r="210" spans="1:28" ht="16.149999999999999" customHeight="1" x14ac:dyDescent="0.2">
      <c r="A210" s="165"/>
      <c r="B210" s="42" t="s">
        <v>1314</v>
      </c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141"/>
      <c r="U210" s="141"/>
      <c r="V210" s="141"/>
      <c r="W210" s="141"/>
      <c r="X210" s="141"/>
      <c r="Y210" s="141"/>
      <c r="Z210" s="141"/>
      <c r="AA210" s="141"/>
      <c r="AB210" s="141"/>
    </row>
    <row r="211" spans="1:28" ht="16.149999999999999" customHeight="1" x14ac:dyDescent="0.2">
      <c r="A211" s="165"/>
      <c r="B211" s="42" t="s">
        <v>1315</v>
      </c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  <c r="V211" s="141"/>
      <c r="W211" s="141"/>
      <c r="X211" s="141"/>
      <c r="Y211" s="141"/>
      <c r="Z211" s="141"/>
      <c r="AA211" s="141"/>
      <c r="AB211" s="141"/>
    </row>
    <row r="212" spans="1:28" ht="16.149999999999999" customHeight="1" x14ac:dyDescent="0.2">
      <c r="A212" s="165"/>
      <c r="B212" s="42" t="s">
        <v>1316</v>
      </c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141"/>
      <c r="U212" s="141"/>
      <c r="V212" s="141"/>
      <c r="W212" s="141"/>
      <c r="X212" s="141"/>
      <c r="Y212" s="141"/>
      <c r="Z212" s="141"/>
      <c r="AA212" s="141"/>
      <c r="AB212" s="141"/>
    </row>
    <row r="213" spans="1:28" ht="16.149999999999999" customHeight="1" x14ac:dyDescent="0.2">
      <c r="A213" s="165"/>
      <c r="B213" s="42" t="s">
        <v>1317</v>
      </c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  <c r="AA213" s="141"/>
      <c r="AB213" s="141"/>
    </row>
    <row r="214" spans="1:28" ht="16.149999999999999" customHeight="1" x14ac:dyDescent="0.2">
      <c r="A214" s="165"/>
      <c r="B214" s="42" t="s">
        <v>1318</v>
      </c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  <c r="AA214" s="141"/>
      <c r="AB214" s="141"/>
    </row>
    <row r="215" spans="1:28" ht="16.149999999999999" customHeight="1" x14ac:dyDescent="0.2">
      <c r="A215" s="165"/>
      <c r="B215" s="42" t="s">
        <v>1319</v>
      </c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  <c r="AA215" s="141"/>
      <c r="AB215" s="141"/>
    </row>
    <row r="216" spans="1:28" ht="16.149999999999999" customHeight="1" x14ac:dyDescent="0.2">
      <c r="A216" s="165"/>
      <c r="B216" s="42" t="s">
        <v>1320</v>
      </c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  <c r="W216" s="141"/>
      <c r="X216" s="141"/>
      <c r="Y216" s="141"/>
      <c r="Z216" s="141"/>
      <c r="AA216" s="141"/>
      <c r="AB216" s="141"/>
    </row>
    <row r="217" spans="1:28" ht="16.149999999999999" customHeight="1" x14ac:dyDescent="0.2">
      <c r="A217" s="165"/>
      <c r="B217" s="42" t="s">
        <v>1321</v>
      </c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  <c r="AA217" s="141"/>
      <c r="AB217" s="141"/>
    </row>
    <row r="218" spans="1:28" ht="16.149999999999999" customHeight="1" x14ac:dyDescent="0.2">
      <c r="A218" s="165"/>
      <c r="B218" s="42" t="s">
        <v>1322</v>
      </c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  <c r="V218" s="141"/>
      <c r="W218" s="141"/>
      <c r="X218" s="141"/>
      <c r="Y218" s="141"/>
      <c r="Z218" s="141"/>
      <c r="AA218" s="141"/>
      <c r="AB218" s="141"/>
    </row>
    <row r="219" spans="1:28" ht="16.149999999999999" customHeight="1" x14ac:dyDescent="0.2">
      <c r="A219" s="165"/>
      <c r="B219" s="42" t="s">
        <v>1323</v>
      </c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  <c r="AA219" s="141"/>
      <c r="AB219" s="141"/>
    </row>
    <row r="220" spans="1:28" ht="16.149999999999999" customHeight="1" x14ac:dyDescent="0.2">
      <c r="A220" s="167"/>
      <c r="B220" s="57" t="s">
        <v>1324</v>
      </c>
      <c r="C220" s="166"/>
      <c r="D220" s="166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  <c r="S220" s="166"/>
      <c r="T220" s="166"/>
      <c r="U220" s="166"/>
      <c r="V220" s="166"/>
      <c r="W220" s="166"/>
      <c r="X220" s="166"/>
      <c r="Y220" s="166"/>
      <c r="Z220" s="166"/>
      <c r="AA220" s="166"/>
      <c r="AB220" s="166"/>
    </row>
    <row r="221" spans="1:28" ht="31.15" customHeight="1" x14ac:dyDescent="0.2">
      <c r="A221" s="401">
        <v>8</v>
      </c>
      <c r="B221" s="42" t="s">
        <v>805</v>
      </c>
      <c r="C221" s="390">
        <f>D221+E221+F221+G221</f>
        <v>0</v>
      </c>
      <c r="D221" s="398">
        <v>0</v>
      </c>
      <c r="E221" s="53">
        <v>0</v>
      </c>
      <c r="F221" s="53">
        <v>0</v>
      </c>
      <c r="G221" s="53">
        <v>0</v>
      </c>
      <c r="H221" s="390">
        <f>I221+J221+K221+L221</f>
        <v>1417</v>
      </c>
      <c r="I221" s="398">
        <v>1417</v>
      </c>
      <c r="J221" s="53">
        <v>0</v>
      </c>
      <c r="K221" s="53">
        <v>0</v>
      </c>
      <c r="L221" s="53">
        <v>0</v>
      </c>
      <c r="M221" s="390">
        <f>N221</f>
        <v>1417</v>
      </c>
      <c r="N221" s="398">
        <v>1417</v>
      </c>
      <c r="O221" s="53">
        <v>0</v>
      </c>
      <c r="P221" s="53">
        <v>0</v>
      </c>
      <c r="Q221" s="53">
        <v>0</v>
      </c>
      <c r="R221" s="398">
        <v>0</v>
      </c>
      <c r="S221" s="398">
        <v>0</v>
      </c>
      <c r="T221" s="53">
        <v>0</v>
      </c>
      <c r="U221" s="53">
        <v>0</v>
      </c>
      <c r="V221" s="53">
        <v>0</v>
      </c>
      <c r="W221" s="398">
        <v>0</v>
      </c>
      <c r="X221" s="398">
        <v>0</v>
      </c>
      <c r="Y221" s="53">
        <v>0</v>
      </c>
      <c r="Z221" s="53">
        <v>0</v>
      </c>
      <c r="AA221" s="53">
        <v>0</v>
      </c>
      <c r="AB221" s="390">
        <f>C221+H221+M221+R221+W221</f>
        <v>2834</v>
      </c>
    </row>
    <row r="222" spans="1:28" ht="18" customHeight="1" x14ac:dyDescent="0.2">
      <c r="A222" s="389"/>
      <c r="B222" s="85" t="s">
        <v>792</v>
      </c>
      <c r="C222" s="391"/>
      <c r="D222" s="399"/>
      <c r="E222" s="53"/>
      <c r="F222" s="53"/>
      <c r="G222" s="53"/>
      <c r="H222" s="391"/>
      <c r="I222" s="399"/>
      <c r="J222" s="53"/>
      <c r="K222" s="53"/>
      <c r="L222" s="53"/>
      <c r="M222" s="391"/>
      <c r="N222" s="399"/>
      <c r="O222" s="53"/>
      <c r="P222" s="53"/>
      <c r="Q222" s="53"/>
      <c r="R222" s="399"/>
      <c r="S222" s="399"/>
      <c r="T222" s="53"/>
      <c r="U222" s="53"/>
      <c r="V222" s="53"/>
      <c r="W222" s="399"/>
      <c r="X222" s="399"/>
      <c r="Y222" s="53"/>
      <c r="Z222" s="53"/>
      <c r="AA222" s="53"/>
      <c r="AB222" s="391"/>
    </row>
    <row r="223" spans="1:28" ht="18" customHeight="1" x14ac:dyDescent="0.2">
      <c r="A223" s="389"/>
      <c r="B223" s="42" t="s">
        <v>807</v>
      </c>
      <c r="C223" s="391"/>
      <c r="D223" s="399"/>
      <c r="E223" s="53"/>
      <c r="F223" s="53"/>
      <c r="G223" s="53"/>
      <c r="H223" s="391"/>
      <c r="I223" s="399"/>
      <c r="J223" s="53"/>
      <c r="K223" s="53"/>
      <c r="L223" s="53"/>
      <c r="M223" s="391"/>
      <c r="N223" s="399"/>
      <c r="O223" s="53"/>
      <c r="P223" s="53"/>
      <c r="Q223" s="53"/>
      <c r="R223" s="399"/>
      <c r="S223" s="399"/>
      <c r="T223" s="53"/>
      <c r="U223" s="53"/>
      <c r="V223" s="53"/>
      <c r="W223" s="399"/>
      <c r="X223" s="399"/>
      <c r="Y223" s="53"/>
      <c r="Z223" s="53"/>
      <c r="AA223" s="53"/>
      <c r="AB223" s="391"/>
    </row>
    <row r="224" spans="1:28" ht="18" customHeight="1" x14ac:dyDescent="0.2">
      <c r="A224" s="389"/>
      <c r="B224" s="42" t="s">
        <v>1358</v>
      </c>
      <c r="C224" s="391"/>
      <c r="D224" s="399"/>
      <c r="E224" s="53"/>
      <c r="F224" s="53"/>
      <c r="G224" s="53"/>
      <c r="H224" s="391"/>
      <c r="I224" s="399"/>
      <c r="J224" s="53"/>
      <c r="K224" s="53"/>
      <c r="L224" s="53"/>
      <c r="M224" s="391"/>
      <c r="N224" s="399"/>
      <c r="O224" s="53"/>
      <c r="P224" s="53"/>
      <c r="Q224" s="53"/>
      <c r="R224" s="399"/>
      <c r="S224" s="399"/>
      <c r="T224" s="53"/>
      <c r="U224" s="53"/>
      <c r="V224" s="53"/>
      <c r="W224" s="399"/>
      <c r="X224" s="399"/>
      <c r="Y224" s="53"/>
      <c r="Z224" s="53"/>
      <c r="AA224" s="53"/>
      <c r="AB224" s="391"/>
    </row>
    <row r="225" spans="1:28" ht="18" customHeight="1" x14ac:dyDescent="0.2">
      <c r="A225" s="389"/>
      <c r="B225" s="42" t="s">
        <v>1359</v>
      </c>
      <c r="C225" s="391"/>
      <c r="D225" s="399"/>
      <c r="E225" s="53"/>
      <c r="F225" s="53"/>
      <c r="G225" s="53"/>
      <c r="H225" s="391"/>
      <c r="I225" s="399"/>
      <c r="J225" s="53"/>
      <c r="K225" s="53"/>
      <c r="L225" s="53"/>
      <c r="M225" s="391"/>
      <c r="N225" s="399"/>
      <c r="O225" s="53"/>
      <c r="P225" s="53"/>
      <c r="Q225" s="53"/>
      <c r="R225" s="399"/>
      <c r="S225" s="399"/>
      <c r="T225" s="53"/>
      <c r="U225" s="53"/>
      <c r="V225" s="53"/>
      <c r="W225" s="399"/>
      <c r="X225" s="399"/>
      <c r="Y225" s="53"/>
      <c r="Z225" s="53"/>
      <c r="AA225" s="53"/>
      <c r="AB225" s="391"/>
    </row>
    <row r="226" spans="1:28" ht="18" customHeight="1" x14ac:dyDescent="0.2">
      <c r="A226" s="389"/>
      <c r="B226" s="42" t="s">
        <v>820</v>
      </c>
      <c r="C226" s="391"/>
      <c r="D226" s="399"/>
      <c r="E226" s="53"/>
      <c r="F226" s="53"/>
      <c r="G226" s="53"/>
      <c r="H226" s="391"/>
      <c r="I226" s="399"/>
      <c r="J226" s="53"/>
      <c r="K226" s="53"/>
      <c r="L226" s="53"/>
      <c r="M226" s="391"/>
      <c r="N226" s="399"/>
      <c r="O226" s="53"/>
      <c r="P226" s="53"/>
      <c r="Q226" s="53"/>
      <c r="R226" s="399"/>
      <c r="S226" s="399"/>
      <c r="T226" s="53"/>
      <c r="U226" s="53"/>
      <c r="V226" s="53"/>
      <c r="W226" s="399"/>
      <c r="X226" s="399"/>
      <c r="Y226" s="53"/>
      <c r="Z226" s="53"/>
      <c r="AA226" s="53"/>
      <c r="AB226" s="391"/>
    </row>
    <row r="227" spans="1:28" ht="18" customHeight="1" x14ac:dyDescent="0.2">
      <c r="A227" s="389"/>
      <c r="B227" s="42" t="s">
        <v>808</v>
      </c>
      <c r="C227" s="391"/>
      <c r="D227" s="399"/>
      <c r="E227" s="53"/>
      <c r="F227" s="53"/>
      <c r="G227" s="53"/>
      <c r="H227" s="391"/>
      <c r="I227" s="399"/>
      <c r="J227" s="53"/>
      <c r="K227" s="53"/>
      <c r="L227" s="53"/>
      <c r="M227" s="391"/>
      <c r="N227" s="399"/>
      <c r="O227" s="53"/>
      <c r="P227" s="53"/>
      <c r="Q227" s="53"/>
      <c r="R227" s="399"/>
      <c r="S227" s="399"/>
      <c r="T227" s="53"/>
      <c r="U227" s="53"/>
      <c r="V227" s="53"/>
      <c r="W227" s="399"/>
      <c r="X227" s="399"/>
      <c r="Y227" s="53"/>
      <c r="Z227" s="53"/>
      <c r="AA227" s="53"/>
      <c r="AB227" s="391"/>
    </row>
    <row r="228" spans="1:28" ht="18" customHeight="1" x14ac:dyDescent="0.2">
      <c r="A228" s="389"/>
      <c r="B228" s="42" t="s">
        <v>821</v>
      </c>
      <c r="C228" s="391"/>
      <c r="D228" s="399"/>
      <c r="E228" s="53"/>
      <c r="F228" s="53"/>
      <c r="G228" s="53"/>
      <c r="H228" s="391"/>
      <c r="I228" s="399"/>
      <c r="J228" s="53"/>
      <c r="K228" s="53"/>
      <c r="L228" s="53"/>
      <c r="M228" s="391"/>
      <c r="N228" s="399"/>
      <c r="O228" s="53"/>
      <c r="P228" s="53"/>
      <c r="Q228" s="53"/>
      <c r="R228" s="399"/>
      <c r="S228" s="399"/>
      <c r="T228" s="53"/>
      <c r="U228" s="53"/>
      <c r="V228" s="53"/>
      <c r="W228" s="399"/>
      <c r="X228" s="399"/>
      <c r="Y228" s="53"/>
      <c r="Z228" s="53"/>
      <c r="AA228" s="53"/>
      <c r="AB228" s="391"/>
    </row>
    <row r="229" spans="1:28" ht="18" customHeight="1" x14ac:dyDescent="0.2">
      <c r="A229" s="389"/>
      <c r="B229" s="42" t="s">
        <v>809</v>
      </c>
      <c r="C229" s="391"/>
      <c r="D229" s="399"/>
      <c r="E229" s="53"/>
      <c r="F229" s="53"/>
      <c r="G229" s="53"/>
      <c r="H229" s="391"/>
      <c r="I229" s="399"/>
      <c r="J229" s="53"/>
      <c r="K229" s="53"/>
      <c r="L229" s="53"/>
      <c r="M229" s="391"/>
      <c r="N229" s="399"/>
      <c r="O229" s="53"/>
      <c r="P229" s="53"/>
      <c r="Q229" s="53"/>
      <c r="R229" s="399"/>
      <c r="S229" s="399"/>
      <c r="T229" s="53"/>
      <c r="U229" s="53"/>
      <c r="V229" s="53"/>
      <c r="W229" s="399"/>
      <c r="X229" s="399"/>
      <c r="Y229" s="53"/>
      <c r="Z229" s="53"/>
      <c r="AA229" s="53"/>
      <c r="AB229" s="391"/>
    </row>
    <row r="230" spans="1:28" ht="18" customHeight="1" x14ac:dyDescent="0.2">
      <c r="A230" s="392"/>
      <c r="B230" s="42" t="s">
        <v>822</v>
      </c>
      <c r="C230" s="397"/>
      <c r="D230" s="399"/>
      <c r="E230" s="53"/>
      <c r="F230" s="53"/>
      <c r="G230" s="53"/>
      <c r="H230" s="391"/>
      <c r="I230" s="399"/>
      <c r="J230" s="53"/>
      <c r="K230" s="53"/>
      <c r="L230" s="53"/>
      <c r="M230" s="391"/>
      <c r="N230" s="399"/>
      <c r="O230" s="53"/>
      <c r="P230" s="53"/>
      <c r="Q230" s="53"/>
      <c r="R230" s="399"/>
      <c r="S230" s="399"/>
      <c r="T230" s="53"/>
      <c r="U230" s="53"/>
      <c r="V230" s="53"/>
      <c r="W230" s="399"/>
      <c r="X230" s="399"/>
      <c r="Y230" s="53"/>
      <c r="Z230" s="53"/>
      <c r="AA230" s="53"/>
      <c r="AB230" s="391"/>
    </row>
    <row r="231" spans="1:28" ht="18" customHeight="1" x14ac:dyDescent="0.2">
      <c r="A231" s="392"/>
      <c r="B231" s="42" t="s">
        <v>1360</v>
      </c>
      <c r="C231" s="397"/>
      <c r="D231" s="399"/>
      <c r="E231" s="53"/>
      <c r="F231" s="53"/>
      <c r="G231" s="53"/>
      <c r="H231" s="391"/>
      <c r="I231" s="399"/>
      <c r="J231" s="53"/>
      <c r="K231" s="53"/>
      <c r="L231" s="53"/>
      <c r="M231" s="391"/>
      <c r="N231" s="399"/>
      <c r="O231" s="53"/>
      <c r="P231" s="53"/>
      <c r="Q231" s="53"/>
      <c r="R231" s="399"/>
      <c r="S231" s="399"/>
      <c r="T231" s="53"/>
      <c r="U231" s="53"/>
      <c r="V231" s="53"/>
      <c r="W231" s="399"/>
      <c r="X231" s="399"/>
      <c r="Y231" s="53"/>
      <c r="Z231" s="53"/>
      <c r="AA231" s="53"/>
      <c r="AB231" s="391"/>
    </row>
    <row r="232" spans="1:28" ht="18" customHeight="1" x14ac:dyDescent="0.2">
      <c r="A232" s="389"/>
      <c r="B232" s="42" t="s">
        <v>1361</v>
      </c>
      <c r="C232" s="391"/>
      <c r="D232" s="399"/>
      <c r="E232" s="53"/>
      <c r="F232" s="53"/>
      <c r="G232" s="53"/>
      <c r="H232" s="391"/>
      <c r="I232" s="399"/>
      <c r="J232" s="53"/>
      <c r="K232" s="53"/>
      <c r="L232" s="53"/>
      <c r="M232" s="391"/>
      <c r="N232" s="399"/>
      <c r="O232" s="53"/>
      <c r="P232" s="53"/>
      <c r="Q232" s="53"/>
      <c r="R232" s="399"/>
      <c r="S232" s="399"/>
      <c r="T232" s="53"/>
      <c r="U232" s="53"/>
      <c r="V232" s="53"/>
      <c r="W232" s="399"/>
      <c r="X232" s="399"/>
      <c r="Y232" s="53"/>
      <c r="Z232" s="53"/>
      <c r="AA232" s="53"/>
      <c r="AB232" s="391"/>
    </row>
    <row r="233" spans="1:28" ht="18" customHeight="1" x14ac:dyDescent="0.2">
      <c r="A233" s="389"/>
      <c r="B233" s="42" t="s">
        <v>1362</v>
      </c>
      <c r="C233" s="391"/>
      <c r="D233" s="399"/>
      <c r="E233" s="53"/>
      <c r="F233" s="53"/>
      <c r="G233" s="53"/>
      <c r="H233" s="391"/>
      <c r="I233" s="399"/>
      <c r="J233" s="53"/>
      <c r="K233" s="53"/>
      <c r="L233" s="53"/>
      <c r="M233" s="391"/>
      <c r="N233" s="399"/>
      <c r="O233" s="53"/>
      <c r="P233" s="53"/>
      <c r="Q233" s="53"/>
      <c r="R233" s="399"/>
      <c r="S233" s="399"/>
      <c r="T233" s="53"/>
      <c r="U233" s="53"/>
      <c r="V233" s="53"/>
      <c r="W233" s="399"/>
      <c r="X233" s="399"/>
      <c r="Y233" s="53"/>
      <c r="Z233" s="53"/>
      <c r="AA233" s="53"/>
      <c r="AB233" s="391"/>
    </row>
    <row r="234" spans="1:28" ht="18" customHeight="1" x14ac:dyDescent="0.2">
      <c r="A234" s="389"/>
      <c r="B234" s="161" t="s">
        <v>1325</v>
      </c>
      <c r="C234" s="391"/>
      <c r="D234" s="399"/>
      <c r="E234" s="53"/>
      <c r="F234" s="53"/>
      <c r="G234" s="53"/>
      <c r="H234" s="391"/>
      <c r="I234" s="399"/>
      <c r="J234" s="53"/>
      <c r="K234" s="53"/>
      <c r="L234" s="53"/>
      <c r="M234" s="391"/>
      <c r="N234" s="399"/>
      <c r="O234" s="53"/>
      <c r="P234" s="53"/>
      <c r="Q234" s="53"/>
      <c r="R234" s="399"/>
      <c r="S234" s="399"/>
      <c r="T234" s="53"/>
      <c r="U234" s="53"/>
      <c r="V234" s="53"/>
      <c r="W234" s="399"/>
      <c r="X234" s="399"/>
      <c r="Y234" s="53"/>
      <c r="Z234" s="53"/>
      <c r="AA234" s="53"/>
      <c r="AB234" s="391"/>
    </row>
    <row r="235" spans="1:28" ht="18" customHeight="1" x14ac:dyDescent="0.2">
      <c r="A235" s="389"/>
      <c r="B235" s="160" t="s">
        <v>1365</v>
      </c>
      <c r="C235" s="391"/>
      <c r="D235" s="399"/>
      <c r="E235" s="53"/>
      <c r="F235" s="53"/>
      <c r="G235" s="53"/>
      <c r="H235" s="391"/>
      <c r="I235" s="399"/>
      <c r="J235" s="53"/>
      <c r="K235" s="53"/>
      <c r="L235" s="53"/>
      <c r="M235" s="391"/>
      <c r="N235" s="399"/>
      <c r="O235" s="53"/>
      <c r="P235" s="53"/>
      <c r="Q235" s="53"/>
      <c r="R235" s="399"/>
      <c r="S235" s="399"/>
      <c r="T235" s="53"/>
      <c r="U235" s="53"/>
      <c r="V235" s="53"/>
      <c r="W235" s="399"/>
      <c r="X235" s="399"/>
      <c r="Y235" s="53"/>
      <c r="Z235" s="53"/>
      <c r="AA235" s="53"/>
      <c r="AB235" s="391"/>
    </row>
    <row r="236" spans="1:28" ht="18" customHeight="1" x14ac:dyDescent="0.2">
      <c r="A236" s="389"/>
      <c r="B236" s="160" t="s">
        <v>1366</v>
      </c>
      <c r="C236" s="391"/>
      <c r="D236" s="399"/>
      <c r="E236" s="53"/>
      <c r="F236" s="53"/>
      <c r="G236" s="53"/>
      <c r="H236" s="391"/>
      <c r="I236" s="399"/>
      <c r="J236" s="53"/>
      <c r="K236" s="53"/>
      <c r="L236" s="53"/>
      <c r="M236" s="391"/>
      <c r="N236" s="399"/>
      <c r="O236" s="53"/>
      <c r="P236" s="53"/>
      <c r="Q236" s="53"/>
      <c r="R236" s="399"/>
      <c r="S236" s="399"/>
      <c r="T236" s="53"/>
      <c r="U236" s="53"/>
      <c r="V236" s="53"/>
      <c r="W236" s="399"/>
      <c r="X236" s="399"/>
      <c r="Y236" s="53"/>
      <c r="Z236" s="53"/>
      <c r="AA236" s="53"/>
      <c r="AB236" s="391"/>
    </row>
    <row r="237" spans="1:28" ht="18" customHeight="1" x14ac:dyDescent="0.2">
      <c r="A237" s="389"/>
      <c r="B237" s="160" t="s">
        <v>1367</v>
      </c>
      <c r="C237" s="391"/>
      <c r="D237" s="399"/>
      <c r="E237" s="53"/>
      <c r="F237" s="53"/>
      <c r="G237" s="53"/>
      <c r="H237" s="391"/>
      <c r="I237" s="399"/>
      <c r="J237" s="53"/>
      <c r="K237" s="53"/>
      <c r="L237" s="53"/>
      <c r="M237" s="391"/>
      <c r="N237" s="399"/>
      <c r="O237" s="53"/>
      <c r="P237" s="53"/>
      <c r="Q237" s="53"/>
      <c r="R237" s="399"/>
      <c r="S237" s="399"/>
      <c r="T237" s="53"/>
      <c r="U237" s="53"/>
      <c r="V237" s="53"/>
      <c r="W237" s="399"/>
      <c r="X237" s="399"/>
      <c r="Y237" s="53"/>
      <c r="Z237" s="53"/>
      <c r="AA237" s="53"/>
      <c r="AB237" s="391"/>
    </row>
    <row r="238" spans="1:28" ht="18" customHeight="1" x14ac:dyDescent="0.2">
      <c r="A238" s="389"/>
      <c r="B238" s="160" t="s">
        <v>1368</v>
      </c>
      <c r="C238" s="391"/>
      <c r="D238" s="399"/>
      <c r="E238" s="53"/>
      <c r="F238" s="53"/>
      <c r="G238" s="53"/>
      <c r="H238" s="391"/>
      <c r="I238" s="399"/>
      <c r="J238" s="53"/>
      <c r="K238" s="53"/>
      <c r="L238" s="53"/>
      <c r="M238" s="391"/>
      <c r="N238" s="399"/>
      <c r="O238" s="53"/>
      <c r="P238" s="53"/>
      <c r="Q238" s="53"/>
      <c r="R238" s="399"/>
      <c r="S238" s="399"/>
      <c r="T238" s="53"/>
      <c r="U238" s="53"/>
      <c r="V238" s="53"/>
      <c r="W238" s="399"/>
      <c r="X238" s="399"/>
      <c r="Y238" s="53"/>
      <c r="Z238" s="53"/>
      <c r="AA238" s="53"/>
      <c r="AB238" s="391"/>
    </row>
    <row r="239" spans="1:28" ht="18" customHeight="1" x14ac:dyDescent="0.2">
      <c r="A239" s="389"/>
      <c r="B239" s="160" t="s">
        <v>1369</v>
      </c>
      <c r="C239" s="391"/>
      <c r="D239" s="399"/>
      <c r="E239" s="53"/>
      <c r="F239" s="53"/>
      <c r="G239" s="53"/>
      <c r="H239" s="391"/>
      <c r="I239" s="399"/>
      <c r="J239" s="53"/>
      <c r="K239" s="53"/>
      <c r="L239" s="53"/>
      <c r="M239" s="391"/>
      <c r="N239" s="399"/>
      <c r="O239" s="53"/>
      <c r="P239" s="53"/>
      <c r="Q239" s="53"/>
      <c r="R239" s="399"/>
      <c r="S239" s="399"/>
      <c r="T239" s="53"/>
      <c r="U239" s="53"/>
      <c r="V239" s="53"/>
      <c r="W239" s="399"/>
      <c r="X239" s="399"/>
      <c r="Y239" s="53"/>
      <c r="Z239" s="53"/>
      <c r="AA239" s="53"/>
      <c r="AB239" s="391"/>
    </row>
    <row r="240" spans="1:28" ht="27" customHeight="1" x14ac:dyDescent="0.2">
      <c r="A240" s="400">
        <v>9</v>
      </c>
      <c r="B240" s="52" t="s">
        <v>810</v>
      </c>
      <c r="C240" s="390">
        <f>D240+E240+F240+G240</f>
        <v>5379</v>
      </c>
      <c r="D240" s="398">
        <v>5379</v>
      </c>
      <c r="E240" s="53">
        <v>0</v>
      </c>
      <c r="F240" s="53">
        <v>0</v>
      </c>
      <c r="G240" s="53">
        <v>0</v>
      </c>
      <c r="H240" s="390">
        <f>I240+J240+K240+L240</f>
        <v>12265</v>
      </c>
      <c r="I240" s="398">
        <v>12265</v>
      </c>
      <c r="J240" s="53">
        <v>0</v>
      </c>
      <c r="K240" s="53">
        <v>0</v>
      </c>
      <c r="L240" s="53">
        <v>0</v>
      </c>
      <c r="M240" s="390">
        <f>N240</f>
        <v>12265</v>
      </c>
      <c r="N240" s="398">
        <v>12265</v>
      </c>
      <c r="O240" s="53">
        <v>0</v>
      </c>
      <c r="P240" s="53">
        <v>0</v>
      </c>
      <c r="Q240" s="53">
        <v>0</v>
      </c>
      <c r="R240" s="398">
        <v>0</v>
      </c>
      <c r="S240" s="398">
        <v>0</v>
      </c>
      <c r="T240" s="53">
        <v>0</v>
      </c>
      <c r="U240" s="53">
        <v>0</v>
      </c>
      <c r="V240" s="53">
        <v>0</v>
      </c>
      <c r="W240" s="398">
        <v>0</v>
      </c>
      <c r="X240" s="398">
        <v>0</v>
      </c>
      <c r="Y240" s="53">
        <v>0</v>
      </c>
      <c r="Z240" s="53">
        <v>0</v>
      </c>
      <c r="AA240" s="53">
        <v>0</v>
      </c>
      <c r="AB240" s="390">
        <f>C240+H240+M240+R240+W240</f>
        <v>29909</v>
      </c>
    </row>
    <row r="241" spans="1:28" ht="18" customHeight="1" x14ac:dyDescent="0.2">
      <c r="A241" s="400"/>
      <c r="B241" s="85" t="s">
        <v>806</v>
      </c>
      <c r="C241" s="391"/>
      <c r="D241" s="399"/>
      <c r="E241" s="53"/>
      <c r="F241" s="53"/>
      <c r="G241" s="53"/>
      <c r="H241" s="391"/>
      <c r="I241" s="399"/>
      <c r="J241" s="53"/>
      <c r="K241" s="53"/>
      <c r="L241" s="53"/>
      <c r="M241" s="391"/>
      <c r="N241" s="399"/>
      <c r="O241" s="53"/>
      <c r="P241" s="53"/>
      <c r="Q241" s="53"/>
      <c r="R241" s="399"/>
      <c r="S241" s="399"/>
      <c r="T241" s="53"/>
      <c r="U241" s="53"/>
      <c r="V241" s="53"/>
      <c r="W241" s="399"/>
      <c r="X241" s="399"/>
      <c r="Y241" s="53"/>
      <c r="Z241" s="53"/>
      <c r="AA241" s="53"/>
      <c r="AB241" s="391"/>
    </row>
    <row r="242" spans="1:28" ht="18" customHeight="1" x14ac:dyDescent="0.2">
      <c r="A242" s="400"/>
      <c r="B242" s="42" t="s">
        <v>811</v>
      </c>
      <c r="C242" s="391"/>
      <c r="D242" s="399"/>
      <c r="E242" s="53"/>
      <c r="F242" s="53"/>
      <c r="G242" s="53"/>
      <c r="H242" s="391"/>
      <c r="I242" s="399"/>
      <c r="J242" s="53"/>
      <c r="K242" s="53"/>
      <c r="L242" s="53"/>
      <c r="M242" s="391"/>
      <c r="N242" s="399"/>
      <c r="O242" s="53"/>
      <c r="P242" s="53"/>
      <c r="Q242" s="53"/>
      <c r="R242" s="399"/>
      <c r="S242" s="399"/>
      <c r="T242" s="53"/>
      <c r="U242" s="53"/>
      <c r="V242" s="53"/>
      <c r="W242" s="399"/>
      <c r="X242" s="399"/>
      <c r="Y242" s="53"/>
      <c r="Z242" s="53"/>
      <c r="AA242" s="53"/>
      <c r="AB242" s="391"/>
    </row>
    <row r="243" spans="1:28" ht="18" customHeight="1" x14ac:dyDescent="0.2">
      <c r="A243" s="400"/>
      <c r="B243" s="42" t="s">
        <v>812</v>
      </c>
      <c r="C243" s="391"/>
      <c r="D243" s="399"/>
      <c r="E243" s="53"/>
      <c r="F243" s="53"/>
      <c r="G243" s="53"/>
      <c r="H243" s="391"/>
      <c r="I243" s="399"/>
      <c r="J243" s="53"/>
      <c r="K243" s="53"/>
      <c r="L243" s="53"/>
      <c r="M243" s="391"/>
      <c r="N243" s="399"/>
      <c r="O243" s="53"/>
      <c r="P243" s="53"/>
      <c r="Q243" s="53"/>
      <c r="R243" s="399"/>
      <c r="S243" s="399"/>
      <c r="T243" s="53"/>
      <c r="U243" s="53"/>
      <c r="V243" s="53"/>
      <c r="W243" s="399"/>
      <c r="X243" s="399"/>
      <c r="Y243" s="53"/>
      <c r="Z243" s="53"/>
      <c r="AA243" s="53"/>
      <c r="AB243" s="391"/>
    </row>
    <row r="244" spans="1:28" ht="18" customHeight="1" x14ac:dyDescent="0.2">
      <c r="A244" s="400"/>
      <c r="B244" s="85" t="s">
        <v>792</v>
      </c>
      <c r="C244" s="391"/>
      <c r="D244" s="399"/>
      <c r="E244" s="53"/>
      <c r="F244" s="53"/>
      <c r="G244" s="53"/>
      <c r="H244" s="391"/>
      <c r="I244" s="399"/>
      <c r="J244" s="53"/>
      <c r="K244" s="53"/>
      <c r="L244" s="53"/>
      <c r="M244" s="391"/>
      <c r="N244" s="399"/>
      <c r="O244" s="53"/>
      <c r="P244" s="53"/>
      <c r="Q244" s="53"/>
      <c r="R244" s="399"/>
      <c r="S244" s="399"/>
      <c r="T244" s="53"/>
      <c r="U244" s="53"/>
      <c r="V244" s="53"/>
      <c r="W244" s="399"/>
      <c r="X244" s="399"/>
      <c r="Y244" s="53"/>
      <c r="Z244" s="53"/>
      <c r="AA244" s="53"/>
      <c r="AB244" s="391"/>
    </row>
    <row r="245" spans="1:28" ht="18" customHeight="1" x14ac:dyDescent="0.2">
      <c r="A245" s="400"/>
      <c r="B245" s="42" t="s">
        <v>1440</v>
      </c>
      <c r="C245" s="391"/>
      <c r="D245" s="399"/>
      <c r="E245" s="53"/>
      <c r="F245" s="53"/>
      <c r="G245" s="53"/>
      <c r="H245" s="391"/>
      <c r="I245" s="399"/>
      <c r="J245" s="53"/>
      <c r="K245" s="53"/>
      <c r="L245" s="53"/>
      <c r="M245" s="391"/>
      <c r="N245" s="399"/>
      <c r="O245" s="53"/>
      <c r="P245" s="53"/>
      <c r="Q245" s="53"/>
      <c r="R245" s="399"/>
      <c r="S245" s="399"/>
      <c r="T245" s="53"/>
      <c r="U245" s="53"/>
      <c r="V245" s="53"/>
      <c r="W245" s="399"/>
      <c r="X245" s="399"/>
      <c r="Y245" s="53"/>
      <c r="Z245" s="53"/>
      <c r="AA245" s="53"/>
      <c r="AB245" s="391"/>
    </row>
    <row r="246" spans="1:28" ht="18" customHeight="1" x14ac:dyDescent="0.2">
      <c r="A246" s="400"/>
      <c r="B246" s="42" t="s">
        <v>1441</v>
      </c>
      <c r="C246" s="391"/>
      <c r="D246" s="399"/>
      <c r="E246" s="53"/>
      <c r="F246" s="53"/>
      <c r="G246" s="53"/>
      <c r="H246" s="391"/>
      <c r="I246" s="399"/>
      <c r="J246" s="53"/>
      <c r="K246" s="53"/>
      <c r="L246" s="53"/>
      <c r="M246" s="391"/>
      <c r="N246" s="399"/>
      <c r="O246" s="53"/>
      <c r="P246" s="53"/>
      <c r="Q246" s="53"/>
      <c r="R246" s="399"/>
      <c r="S246" s="399"/>
      <c r="T246" s="53"/>
      <c r="U246" s="53"/>
      <c r="V246" s="53"/>
      <c r="W246" s="399"/>
      <c r="X246" s="399"/>
      <c r="Y246" s="53"/>
      <c r="Z246" s="53"/>
      <c r="AA246" s="53"/>
      <c r="AB246" s="391"/>
    </row>
    <row r="247" spans="1:28" ht="18" customHeight="1" x14ac:dyDescent="0.2">
      <c r="A247" s="400"/>
      <c r="B247" s="85" t="s">
        <v>1325</v>
      </c>
      <c r="C247" s="391"/>
      <c r="D247" s="399"/>
      <c r="E247" s="53"/>
      <c r="F247" s="53"/>
      <c r="G247" s="53"/>
      <c r="H247" s="391"/>
      <c r="I247" s="399"/>
      <c r="J247" s="53"/>
      <c r="K247" s="53"/>
      <c r="L247" s="53"/>
      <c r="M247" s="391"/>
      <c r="N247" s="399"/>
      <c r="O247" s="53"/>
      <c r="P247" s="53"/>
      <c r="Q247" s="53"/>
      <c r="R247" s="399"/>
      <c r="S247" s="399"/>
      <c r="T247" s="53"/>
      <c r="U247" s="53"/>
      <c r="V247" s="53"/>
      <c r="W247" s="399"/>
      <c r="X247" s="399"/>
      <c r="Y247" s="53"/>
      <c r="Z247" s="53"/>
      <c r="AA247" s="53"/>
      <c r="AB247" s="391"/>
    </row>
    <row r="248" spans="1:28" ht="18" customHeight="1" x14ac:dyDescent="0.2">
      <c r="A248" s="400"/>
      <c r="B248" s="42" t="s">
        <v>807</v>
      </c>
      <c r="C248" s="391"/>
      <c r="D248" s="399"/>
      <c r="E248" s="53"/>
      <c r="F248" s="53"/>
      <c r="G248" s="53"/>
      <c r="H248" s="391"/>
      <c r="I248" s="399"/>
      <c r="J248" s="53"/>
      <c r="K248" s="53"/>
      <c r="L248" s="53"/>
      <c r="M248" s="391"/>
      <c r="N248" s="399"/>
      <c r="O248" s="53"/>
      <c r="P248" s="53"/>
      <c r="Q248" s="53"/>
      <c r="R248" s="399"/>
      <c r="S248" s="399"/>
      <c r="T248" s="53"/>
      <c r="U248" s="53"/>
      <c r="V248" s="53"/>
      <c r="W248" s="399"/>
      <c r="X248" s="399"/>
      <c r="Y248" s="53"/>
      <c r="Z248" s="53"/>
      <c r="AA248" s="53"/>
      <c r="AB248" s="391"/>
    </row>
    <row r="249" spans="1:28" ht="18" customHeight="1" x14ac:dyDescent="0.2">
      <c r="A249" s="400"/>
      <c r="B249" s="42" t="s">
        <v>1358</v>
      </c>
      <c r="C249" s="391"/>
      <c r="D249" s="399"/>
      <c r="E249" s="53"/>
      <c r="F249" s="53"/>
      <c r="G249" s="53"/>
      <c r="H249" s="391"/>
      <c r="I249" s="399"/>
      <c r="J249" s="53"/>
      <c r="K249" s="53"/>
      <c r="L249" s="53"/>
      <c r="M249" s="391"/>
      <c r="N249" s="399"/>
      <c r="O249" s="53"/>
      <c r="P249" s="53"/>
      <c r="Q249" s="53"/>
      <c r="R249" s="399"/>
      <c r="S249" s="399"/>
      <c r="T249" s="53"/>
      <c r="U249" s="53"/>
      <c r="V249" s="53"/>
      <c r="W249" s="399"/>
      <c r="X249" s="399"/>
      <c r="Y249" s="53"/>
      <c r="Z249" s="53"/>
      <c r="AA249" s="53"/>
      <c r="AB249" s="391"/>
    </row>
    <row r="250" spans="1:28" ht="18" customHeight="1" x14ac:dyDescent="0.2">
      <c r="A250" s="400"/>
      <c r="B250" s="42" t="s">
        <v>1359</v>
      </c>
      <c r="C250" s="391"/>
      <c r="D250" s="399"/>
      <c r="E250" s="53"/>
      <c r="F250" s="53"/>
      <c r="G250" s="53"/>
      <c r="H250" s="391"/>
      <c r="I250" s="399"/>
      <c r="J250" s="53"/>
      <c r="K250" s="53"/>
      <c r="L250" s="53"/>
      <c r="M250" s="391"/>
      <c r="N250" s="399"/>
      <c r="O250" s="53"/>
      <c r="P250" s="53"/>
      <c r="Q250" s="53"/>
      <c r="R250" s="399"/>
      <c r="S250" s="399"/>
      <c r="T250" s="53"/>
      <c r="U250" s="53"/>
      <c r="V250" s="53"/>
      <c r="W250" s="399"/>
      <c r="X250" s="399"/>
      <c r="Y250" s="53"/>
      <c r="Z250" s="53"/>
      <c r="AA250" s="53"/>
      <c r="AB250" s="391"/>
    </row>
    <row r="251" spans="1:28" ht="18" customHeight="1" x14ac:dyDescent="0.2">
      <c r="A251" s="400"/>
      <c r="B251" s="42" t="s">
        <v>820</v>
      </c>
      <c r="C251" s="391"/>
      <c r="D251" s="399"/>
      <c r="E251" s="53"/>
      <c r="F251" s="53"/>
      <c r="G251" s="53"/>
      <c r="H251" s="391"/>
      <c r="I251" s="399"/>
      <c r="J251" s="53"/>
      <c r="K251" s="53"/>
      <c r="L251" s="53"/>
      <c r="M251" s="391"/>
      <c r="N251" s="399"/>
      <c r="O251" s="53"/>
      <c r="P251" s="53"/>
      <c r="Q251" s="53"/>
      <c r="R251" s="399"/>
      <c r="S251" s="399"/>
      <c r="T251" s="53"/>
      <c r="U251" s="53"/>
      <c r="V251" s="53"/>
      <c r="W251" s="399"/>
      <c r="X251" s="399"/>
      <c r="Y251" s="53"/>
      <c r="Z251" s="53"/>
      <c r="AA251" s="53"/>
      <c r="AB251" s="391"/>
    </row>
    <row r="252" spans="1:28" ht="18" customHeight="1" x14ac:dyDescent="0.2">
      <c r="A252" s="400"/>
      <c r="B252" s="42" t="s">
        <v>808</v>
      </c>
      <c r="C252" s="391"/>
      <c r="D252" s="399"/>
      <c r="E252" s="53"/>
      <c r="F252" s="53"/>
      <c r="G252" s="53"/>
      <c r="H252" s="391"/>
      <c r="I252" s="399"/>
      <c r="J252" s="53"/>
      <c r="K252" s="53"/>
      <c r="L252" s="53"/>
      <c r="M252" s="391"/>
      <c r="N252" s="399"/>
      <c r="O252" s="53"/>
      <c r="P252" s="53"/>
      <c r="Q252" s="53"/>
      <c r="R252" s="399"/>
      <c r="S252" s="399"/>
      <c r="T252" s="53"/>
      <c r="U252" s="53"/>
      <c r="V252" s="53"/>
      <c r="W252" s="399"/>
      <c r="X252" s="399"/>
      <c r="Y252" s="53"/>
      <c r="Z252" s="53"/>
      <c r="AA252" s="53"/>
      <c r="AB252" s="391"/>
    </row>
    <row r="253" spans="1:28" ht="18" customHeight="1" x14ac:dyDescent="0.2">
      <c r="A253" s="400"/>
      <c r="B253" s="42" t="s">
        <v>821</v>
      </c>
      <c r="C253" s="391"/>
      <c r="D253" s="399"/>
      <c r="E253" s="53"/>
      <c r="F253" s="53"/>
      <c r="G253" s="53"/>
      <c r="H253" s="391"/>
      <c r="I253" s="399"/>
      <c r="J253" s="53"/>
      <c r="K253" s="53"/>
      <c r="L253" s="53"/>
      <c r="M253" s="391"/>
      <c r="N253" s="399"/>
      <c r="O253" s="53"/>
      <c r="P253" s="53"/>
      <c r="Q253" s="53"/>
      <c r="R253" s="399"/>
      <c r="S253" s="399"/>
      <c r="T253" s="53"/>
      <c r="U253" s="53"/>
      <c r="V253" s="53"/>
      <c r="W253" s="399"/>
      <c r="X253" s="399"/>
      <c r="Y253" s="53"/>
      <c r="Z253" s="53"/>
      <c r="AA253" s="53"/>
      <c r="AB253" s="391"/>
    </row>
    <row r="254" spans="1:28" ht="18" customHeight="1" x14ac:dyDescent="0.2">
      <c r="A254" s="400"/>
      <c r="B254" s="42" t="s">
        <v>809</v>
      </c>
      <c r="C254" s="391"/>
      <c r="D254" s="399"/>
      <c r="E254" s="53"/>
      <c r="F254" s="53"/>
      <c r="G254" s="53"/>
      <c r="H254" s="391"/>
      <c r="I254" s="399"/>
      <c r="J254" s="53"/>
      <c r="K254" s="53"/>
      <c r="L254" s="53"/>
      <c r="M254" s="391"/>
      <c r="N254" s="399"/>
      <c r="O254" s="53"/>
      <c r="P254" s="53"/>
      <c r="Q254" s="53"/>
      <c r="R254" s="399"/>
      <c r="S254" s="399"/>
      <c r="T254" s="53"/>
      <c r="U254" s="53"/>
      <c r="V254" s="53"/>
      <c r="W254" s="399"/>
      <c r="X254" s="399"/>
      <c r="Y254" s="53"/>
      <c r="Z254" s="53"/>
      <c r="AA254" s="53"/>
      <c r="AB254" s="391"/>
    </row>
    <row r="255" spans="1:28" ht="18" customHeight="1" x14ac:dyDescent="0.2">
      <c r="A255" s="401"/>
      <c r="B255" s="42" t="s">
        <v>822</v>
      </c>
      <c r="C255" s="391"/>
      <c r="D255" s="399"/>
      <c r="E255" s="265"/>
      <c r="F255" s="265"/>
      <c r="G255" s="265"/>
      <c r="H255" s="391"/>
      <c r="I255" s="399"/>
      <c r="J255" s="265"/>
      <c r="K255" s="265"/>
      <c r="L255" s="265"/>
      <c r="M255" s="391"/>
      <c r="N255" s="399"/>
      <c r="O255" s="265"/>
      <c r="P255" s="265"/>
      <c r="Q255" s="265"/>
      <c r="R255" s="399"/>
      <c r="S255" s="399"/>
      <c r="T255" s="265"/>
      <c r="U255" s="265"/>
      <c r="V255" s="265"/>
      <c r="W255" s="399"/>
      <c r="X255" s="399"/>
      <c r="Y255" s="265"/>
      <c r="Z255" s="265"/>
      <c r="AA255" s="265"/>
      <c r="AB255" s="391"/>
    </row>
    <row r="256" spans="1:28" ht="18" customHeight="1" x14ac:dyDescent="0.2">
      <c r="A256" s="401"/>
      <c r="B256" s="42" t="s">
        <v>1360</v>
      </c>
      <c r="C256" s="391"/>
      <c r="D256" s="399"/>
      <c r="E256" s="265"/>
      <c r="F256" s="265"/>
      <c r="G256" s="265"/>
      <c r="H256" s="391"/>
      <c r="I256" s="399"/>
      <c r="J256" s="265"/>
      <c r="K256" s="265"/>
      <c r="L256" s="265"/>
      <c r="M256" s="391"/>
      <c r="N256" s="399"/>
      <c r="O256" s="265"/>
      <c r="P256" s="265"/>
      <c r="Q256" s="265"/>
      <c r="R256" s="399"/>
      <c r="S256" s="399"/>
      <c r="T256" s="265"/>
      <c r="U256" s="265"/>
      <c r="V256" s="265"/>
      <c r="W256" s="399"/>
      <c r="X256" s="399"/>
      <c r="Y256" s="265"/>
      <c r="Z256" s="265"/>
      <c r="AA256" s="265"/>
      <c r="AB256" s="391"/>
    </row>
    <row r="257" spans="1:29" ht="18" customHeight="1" x14ac:dyDescent="0.2">
      <c r="A257" s="401"/>
      <c r="B257" s="42" t="s">
        <v>1361</v>
      </c>
      <c r="C257" s="391"/>
      <c r="D257" s="399"/>
      <c r="E257" s="265"/>
      <c r="F257" s="265"/>
      <c r="G257" s="265"/>
      <c r="H257" s="391"/>
      <c r="I257" s="399"/>
      <c r="J257" s="265"/>
      <c r="K257" s="265"/>
      <c r="L257" s="265"/>
      <c r="M257" s="391"/>
      <c r="N257" s="399"/>
      <c r="O257" s="265"/>
      <c r="P257" s="265"/>
      <c r="Q257" s="265"/>
      <c r="R257" s="399"/>
      <c r="S257" s="399"/>
      <c r="T257" s="265"/>
      <c r="U257" s="265"/>
      <c r="V257" s="265"/>
      <c r="W257" s="399"/>
      <c r="X257" s="399"/>
      <c r="Y257" s="265"/>
      <c r="Z257" s="265"/>
      <c r="AA257" s="265"/>
      <c r="AB257" s="391"/>
    </row>
    <row r="258" spans="1:29" ht="18" customHeight="1" x14ac:dyDescent="0.2">
      <c r="A258" s="401"/>
      <c r="B258" s="42" t="s">
        <v>1362</v>
      </c>
      <c r="C258" s="391"/>
      <c r="D258" s="399"/>
      <c r="E258" s="265"/>
      <c r="F258" s="265"/>
      <c r="G258" s="265"/>
      <c r="H258" s="391"/>
      <c r="I258" s="399"/>
      <c r="J258" s="265"/>
      <c r="K258" s="265"/>
      <c r="L258" s="265"/>
      <c r="M258" s="391"/>
      <c r="N258" s="399"/>
      <c r="O258" s="265"/>
      <c r="P258" s="265"/>
      <c r="Q258" s="265"/>
      <c r="R258" s="399"/>
      <c r="S258" s="399"/>
      <c r="T258" s="265"/>
      <c r="U258" s="265"/>
      <c r="V258" s="265"/>
      <c r="W258" s="399"/>
      <c r="X258" s="399"/>
      <c r="Y258" s="265"/>
      <c r="Z258" s="265"/>
      <c r="AA258" s="265"/>
      <c r="AB258" s="391"/>
    </row>
    <row r="259" spans="1:29" ht="18" customHeight="1" x14ac:dyDescent="0.2">
      <c r="A259" s="271">
        <v>10</v>
      </c>
      <c r="B259" s="59" t="s">
        <v>1024</v>
      </c>
      <c r="C259" s="58">
        <v>0</v>
      </c>
      <c r="D259" s="53">
        <v>0</v>
      </c>
      <c r="E259" s="53"/>
      <c r="F259" s="53"/>
      <c r="G259" s="53"/>
      <c r="H259" s="58">
        <v>0</v>
      </c>
      <c r="I259" s="53">
        <v>0</v>
      </c>
      <c r="J259" s="53"/>
      <c r="K259" s="53"/>
      <c r="L259" s="53"/>
      <c r="M259" s="58">
        <v>0</v>
      </c>
      <c r="N259" s="53">
        <v>0</v>
      </c>
      <c r="O259" s="53"/>
      <c r="P259" s="53"/>
      <c r="Q259" s="53"/>
      <c r="R259" s="58">
        <f>S259</f>
        <v>2170</v>
      </c>
      <c r="S259" s="53">
        <v>2170</v>
      </c>
      <c r="T259" s="53"/>
      <c r="U259" s="53"/>
      <c r="V259" s="53"/>
      <c r="W259" s="58">
        <f>X259</f>
        <v>2170</v>
      </c>
      <c r="X259" s="53">
        <v>2170</v>
      </c>
      <c r="Y259" s="53"/>
      <c r="Z259" s="53"/>
      <c r="AA259" s="53"/>
      <c r="AB259" s="58">
        <f>C259+H259+M259+R259+W259</f>
        <v>4340</v>
      </c>
    </row>
    <row r="260" spans="1:29" ht="18" customHeight="1" x14ac:dyDescent="0.2">
      <c r="A260" s="409">
        <v>11</v>
      </c>
      <c r="B260" s="52" t="s">
        <v>813</v>
      </c>
      <c r="C260" s="390">
        <f>D260+E260+F260+G260</f>
        <v>3478</v>
      </c>
      <c r="D260" s="398">
        <v>3478</v>
      </c>
      <c r="E260" s="53">
        <v>0</v>
      </c>
      <c r="F260" s="53">
        <v>0</v>
      </c>
      <c r="G260" s="53">
        <v>0</v>
      </c>
      <c r="H260" s="390">
        <f>I260+J260+K260+L260</f>
        <v>57</v>
      </c>
      <c r="I260" s="398">
        <v>57</v>
      </c>
      <c r="J260" s="53">
        <v>0</v>
      </c>
      <c r="K260" s="53">
        <v>0</v>
      </c>
      <c r="L260" s="53">
        <v>0</v>
      </c>
      <c r="M260" s="390">
        <f>N260</f>
        <v>57</v>
      </c>
      <c r="N260" s="398">
        <v>57</v>
      </c>
      <c r="O260" s="53">
        <v>0</v>
      </c>
      <c r="P260" s="53">
        <v>0</v>
      </c>
      <c r="Q260" s="53">
        <v>0</v>
      </c>
      <c r="R260" s="398">
        <v>0</v>
      </c>
      <c r="S260" s="398">
        <v>0</v>
      </c>
      <c r="T260" s="53">
        <v>0</v>
      </c>
      <c r="U260" s="53">
        <v>0</v>
      </c>
      <c r="V260" s="53">
        <v>0</v>
      </c>
      <c r="W260" s="398">
        <v>0</v>
      </c>
      <c r="X260" s="398">
        <v>0</v>
      </c>
      <c r="Y260" s="53">
        <v>0</v>
      </c>
      <c r="Z260" s="53">
        <v>0</v>
      </c>
      <c r="AA260" s="53">
        <v>0</v>
      </c>
      <c r="AB260" s="390">
        <f>C260+H260+M260+R260+W260</f>
        <v>3592</v>
      </c>
    </row>
    <row r="261" spans="1:29" ht="18" customHeight="1" x14ac:dyDescent="0.2">
      <c r="A261" s="392"/>
      <c r="B261" s="85" t="s">
        <v>806</v>
      </c>
      <c r="C261" s="391"/>
      <c r="D261" s="399"/>
      <c r="E261" s="53"/>
      <c r="F261" s="53"/>
      <c r="G261" s="53"/>
      <c r="H261" s="391"/>
      <c r="I261" s="399"/>
      <c r="J261" s="53"/>
      <c r="K261" s="53"/>
      <c r="L261" s="53"/>
      <c r="M261" s="391"/>
      <c r="N261" s="399"/>
      <c r="O261" s="53"/>
      <c r="P261" s="53"/>
      <c r="Q261" s="53"/>
      <c r="R261" s="399"/>
      <c r="S261" s="399"/>
      <c r="T261" s="53"/>
      <c r="U261" s="53"/>
      <c r="V261" s="53"/>
      <c r="W261" s="399"/>
      <c r="X261" s="399"/>
      <c r="Y261" s="53"/>
      <c r="Z261" s="53"/>
      <c r="AA261" s="53"/>
      <c r="AB261" s="391"/>
    </row>
    <row r="262" spans="1:29" ht="18" customHeight="1" x14ac:dyDescent="0.2">
      <c r="A262" s="410"/>
      <c r="B262" s="42" t="s">
        <v>814</v>
      </c>
      <c r="C262" s="391"/>
      <c r="D262" s="399"/>
      <c r="E262" s="265"/>
      <c r="F262" s="265"/>
      <c r="G262" s="265"/>
      <c r="H262" s="391"/>
      <c r="I262" s="399"/>
      <c r="J262" s="265"/>
      <c r="K262" s="265"/>
      <c r="L262" s="265"/>
      <c r="M262" s="391"/>
      <c r="N262" s="399"/>
      <c r="O262" s="265"/>
      <c r="P262" s="265"/>
      <c r="Q262" s="265"/>
      <c r="R262" s="399"/>
      <c r="S262" s="399"/>
      <c r="T262" s="265"/>
      <c r="U262" s="265"/>
      <c r="V262" s="265"/>
      <c r="W262" s="399"/>
      <c r="X262" s="399"/>
      <c r="Y262" s="265"/>
      <c r="Z262" s="265"/>
      <c r="AA262" s="265"/>
      <c r="AB262" s="391"/>
    </row>
    <row r="263" spans="1:29" ht="18" customHeight="1" x14ac:dyDescent="0.2">
      <c r="A263" s="268">
        <v>12</v>
      </c>
      <c r="B263" s="59" t="s">
        <v>1021</v>
      </c>
      <c r="C263" s="58">
        <f>SUM(D263:G263)</f>
        <v>1700</v>
      </c>
      <c r="D263" s="53">
        <v>1700</v>
      </c>
      <c r="E263" s="53"/>
      <c r="F263" s="53"/>
      <c r="G263" s="53"/>
      <c r="H263" s="58">
        <v>0</v>
      </c>
      <c r="I263" s="53">
        <v>0</v>
      </c>
      <c r="J263" s="53"/>
      <c r="K263" s="53"/>
      <c r="L263" s="53"/>
      <c r="M263" s="53">
        <v>0</v>
      </c>
      <c r="N263" s="53">
        <v>0</v>
      </c>
      <c r="O263" s="53"/>
      <c r="P263" s="53"/>
      <c r="Q263" s="53"/>
      <c r="R263" s="58">
        <f>S263</f>
        <v>4500</v>
      </c>
      <c r="S263" s="53">
        <v>4500</v>
      </c>
      <c r="T263" s="53"/>
      <c r="U263" s="53"/>
      <c r="V263" s="53"/>
      <c r="W263" s="58">
        <f>X263</f>
        <v>4500</v>
      </c>
      <c r="X263" s="53">
        <v>4500</v>
      </c>
      <c r="Y263" s="53"/>
      <c r="Z263" s="53"/>
      <c r="AA263" s="53"/>
      <c r="AB263" s="58">
        <f>R263+W263+C263</f>
        <v>10700</v>
      </c>
    </row>
    <row r="264" spans="1:29" ht="18" customHeight="1" x14ac:dyDescent="0.2">
      <c r="A264" s="271">
        <v>13</v>
      </c>
      <c r="B264" s="57" t="s">
        <v>190</v>
      </c>
      <c r="C264" s="267">
        <f>SUM(D264:G264)</f>
        <v>0</v>
      </c>
      <c r="D264" s="266">
        <v>0</v>
      </c>
      <c r="E264" s="266">
        <v>0</v>
      </c>
      <c r="F264" s="266">
        <v>0</v>
      </c>
      <c r="G264" s="266">
        <v>0</v>
      </c>
      <c r="H264" s="267">
        <f>SUM(I264:L264)</f>
        <v>0</v>
      </c>
      <c r="I264" s="266">
        <v>0</v>
      </c>
      <c r="J264" s="266">
        <v>0</v>
      </c>
      <c r="K264" s="266">
        <v>0</v>
      </c>
      <c r="L264" s="266">
        <v>0</v>
      </c>
      <c r="M264" s="267">
        <f>SUM(N264:Q264)</f>
        <v>0</v>
      </c>
      <c r="N264" s="266">
        <v>0</v>
      </c>
      <c r="O264" s="266">
        <v>0</v>
      </c>
      <c r="P264" s="266">
        <v>0</v>
      </c>
      <c r="Q264" s="266">
        <v>0</v>
      </c>
      <c r="R264" s="267">
        <f>SUM(S264:V264)</f>
        <v>893</v>
      </c>
      <c r="S264" s="266">
        <v>893</v>
      </c>
      <c r="T264" s="266">
        <v>0</v>
      </c>
      <c r="U264" s="266">
        <v>0</v>
      </c>
      <c r="V264" s="266">
        <v>0</v>
      </c>
      <c r="W264" s="267">
        <f>SUM(X264:AA264)</f>
        <v>893</v>
      </c>
      <c r="X264" s="266">
        <v>893</v>
      </c>
      <c r="Y264" s="266">
        <v>0</v>
      </c>
      <c r="Z264" s="266">
        <v>0</v>
      </c>
      <c r="AA264" s="266">
        <v>0</v>
      </c>
      <c r="AB264" s="267">
        <f>C264+H264+M264+R264+W264</f>
        <v>1786</v>
      </c>
    </row>
    <row r="265" spans="1:29" ht="18" customHeight="1" x14ac:dyDescent="0.2">
      <c r="A265" s="271">
        <v>14</v>
      </c>
      <c r="B265" s="59" t="s">
        <v>188</v>
      </c>
      <c r="C265" s="58">
        <f>SUM(D265:G265)</f>
        <v>3594</v>
      </c>
      <c r="D265" s="53">
        <v>3594</v>
      </c>
      <c r="E265" s="53">
        <v>0</v>
      </c>
      <c r="F265" s="53">
        <v>0</v>
      </c>
      <c r="G265" s="53">
        <v>0</v>
      </c>
      <c r="H265" s="58">
        <f>SUM(I265:L265)</f>
        <v>4176</v>
      </c>
      <c r="I265" s="53">
        <v>4176</v>
      </c>
      <c r="J265" s="53">
        <v>0</v>
      </c>
      <c r="K265" s="53">
        <v>0</v>
      </c>
      <c r="L265" s="53">
        <v>0</v>
      </c>
      <c r="M265" s="58">
        <f>SUM(N265:Q265)</f>
        <v>4176</v>
      </c>
      <c r="N265" s="53">
        <v>4176</v>
      </c>
      <c r="O265" s="53">
        <v>0</v>
      </c>
      <c r="P265" s="53">
        <v>0</v>
      </c>
      <c r="Q265" s="53">
        <v>0</v>
      </c>
      <c r="R265" s="58">
        <f>SUM(S265:V265)</f>
        <v>4176</v>
      </c>
      <c r="S265" s="53">
        <v>4176</v>
      </c>
      <c r="T265" s="53">
        <v>0</v>
      </c>
      <c r="U265" s="53">
        <v>0</v>
      </c>
      <c r="V265" s="53">
        <v>0</v>
      </c>
      <c r="W265" s="58">
        <f>SUM(X265:AA265)</f>
        <v>4176</v>
      </c>
      <c r="X265" s="53">
        <v>4176</v>
      </c>
      <c r="Y265" s="53">
        <v>0</v>
      </c>
      <c r="Z265" s="53">
        <v>0</v>
      </c>
      <c r="AA265" s="53">
        <v>0</v>
      </c>
      <c r="AB265" s="58">
        <f>C265+H265+M265+R265+W265</f>
        <v>20298</v>
      </c>
    </row>
    <row r="266" spans="1:29" ht="18" customHeight="1" x14ac:dyDescent="0.2">
      <c r="A266" s="271">
        <v>15</v>
      </c>
      <c r="B266" s="59" t="s">
        <v>184</v>
      </c>
      <c r="C266" s="58">
        <f>D266+E266+F266+G266</f>
        <v>27036</v>
      </c>
      <c r="D266" s="53">
        <v>27036</v>
      </c>
      <c r="E266" s="53">
        <v>0</v>
      </c>
      <c r="F266" s="53">
        <v>0</v>
      </c>
      <c r="G266" s="53">
        <v>0</v>
      </c>
      <c r="H266" s="58">
        <f>I266+J266+K266+L266</f>
        <v>26674</v>
      </c>
      <c r="I266" s="53">
        <v>26674</v>
      </c>
      <c r="J266" s="53">
        <v>0</v>
      </c>
      <c r="K266" s="53">
        <v>0</v>
      </c>
      <c r="L266" s="53">
        <v>0</v>
      </c>
      <c r="M266" s="58">
        <f>N266+O266+P266+Q266</f>
        <v>26674</v>
      </c>
      <c r="N266" s="53">
        <v>26674</v>
      </c>
      <c r="O266" s="53">
        <v>0</v>
      </c>
      <c r="P266" s="53">
        <v>0</v>
      </c>
      <c r="Q266" s="53">
        <v>0</v>
      </c>
      <c r="R266" s="58">
        <f>S266+T266+U266+V266</f>
        <v>26839</v>
      </c>
      <c r="S266" s="53">
        <f>26539+300</f>
        <v>26839</v>
      </c>
      <c r="T266" s="53">
        <v>0</v>
      </c>
      <c r="U266" s="53">
        <v>0</v>
      </c>
      <c r="V266" s="53">
        <v>0</v>
      </c>
      <c r="W266" s="58">
        <f>X266+Y266+Z266+AA266</f>
        <v>26839</v>
      </c>
      <c r="X266" s="53">
        <f>26539+300</f>
        <v>26839</v>
      </c>
      <c r="Y266" s="53">
        <v>0</v>
      </c>
      <c r="Z266" s="53">
        <v>0</v>
      </c>
      <c r="AA266" s="53">
        <v>0</v>
      </c>
      <c r="AB266" s="58">
        <f>C266+H266+M266+R266+W266</f>
        <v>134062</v>
      </c>
    </row>
    <row r="267" spans="1:29" s="37" customFormat="1" ht="37.15" customHeight="1" x14ac:dyDescent="0.2">
      <c r="A267" s="420" t="s">
        <v>703</v>
      </c>
      <c r="B267" s="420"/>
      <c r="C267" s="51">
        <f t="shared" ref="C267:AB267" si="0">SUM(C8:C266)</f>
        <v>173028</v>
      </c>
      <c r="D267" s="51">
        <f t="shared" si="0"/>
        <v>173028</v>
      </c>
      <c r="E267" s="51">
        <f t="shared" si="0"/>
        <v>0</v>
      </c>
      <c r="F267" s="51">
        <f t="shared" si="0"/>
        <v>0</v>
      </c>
      <c r="G267" s="51">
        <f t="shared" si="0"/>
        <v>0</v>
      </c>
      <c r="H267" s="51">
        <f t="shared" si="0"/>
        <v>98858</v>
      </c>
      <c r="I267" s="51">
        <f t="shared" si="0"/>
        <v>98858</v>
      </c>
      <c r="J267" s="51">
        <f t="shared" si="0"/>
        <v>0</v>
      </c>
      <c r="K267" s="51">
        <f t="shared" si="0"/>
        <v>0</v>
      </c>
      <c r="L267" s="51">
        <f t="shared" si="0"/>
        <v>0</v>
      </c>
      <c r="M267" s="51">
        <f t="shared" si="0"/>
        <v>98858</v>
      </c>
      <c r="N267" s="51">
        <f t="shared" si="0"/>
        <v>98858</v>
      </c>
      <c r="O267" s="51">
        <f t="shared" si="0"/>
        <v>0</v>
      </c>
      <c r="P267" s="51">
        <f t="shared" si="0"/>
        <v>0</v>
      </c>
      <c r="Q267" s="51">
        <f t="shared" si="0"/>
        <v>0</v>
      </c>
      <c r="R267" s="51">
        <f t="shared" si="0"/>
        <v>68359</v>
      </c>
      <c r="S267" s="51">
        <f t="shared" si="0"/>
        <v>68359</v>
      </c>
      <c r="T267" s="51">
        <f t="shared" si="0"/>
        <v>0</v>
      </c>
      <c r="U267" s="51">
        <f t="shared" si="0"/>
        <v>0</v>
      </c>
      <c r="V267" s="51">
        <f t="shared" si="0"/>
        <v>0</v>
      </c>
      <c r="W267" s="51">
        <f t="shared" si="0"/>
        <v>68359</v>
      </c>
      <c r="X267" s="51">
        <f t="shared" si="0"/>
        <v>68359</v>
      </c>
      <c r="Y267" s="51">
        <f t="shared" si="0"/>
        <v>0</v>
      </c>
      <c r="Z267" s="51">
        <f t="shared" si="0"/>
        <v>0</v>
      </c>
      <c r="AA267" s="51">
        <f t="shared" si="0"/>
        <v>0</v>
      </c>
      <c r="AB267" s="51">
        <f t="shared" si="0"/>
        <v>507462</v>
      </c>
      <c r="AC267" s="279"/>
    </row>
    <row r="268" spans="1:29" ht="16.149999999999999" customHeight="1" x14ac:dyDescent="0.2">
      <c r="A268" s="78"/>
      <c r="B268" s="280"/>
    </row>
    <row r="269" spans="1:29" s="44" customFormat="1" ht="42" customHeight="1" x14ac:dyDescent="0.2">
      <c r="A269" s="281"/>
      <c r="B269" s="282"/>
      <c r="C269" s="43"/>
      <c r="D269" s="39"/>
      <c r="E269" s="39"/>
      <c r="F269" s="39"/>
      <c r="G269" s="39"/>
      <c r="H269" s="38"/>
      <c r="I269" s="39"/>
      <c r="M269" s="43"/>
      <c r="R269" s="43"/>
      <c r="W269" s="43"/>
      <c r="AB269" s="283"/>
    </row>
    <row r="270" spans="1:29" ht="42" customHeight="1" x14ac:dyDescent="0.2">
      <c r="A270" s="78"/>
      <c r="B270" s="280"/>
    </row>
    <row r="271" spans="1:29" ht="42" customHeight="1" x14ac:dyDescent="0.2">
      <c r="A271" s="78"/>
      <c r="B271" s="280"/>
    </row>
    <row r="272" spans="1:29" ht="42" customHeight="1" x14ac:dyDescent="0.2">
      <c r="A272" s="78"/>
      <c r="B272" s="280"/>
    </row>
    <row r="273" spans="1:2" ht="42" customHeight="1" x14ac:dyDescent="0.2">
      <c r="A273" s="78"/>
      <c r="B273" s="280"/>
    </row>
    <row r="274" spans="1:2" ht="42" customHeight="1" x14ac:dyDescent="0.2">
      <c r="A274" s="78"/>
      <c r="B274" s="280"/>
    </row>
    <row r="275" spans="1:2" ht="42" customHeight="1" x14ac:dyDescent="0.2">
      <c r="A275" s="78"/>
      <c r="B275" s="280"/>
    </row>
    <row r="276" spans="1:2" ht="42" customHeight="1" x14ac:dyDescent="0.2">
      <c r="A276" s="78"/>
      <c r="B276" s="280"/>
    </row>
    <row r="277" spans="1:2" ht="42" customHeight="1" x14ac:dyDescent="0.2">
      <c r="A277" s="78"/>
      <c r="B277" s="280"/>
    </row>
    <row r="278" spans="1:2" ht="42" customHeight="1" x14ac:dyDescent="0.2">
      <c r="A278" s="78"/>
      <c r="B278" s="280"/>
    </row>
    <row r="279" spans="1:2" ht="42" customHeight="1" x14ac:dyDescent="0.2">
      <c r="A279" s="78"/>
      <c r="B279" s="280"/>
    </row>
    <row r="280" spans="1:2" ht="42" customHeight="1" x14ac:dyDescent="0.2">
      <c r="A280" s="78"/>
      <c r="B280" s="280"/>
    </row>
    <row r="281" spans="1:2" ht="42" customHeight="1" x14ac:dyDescent="0.2">
      <c r="A281" s="78"/>
      <c r="B281" s="280"/>
    </row>
    <row r="282" spans="1:2" ht="42" customHeight="1" x14ac:dyDescent="0.2">
      <c r="A282" s="78"/>
      <c r="B282" s="280"/>
    </row>
    <row r="283" spans="1:2" ht="42" customHeight="1" x14ac:dyDescent="0.2">
      <c r="A283" s="78"/>
      <c r="B283" s="280"/>
    </row>
    <row r="284" spans="1:2" ht="42" customHeight="1" x14ac:dyDescent="0.2">
      <c r="A284" s="78"/>
      <c r="B284" s="280"/>
    </row>
    <row r="285" spans="1:2" ht="42" customHeight="1" x14ac:dyDescent="0.2">
      <c r="A285" s="78"/>
      <c r="B285" s="280"/>
    </row>
    <row r="286" spans="1:2" ht="42" customHeight="1" x14ac:dyDescent="0.2">
      <c r="A286" s="78"/>
      <c r="B286" s="280"/>
    </row>
    <row r="287" spans="1:2" ht="42" customHeight="1" x14ac:dyDescent="0.2">
      <c r="A287" s="78"/>
      <c r="B287" s="280"/>
    </row>
    <row r="288" spans="1:2" ht="42" customHeight="1" x14ac:dyDescent="0.2">
      <c r="A288" s="78"/>
      <c r="B288" s="280"/>
    </row>
    <row r="289" spans="1:2" ht="42" customHeight="1" x14ac:dyDescent="0.2">
      <c r="A289" s="78"/>
      <c r="B289" s="280"/>
    </row>
    <row r="290" spans="1:2" ht="42" customHeight="1" x14ac:dyDescent="0.2">
      <c r="A290" s="78"/>
      <c r="B290" s="280"/>
    </row>
    <row r="291" spans="1:2" ht="42" customHeight="1" x14ac:dyDescent="0.2">
      <c r="A291" s="78"/>
      <c r="B291" s="280"/>
    </row>
    <row r="292" spans="1:2" ht="42" customHeight="1" x14ac:dyDescent="0.2">
      <c r="A292" s="78"/>
      <c r="B292" s="280"/>
    </row>
    <row r="293" spans="1:2" ht="42" customHeight="1" x14ac:dyDescent="0.2">
      <c r="A293" s="78"/>
      <c r="B293" s="280"/>
    </row>
    <row r="294" spans="1:2" ht="42" customHeight="1" x14ac:dyDescent="0.2">
      <c r="A294" s="78"/>
      <c r="B294" s="280"/>
    </row>
    <row r="295" spans="1:2" ht="42" customHeight="1" x14ac:dyDescent="0.2">
      <c r="A295" s="78"/>
      <c r="B295" s="280"/>
    </row>
    <row r="296" spans="1:2" ht="42" customHeight="1" x14ac:dyDescent="0.2">
      <c r="A296" s="78"/>
      <c r="B296" s="280"/>
    </row>
    <row r="297" spans="1:2" ht="42" customHeight="1" x14ac:dyDescent="0.2">
      <c r="A297" s="78"/>
      <c r="B297" s="280"/>
    </row>
    <row r="298" spans="1:2" ht="42" customHeight="1" x14ac:dyDescent="0.2">
      <c r="A298" s="78"/>
      <c r="B298" s="280"/>
    </row>
    <row r="299" spans="1:2" ht="42" customHeight="1" x14ac:dyDescent="0.2">
      <c r="A299" s="78"/>
      <c r="B299" s="280"/>
    </row>
    <row r="300" spans="1:2" ht="42" customHeight="1" x14ac:dyDescent="0.2">
      <c r="A300" s="78"/>
      <c r="B300" s="280"/>
    </row>
    <row r="301" spans="1:2" ht="42" customHeight="1" x14ac:dyDescent="0.2">
      <c r="A301" s="78"/>
      <c r="B301" s="280"/>
    </row>
    <row r="302" spans="1:2" ht="42" customHeight="1" x14ac:dyDescent="0.2">
      <c r="A302" s="78"/>
      <c r="B302" s="280"/>
    </row>
    <row r="303" spans="1:2" ht="42" customHeight="1" x14ac:dyDescent="0.2">
      <c r="A303" s="78"/>
      <c r="B303" s="280"/>
    </row>
    <row r="304" spans="1:2" ht="42" customHeight="1" x14ac:dyDescent="0.2">
      <c r="A304" s="78"/>
      <c r="B304" s="280"/>
    </row>
    <row r="305" spans="1:2" ht="42" customHeight="1" x14ac:dyDescent="0.2">
      <c r="A305" s="78"/>
      <c r="B305" s="280"/>
    </row>
    <row r="306" spans="1:2" ht="42" customHeight="1" x14ac:dyDescent="0.2">
      <c r="A306" s="78"/>
      <c r="B306" s="280"/>
    </row>
    <row r="307" spans="1:2" ht="42" customHeight="1" x14ac:dyDescent="0.2">
      <c r="A307" s="78"/>
      <c r="B307" s="280"/>
    </row>
    <row r="308" spans="1:2" ht="42" customHeight="1" x14ac:dyDescent="0.2">
      <c r="A308" s="78"/>
      <c r="B308" s="280"/>
    </row>
    <row r="309" spans="1:2" ht="42" customHeight="1" x14ac:dyDescent="0.2">
      <c r="A309" s="78"/>
      <c r="B309" s="280"/>
    </row>
    <row r="310" spans="1:2" ht="42" customHeight="1" x14ac:dyDescent="0.2">
      <c r="A310" s="78"/>
      <c r="B310" s="280"/>
    </row>
    <row r="311" spans="1:2" ht="42" customHeight="1" x14ac:dyDescent="0.2">
      <c r="A311" s="78"/>
      <c r="B311" s="280"/>
    </row>
    <row r="312" spans="1:2" ht="42" customHeight="1" x14ac:dyDescent="0.2">
      <c r="A312" s="78"/>
      <c r="B312" s="280"/>
    </row>
    <row r="313" spans="1:2" ht="42" customHeight="1" x14ac:dyDescent="0.2">
      <c r="A313" s="78"/>
      <c r="B313" s="280"/>
    </row>
    <row r="314" spans="1:2" ht="42" customHeight="1" x14ac:dyDescent="0.2">
      <c r="A314" s="78"/>
      <c r="B314" s="280"/>
    </row>
    <row r="315" spans="1:2" ht="42" customHeight="1" x14ac:dyDescent="0.2">
      <c r="A315" s="78"/>
      <c r="B315" s="280"/>
    </row>
    <row r="316" spans="1:2" ht="42" customHeight="1" x14ac:dyDescent="0.2">
      <c r="A316" s="78"/>
      <c r="B316" s="280"/>
    </row>
    <row r="317" spans="1:2" ht="42" customHeight="1" x14ac:dyDescent="0.2">
      <c r="A317" s="78"/>
      <c r="B317" s="280"/>
    </row>
    <row r="318" spans="1:2" ht="42" customHeight="1" x14ac:dyDescent="0.2">
      <c r="A318" s="78"/>
      <c r="B318" s="280"/>
    </row>
    <row r="319" spans="1:2" ht="42" customHeight="1" x14ac:dyDescent="0.2">
      <c r="A319" s="78"/>
      <c r="B319" s="280"/>
    </row>
    <row r="320" spans="1:2" ht="42" customHeight="1" x14ac:dyDescent="0.2">
      <c r="A320" s="78"/>
      <c r="B320" s="280"/>
    </row>
    <row r="321" spans="1:2" ht="42" customHeight="1" x14ac:dyDescent="0.2">
      <c r="A321" s="78"/>
      <c r="B321" s="280"/>
    </row>
    <row r="322" spans="1:2" ht="42" customHeight="1" x14ac:dyDescent="0.2">
      <c r="A322" s="78"/>
      <c r="B322" s="280"/>
    </row>
    <row r="323" spans="1:2" ht="42" customHeight="1" x14ac:dyDescent="0.2">
      <c r="A323" s="78"/>
      <c r="B323" s="280"/>
    </row>
    <row r="324" spans="1:2" ht="42" customHeight="1" x14ac:dyDescent="0.2">
      <c r="A324" s="78"/>
      <c r="B324" s="280"/>
    </row>
    <row r="325" spans="1:2" ht="42" customHeight="1" x14ac:dyDescent="0.2">
      <c r="A325" s="78"/>
      <c r="B325" s="280"/>
    </row>
    <row r="326" spans="1:2" ht="42" customHeight="1" x14ac:dyDescent="0.2">
      <c r="A326" s="78"/>
      <c r="B326" s="280"/>
    </row>
    <row r="327" spans="1:2" ht="42" customHeight="1" x14ac:dyDescent="0.2">
      <c r="A327" s="78"/>
      <c r="B327" s="280"/>
    </row>
    <row r="328" spans="1:2" ht="42" customHeight="1" x14ac:dyDescent="0.2">
      <c r="A328" s="78"/>
      <c r="B328" s="280"/>
    </row>
    <row r="329" spans="1:2" ht="42" customHeight="1" x14ac:dyDescent="0.2">
      <c r="A329" s="78"/>
      <c r="B329" s="280"/>
    </row>
    <row r="330" spans="1:2" ht="42" customHeight="1" x14ac:dyDescent="0.2">
      <c r="A330" s="78"/>
      <c r="B330" s="280"/>
    </row>
    <row r="331" spans="1:2" ht="42" customHeight="1" x14ac:dyDescent="0.2">
      <c r="A331" s="78"/>
      <c r="B331" s="280"/>
    </row>
    <row r="332" spans="1:2" ht="42" customHeight="1" x14ac:dyDescent="0.2">
      <c r="A332" s="78"/>
      <c r="B332" s="280"/>
    </row>
    <row r="333" spans="1:2" ht="42" customHeight="1" x14ac:dyDescent="0.2">
      <c r="A333" s="78"/>
      <c r="B333" s="280"/>
    </row>
    <row r="334" spans="1:2" ht="42" customHeight="1" x14ac:dyDescent="0.2">
      <c r="A334" s="78"/>
      <c r="B334" s="280"/>
    </row>
    <row r="335" spans="1:2" ht="42" customHeight="1" x14ac:dyDescent="0.2">
      <c r="A335" s="78"/>
      <c r="B335" s="280"/>
    </row>
    <row r="336" spans="1:2" ht="42" customHeight="1" x14ac:dyDescent="0.2">
      <c r="A336" s="78"/>
      <c r="B336" s="280"/>
    </row>
    <row r="337" spans="1:2" ht="42" customHeight="1" x14ac:dyDescent="0.2">
      <c r="A337" s="78"/>
      <c r="B337" s="280"/>
    </row>
    <row r="338" spans="1:2" ht="42" customHeight="1" x14ac:dyDescent="0.2">
      <c r="A338" s="78"/>
      <c r="B338" s="280"/>
    </row>
    <row r="339" spans="1:2" ht="42" customHeight="1" x14ac:dyDescent="0.2">
      <c r="A339" s="78"/>
      <c r="B339" s="280"/>
    </row>
    <row r="340" spans="1:2" ht="42" customHeight="1" x14ac:dyDescent="0.2">
      <c r="A340" s="78"/>
      <c r="B340" s="280"/>
    </row>
    <row r="341" spans="1:2" ht="42" customHeight="1" x14ac:dyDescent="0.2">
      <c r="A341" s="78"/>
      <c r="B341" s="280"/>
    </row>
    <row r="342" spans="1:2" ht="42" customHeight="1" x14ac:dyDescent="0.2">
      <c r="A342" s="78"/>
      <c r="B342" s="280"/>
    </row>
    <row r="343" spans="1:2" ht="42" customHeight="1" x14ac:dyDescent="0.2">
      <c r="A343" s="78"/>
      <c r="B343" s="280"/>
    </row>
  </sheetData>
  <mergeCells count="190">
    <mergeCell ref="X22:X24"/>
    <mergeCell ref="AB22:AB24"/>
    <mergeCell ref="A22:A24"/>
    <mergeCell ref="C22:C24"/>
    <mergeCell ref="D22:D24"/>
    <mergeCell ref="H22:H24"/>
    <mergeCell ref="I22:I24"/>
    <mergeCell ref="M22:M24"/>
    <mergeCell ref="N22:N24"/>
    <mergeCell ref="R22:R24"/>
    <mergeCell ref="S22:S24"/>
    <mergeCell ref="N221:N239"/>
    <mergeCell ref="R221:R239"/>
    <mergeCell ref="S221:S239"/>
    <mergeCell ref="A85:A91"/>
    <mergeCell ref="A43:A49"/>
    <mergeCell ref="C85:C91"/>
    <mergeCell ref="D85:D91"/>
    <mergeCell ref="H85:H91"/>
    <mergeCell ref="D43:D49"/>
    <mergeCell ref="H43:H49"/>
    <mergeCell ref="E85:E87"/>
    <mergeCell ref="A50:A84"/>
    <mergeCell ref="C50:C84"/>
    <mergeCell ref="D50:D84"/>
    <mergeCell ref="H50:H84"/>
    <mergeCell ref="P92:P140"/>
    <mergeCell ref="Q92:Q140"/>
    <mergeCell ref="R92:R140"/>
    <mergeCell ref="S92:S140"/>
    <mergeCell ref="R8:R21"/>
    <mergeCell ref="R25:R42"/>
    <mergeCell ref="C43:C49"/>
    <mergeCell ref="M43:M49"/>
    <mergeCell ref="N43:N49"/>
    <mergeCell ref="R43:R49"/>
    <mergeCell ref="S43:S49"/>
    <mergeCell ref="W43:W49"/>
    <mergeCell ref="I85:I91"/>
    <mergeCell ref="I43:I49"/>
    <mergeCell ref="L85:L87"/>
    <mergeCell ref="O85:O87"/>
    <mergeCell ref="P85:P87"/>
    <mergeCell ref="S85:S91"/>
    <mergeCell ref="I50:I84"/>
    <mergeCell ref="M85:M91"/>
    <mergeCell ref="N85:N91"/>
    <mergeCell ref="R85:R91"/>
    <mergeCell ref="M50:M84"/>
    <mergeCell ref="N50:N84"/>
    <mergeCell ref="R50:R84"/>
    <mergeCell ref="S50:S84"/>
    <mergeCell ref="W22:W24"/>
    <mergeCell ref="A267:B267"/>
    <mergeCell ref="W8:W21"/>
    <mergeCell ref="Q85:Q87"/>
    <mergeCell ref="A25:A42"/>
    <mergeCell ref="D25:D42"/>
    <mergeCell ref="H25:H42"/>
    <mergeCell ref="F85:F87"/>
    <mergeCell ref="G85:G87"/>
    <mergeCell ref="C25:C42"/>
    <mergeCell ref="A8:A21"/>
    <mergeCell ref="C8:C21"/>
    <mergeCell ref="D8:D21"/>
    <mergeCell ref="H8:H21"/>
    <mergeCell ref="I8:I21"/>
    <mergeCell ref="M8:M21"/>
    <mergeCell ref="N8:N21"/>
    <mergeCell ref="S25:S42"/>
    <mergeCell ref="I25:I42"/>
    <mergeCell ref="M25:M42"/>
    <mergeCell ref="N25:N42"/>
    <mergeCell ref="W25:W42"/>
    <mergeCell ref="S8:S21"/>
    <mergeCell ref="J85:J87"/>
    <mergeCell ref="K85:K87"/>
    <mergeCell ref="M5:Q5"/>
    <mergeCell ref="R5:V5"/>
    <mergeCell ref="W5:AA5"/>
    <mergeCell ref="B3:AB3"/>
    <mergeCell ref="A4:A6"/>
    <mergeCell ref="B4:B6"/>
    <mergeCell ref="C4:AA4"/>
    <mergeCell ref="AB4:AB6"/>
    <mergeCell ref="C5:G5"/>
    <mergeCell ref="H5:L5"/>
    <mergeCell ref="W240:W258"/>
    <mergeCell ref="X240:X258"/>
    <mergeCell ref="AB240:AB258"/>
    <mergeCell ref="W221:W239"/>
    <mergeCell ref="X221:X239"/>
    <mergeCell ref="AB221:AB239"/>
    <mergeCell ref="AB260:AB262"/>
    <mergeCell ref="W260:W262"/>
    <mergeCell ref="A260:A262"/>
    <mergeCell ref="C260:C262"/>
    <mergeCell ref="D260:D262"/>
    <mergeCell ref="H260:H262"/>
    <mergeCell ref="I260:I262"/>
    <mergeCell ref="M260:M262"/>
    <mergeCell ref="N260:N262"/>
    <mergeCell ref="R260:R262"/>
    <mergeCell ref="S260:S262"/>
    <mergeCell ref="X260:X262"/>
    <mergeCell ref="A221:A239"/>
    <mergeCell ref="C221:C239"/>
    <mergeCell ref="D221:D239"/>
    <mergeCell ref="H221:H239"/>
    <mergeCell ref="I221:I239"/>
    <mergeCell ref="M221:M239"/>
    <mergeCell ref="Y92:Y140"/>
    <mergeCell ref="Z92:Z140"/>
    <mergeCell ref="AA92:AA140"/>
    <mergeCell ref="W2:AB2"/>
    <mergeCell ref="W1:AB1"/>
    <mergeCell ref="T85:T87"/>
    <mergeCell ref="U85:U87"/>
    <mergeCell ref="V85:V87"/>
    <mergeCell ref="Y85:Y87"/>
    <mergeCell ref="Z85:Z87"/>
    <mergeCell ref="AA85:AA87"/>
    <mergeCell ref="X25:X42"/>
    <mergeCell ref="X8:X21"/>
    <mergeCell ref="AB8:AB21"/>
    <mergeCell ref="AB25:AB42"/>
    <mergeCell ref="AB43:AB49"/>
    <mergeCell ref="W85:W91"/>
    <mergeCell ref="X85:X91"/>
    <mergeCell ref="AB85:AB91"/>
    <mergeCell ref="X43:X49"/>
    <mergeCell ref="AB50:AB84"/>
    <mergeCell ref="W50:W84"/>
    <mergeCell ref="X50:X84"/>
    <mergeCell ref="T92:T140"/>
    <mergeCell ref="A240:A258"/>
    <mergeCell ref="C240:C258"/>
    <mergeCell ref="D240:D258"/>
    <mergeCell ref="H240:H258"/>
    <mergeCell ref="I240:I258"/>
    <mergeCell ref="M240:M258"/>
    <mergeCell ref="N240:N258"/>
    <mergeCell ref="R240:R258"/>
    <mergeCell ref="S240:S258"/>
    <mergeCell ref="U141:U191"/>
    <mergeCell ref="V141:V191"/>
    <mergeCell ref="W141:W191"/>
    <mergeCell ref="X141:X191"/>
    <mergeCell ref="A92:A140"/>
    <mergeCell ref="C92:C140"/>
    <mergeCell ref="D92:D140"/>
    <mergeCell ref="E92:E140"/>
    <mergeCell ref="F92:F140"/>
    <mergeCell ref="G92:G140"/>
    <mergeCell ref="H92:H140"/>
    <mergeCell ref="I92:I140"/>
    <mergeCell ref="J92:J140"/>
    <mergeCell ref="K92:K140"/>
    <mergeCell ref="L92:L140"/>
    <mergeCell ref="M92:M140"/>
    <mergeCell ref="N92:N140"/>
    <mergeCell ref="O92:O140"/>
    <mergeCell ref="U92:U140"/>
    <mergeCell ref="V92:V140"/>
    <mergeCell ref="W92:W140"/>
    <mergeCell ref="X92:X140"/>
    <mergeCell ref="Y141:Y191"/>
    <mergeCell ref="Z141:Z191"/>
    <mergeCell ref="AA141:AA191"/>
    <mergeCell ref="AB141:AB191"/>
    <mergeCell ref="AB92:AB140"/>
    <mergeCell ref="A141:A191"/>
    <mergeCell ref="C141:C191"/>
    <mergeCell ref="D141:D191"/>
    <mergeCell ref="E141:E191"/>
    <mergeCell ref="F141:F191"/>
    <mergeCell ref="G141:G191"/>
    <mergeCell ref="H141:H191"/>
    <mergeCell ref="I141:I191"/>
    <mergeCell ref="J141:J191"/>
    <mergeCell ref="K141:K191"/>
    <mergeCell ref="L141:L191"/>
    <mergeCell ref="M141:M191"/>
    <mergeCell ref="N141:N191"/>
    <mergeCell ref="O141:O191"/>
    <mergeCell ref="P141:P191"/>
    <mergeCell ref="Q141:Q191"/>
    <mergeCell ref="R141:R191"/>
    <mergeCell ref="S141:S191"/>
    <mergeCell ref="T141:T191"/>
  </mergeCells>
  <printOptions horizontalCentered="1"/>
  <pageMargins left="0.19685039370078741" right="0.19685039370078741" top="0.62992125984251968" bottom="0.59055118110236227" header="0.19685039370078741" footer="0.15748031496062992"/>
  <pageSetup paperSize="8" scale="57" fitToHeight="0" orientation="landscape" r:id="rId1"/>
  <headerFooter alignWithMargins="0"/>
  <rowBreaks count="4" manualBreakCount="4">
    <brk id="36" max="27" man="1"/>
    <brk id="81" max="27" man="1"/>
    <brk id="171" max="27" man="1"/>
    <brk id="220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515"/>
  <sheetViews>
    <sheetView showRuler="0" view="pageBreakPreview" topLeftCell="A246" zoomScale="80" zoomScaleNormal="79" zoomScaleSheetLayoutView="80" zoomScalePageLayoutView="80" workbookViewId="0">
      <selection activeCell="I256" sqref="I256"/>
    </sheetView>
  </sheetViews>
  <sheetFormatPr defaultColWidth="8.7109375" defaultRowHeight="12.75" outlineLevelRow="1" x14ac:dyDescent="0.2"/>
  <cols>
    <col min="1" max="1" width="6.85546875" style="377" customWidth="1"/>
    <col min="2" max="2" width="26.28515625" style="3" customWidth="1"/>
    <col min="3" max="3" width="9" style="378" customWidth="1"/>
    <col min="4" max="4" width="13.5703125" style="264" customWidth="1"/>
    <col min="5" max="5" width="7.7109375" style="264" customWidth="1"/>
    <col min="6" max="6" width="13.28515625" style="264" customWidth="1"/>
    <col min="7" max="7" width="9.5703125" style="264" customWidth="1"/>
    <col min="8" max="8" width="11.140625" style="264" customWidth="1"/>
    <col min="9" max="9" width="10.140625" style="264" customWidth="1"/>
    <col min="10" max="10" width="9" style="264" customWidth="1"/>
    <col min="11" max="11" width="11" style="1" customWidth="1"/>
    <col min="12" max="12" width="8.85546875" style="1" customWidth="1"/>
    <col min="13" max="13" width="10.85546875" style="78" customWidth="1"/>
    <col min="14" max="14" width="10.140625" style="78" customWidth="1"/>
    <col min="15" max="15" width="7.5703125" style="382" customWidth="1"/>
    <col min="16" max="16" width="10.85546875" style="383" customWidth="1"/>
    <col min="17" max="17" width="9" style="383" customWidth="1"/>
    <col min="18" max="18" width="10.85546875" style="78" customWidth="1"/>
    <col min="19" max="19" width="10.140625" style="78" customWidth="1"/>
    <col min="20" max="20" width="7.7109375" style="382" customWidth="1"/>
    <col min="21" max="21" width="12.7109375" style="383" customWidth="1"/>
    <col min="22" max="22" width="9.85546875" style="383" customWidth="1"/>
    <col min="23" max="23" width="12.5703125" style="78" customWidth="1"/>
    <col min="24" max="24" width="10.7109375" style="78" customWidth="1"/>
    <col min="25" max="25" width="8.42578125" style="382" customWidth="1"/>
    <col min="26" max="26" width="11" style="383" customWidth="1"/>
    <col min="27" max="27" width="9.7109375" style="78" customWidth="1"/>
    <col min="28" max="28" width="10.85546875" style="78" customWidth="1"/>
    <col min="29" max="29" width="10.140625" style="78" customWidth="1"/>
    <col min="30" max="30" width="14.28515625" style="3" bestFit="1" customWidth="1"/>
    <col min="31" max="31" width="14.7109375" style="3" customWidth="1"/>
    <col min="32" max="32" width="10.85546875" style="3" bestFit="1" customWidth="1"/>
    <col min="33" max="16384" width="8.7109375" style="3"/>
  </cols>
  <sheetData>
    <row r="1" spans="1:29" ht="85.15" customHeight="1" x14ac:dyDescent="0.2">
      <c r="A1" s="284"/>
      <c r="B1" s="31"/>
      <c r="C1" s="285"/>
      <c r="D1" s="31"/>
      <c r="E1" s="285"/>
      <c r="F1" s="31"/>
      <c r="G1" s="31"/>
      <c r="H1" s="31"/>
      <c r="I1" s="31"/>
      <c r="J1" s="285"/>
      <c r="K1" s="31"/>
      <c r="L1" s="31"/>
      <c r="M1" s="31"/>
      <c r="N1" s="31"/>
      <c r="O1" s="285"/>
      <c r="P1" s="31"/>
      <c r="Q1" s="31"/>
      <c r="R1" s="31"/>
      <c r="S1" s="31"/>
      <c r="T1" s="285"/>
      <c r="U1" s="31"/>
      <c r="V1" s="31"/>
      <c r="W1" s="31"/>
      <c r="X1" s="31"/>
      <c r="Y1" s="74"/>
      <c r="Z1" s="402" t="s">
        <v>1011</v>
      </c>
      <c r="AA1" s="402"/>
      <c r="AB1" s="402"/>
      <c r="AC1" s="402"/>
    </row>
    <row r="2" spans="1:29" ht="115.15" customHeight="1" x14ac:dyDescent="0.2">
      <c r="A2" s="284"/>
      <c r="B2" s="31"/>
      <c r="C2" s="285"/>
      <c r="D2" s="31"/>
      <c r="E2" s="285"/>
      <c r="F2" s="31"/>
      <c r="G2" s="31"/>
      <c r="H2" s="31"/>
      <c r="I2" s="31"/>
      <c r="J2" s="285"/>
      <c r="K2" s="31"/>
      <c r="L2" s="31"/>
      <c r="M2" s="31"/>
      <c r="N2" s="31"/>
      <c r="O2" s="285"/>
      <c r="P2" s="31"/>
      <c r="Q2" s="31"/>
      <c r="R2" s="31"/>
      <c r="S2" s="31"/>
      <c r="T2" s="285"/>
      <c r="U2" s="31"/>
      <c r="V2" s="31"/>
      <c r="W2" s="31"/>
      <c r="X2" s="31"/>
      <c r="Y2" s="74"/>
      <c r="Z2" s="402" t="s">
        <v>829</v>
      </c>
      <c r="AA2" s="402"/>
      <c r="AB2" s="402"/>
      <c r="AC2" s="402"/>
    </row>
    <row r="3" spans="1:29" ht="51" customHeight="1" x14ac:dyDescent="0.3">
      <c r="A3" s="429" t="s">
        <v>1240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</row>
    <row r="4" spans="1:29" s="6" customFormat="1" ht="15.6" customHeight="1" x14ac:dyDescent="0.2">
      <c r="A4" s="439" t="s">
        <v>849</v>
      </c>
      <c r="B4" s="424" t="s">
        <v>0</v>
      </c>
      <c r="C4" s="428" t="s">
        <v>899</v>
      </c>
      <c r="D4" s="428" t="s">
        <v>850</v>
      </c>
      <c r="E4" s="435" t="s">
        <v>80</v>
      </c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</row>
    <row r="5" spans="1:29" s="5" customFormat="1" ht="27.4" customHeight="1" x14ac:dyDescent="0.2">
      <c r="A5" s="439"/>
      <c r="B5" s="424"/>
      <c r="C5" s="428"/>
      <c r="D5" s="428"/>
      <c r="E5" s="425" t="s">
        <v>108</v>
      </c>
      <c r="F5" s="425"/>
      <c r="G5" s="425"/>
      <c r="H5" s="425"/>
      <c r="I5" s="425"/>
      <c r="J5" s="423" t="s">
        <v>109</v>
      </c>
      <c r="K5" s="423"/>
      <c r="L5" s="423"/>
      <c r="M5" s="423"/>
      <c r="N5" s="423"/>
      <c r="O5" s="423" t="s">
        <v>110</v>
      </c>
      <c r="P5" s="423"/>
      <c r="Q5" s="423"/>
      <c r="R5" s="423"/>
      <c r="S5" s="423"/>
      <c r="T5" s="423" t="s">
        <v>111</v>
      </c>
      <c r="U5" s="423"/>
      <c r="V5" s="423"/>
      <c r="W5" s="423"/>
      <c r="X5" s="423"/>
      <c r="Y5" s="423" t="s">
        <v>112</v>
      </c>
      <c r="Z5" s="426"/>
      <c r="AA5" s="426"/>
      <c r="AB5" s="426"/>
      <c r="AC5" s="427"/>
    </row>
    <row r="6" spans="1:29" s="5" customFormat="1" ht="64.150000000000006" customHeight="1" x14ac:dyDescent="0.2">
      <c r="A6" s="439"/>
      <c r="B6" s="424"/>
      <c r="C6" s="428"/>
      <c r="D6" s="428"/>
      <c r="E6" s="286" t="s">
        <v>899</v>
      </c>
      <c r="F6" s="276" t="s">
        <v>12</v>
      </c>
      <c r="G6" s="276" t="s">
        <v>851</v>
      </c>
      <c r="H6" s="287" t="s">
        <v>13</v>
      </c>
      <c r="I6" s="288" t="s">
        <v>65</v>
      </c>
      <c r="J6" s="286" t="s">
        <v>899</v>
      </c>
      <c r="K6" s="276" t="s">
        <v>12</v>
      </c>
      <c r="L6" s="276" t="s">
        <v>851</v>
      </c>
      <c r="M6" s="288" t="s">
        <v>13</v>
      </c>
      <c r="N6" s="288" t="s">
        <v>65</v>
      </c>
      <c r="O6" s="286" t="s">
        <v>899</v>
      </c>
      <c r="P6" s="276" t="s">
        <v>12</v>
      </c>
      <c r="Q6" s="276" t="s">
        <v>851</v>
      </c>
      <c r="R6" s="288" t="s">
        <v>13</v>
      </c>
      <c r="S6" s="288" t="s">
        <v>65</v>
      </c>
      <c r="T6" s="286" t="s">
        <v>899</v>
      </c>
      <c r="U6" s="276" t="s">
        <v>12</v>
      </c>
      <c r="V6" s="276" t="s">
        <v>851</v>
      </c>
      <c r="W6" s="288" t="s">
        <v>13</v>
      </c>
      <c r="X6" s="288" t="s">
        <v>65</v>
      </c>
      <c r="Y6" s="286" t="s">
        <v>899</v>
      </c>
      <c r="Z6" s="276" t="s">
        <v>12</v>
      </c>
      <c r="AA6" s="276" t="s">
        <v>851</v>
      </c>
      <c r="AB6" s="288" t="s">
        <v>852</v>
      </c>
      <c r="AC6" s="288" t="s">
        <v>151</v>
      </c>
    </row>
    <row r="7" spans="1:29" ht="22.35" customHeight="1" x14ac:dyDescent="0.2">
      <c r="A7" s="247">
        <v>1</v>
      </c>
      <c r="B7" s="289">
        <v>2</v>
      </c>
      <c r="C7" s="247">
        <v>3</v>
      </c>
      <c r="D7" s="247">
        <v>4</v>
      </c>
      <c r="E7" s="247">
        <v>5</v>
      </c>
      <c r="F7" s="247">
        <v>6</v>
      </c>
      <c r="G7" s="247">
        <v>7</v>
      </c>
      <c r="H7" s="247">
        <v>8</v>
      </c>
      <c r="I7" s="247">
        <v>9</v>
      </c>
      <c r="J7" s="247">
        <v>10</v>
      </c>
      <c r="K7" s="247">
        <v>11</v>
      </c>
      <c r="L7" s="247">
        <v>12</v>
      </c>
      <c r="M7" s="290">
        <v>13</v>
      </c>
      <c r="N7" s="290">
        <v>14</v>
      </c>
      <c r="O7" s="290">
        <v>15</v>
      </c>
      <c r="P7" s="290">
        <v>16</v>
      </c>
      <c r="Q7" s="290">
        <v>17</v>
      </c>
      <c r="R7" s="290">
        <v>18</v>
      </c>
      <c r="S7" s="290">
        <v>19</v>
      </c>
      <c r="T7" s="290">
        <v>20</v>
      </c>
      <c r="U7" s="290">
        <v>21</v>
      </c>
      <c r="V7" s="290">
        <v>22</v>
      </c>
      <c r="W7" s="290">
        <v>23</v>
      </c>
      <c r="X7" s="290">
        <v>24</v>
      </c>
      <c r="Y7" s="290">
        <v>25</v>
      </c>
      <c r="Z7" s="290">
        <v>26</v>
      </c>
      <c r="AA7" s="290">
        <v>27</v>
      </c>
      <c r="AB7" s="290">
        <v>28</v>
      </c>
      <c r="AC7" s="290">
        <v>29</v>
      </c>
    </row>
    <row r="8" spans="1:29" ht="21" customHeight="1" x14ac:dyDescent="0.2">
      <c r="A8" s="438" t="s">
        <v>1200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</row>
    <row r="9" spans="1:29" s="1" customFormat="1" ht="91.15" customHeight="1" x14ac:dyDescent="0.2">
      <c r="A9" s="291" t="s">
        <v>1</v>
      </c>
      <c r="B9" s="292" t="s">
        <v>853</v>
      </c>
      <c r="C9" s="293">
        <f>E9+J9+O9+T9+Y9</f>
        <v>0.55000000000000004</v>
      </c>
      <c r="D9" s="248">
        <f>F9+K9+P9+U9+Z9</f>
        <v>95677</v>
      </c>
      <c r="E9" s="293">
        <f t="shared" ref="E9:AC9" si="0">E10+E11+E12</f>
        <v>0</v>
      </c>
      <c r="F9" s="248">
        <f t="shared" si="0"/>
        <v>0</v>
      </c>
      <c r="G9" s="248">
        <f t="shared" si="0"/>
        <v>0</v>
      </c>
      <c r="H9" s="248">
        <f t="shared" si="0"/>
        <v>0</v>
      </c>
      <c r="I9" s="248">
        <f t="shared" si="0"/>
        <v>0</v>
      </c>
      <c r="J9" s="293">
        <f>J10+J11+J12</f>
        <v>0</v>
      </c>
      <c r="K9" s="248">
        <f t="shared" si="0"/>
        <v>0</v>
      </c>
      <c r="L9" s="248">
        <f t="shared" si="0"/>
        <v>0</v>
      </c>
      <c r="M9" s="248">
        <f t="shared" si="0"/>
        <v>0</v>
      </c>
      <c r="N9" s="248">
        <f t="shared" si="0"/>
        <v>0</v>
      </c>
      <c r="O9" s="293">
        <f t="shared" si="0"/>
        <v>0</v>
      </c>
      <c r="P9" s="248">
        <f t="shared" si="0"/>
        <v>0</v>
      </c>
      <c r="Q9" s="248">
        <f t="shared" si="0"/>
        <v>0</v>
      </c>
      <c r="R9" s="248">
        <f t="shared" si="0"/>
        <v>0</v>
      </c>
      <c r="S9" s="248">
        <f t="shared" si="0"/>
        <v>0</v>
      </c>
      <c r="T9" s="293">
        <f t="shared" si="0"/>
        <v>0.55000000000000004</v>
      </c>
      <c r="U9" s="248">
        <f t="shared" si="0"/>
        <v>95677</v>
      </c>
      <c r="V9" s="248">
        <f t="shared" si="0"/>
        <v>0</v>
      </c>
      <c r="W9" s="248">
        <f t="shared" si="0"/>
        <v>88190</v>
      </c>
      <c r="X9" s="248">
        <f t="shared" si="0"/>
        <v>7487</v>
      </c>
      <c r="Y9" s="293">
        <f t="shared" si="0"/>
        <v>0</v>
      </c>
      <c r="Z9" s="248">
        <f t="shared" si="0"/>
        <v>0</v>
      </c>
      <c r="AA9" s="248">
        <f t="shared" si="0"/>
        <v>0</v>
      </c>
      <c r="AB9" s="248">
        <f t="shared" si="0"/>
        <v>0</v>
      </c>
      <c r="AC9" s="248">
        <f t="shared" si="0"/>
        <v>0</v>
      </c>
    </row>
    <row r="10" spans="1:29" s="1" customFormat="1" ht="85.15" customHeight="1" outlineLevel="1" x14ac:dyDescent="0.2">
      <c r="A10" s="294" t="s">
        <v>19</v>
      </c>
      <c r="B10" s="295" t="s">
        <v>854</v>
      </c>
      <c r="C10" s="296">
        <f t="shared" ref="C10:C20" si="1">E10+J10+O10+T10+Y10</f>
        <v>0.55000000000000004</v>
      </c>
      <c r="D10" s="249">
        <f t="shared" ref="D10:D36" si="2">F10+K10+P10+U10+Z10</f>
        <v>92637</v>
      </c>
      <c r="E10" s="296">
        <v>0</v>
      </c>
      <c r="F10" s="249">
        <v>0</v>
      </c>
      <c r="G10" s="249">
        <v>0</v>
      </c>
      <c r="H10" s="249">
        <v>0</v>
      </c>
      <c r="I10" s="249">
        <v>0</v>
      </c>
      <c r="J10" s="297">
        <v>0</v>
      </c>
      <c r="K10" s="249">
        <f>SUM(L10:N10)</f>
        <v>0</v>
      </c>
      <c r="L10" s="249">
        <v>0</v>
      </c>
      <c r="M10" s="251">
        <v>0</v>
      </c>
      <c r="N10" s="251">
        <v>0</v>
      </c>
      <c r="O10" s="297">
        <v>0</v>
      </c>
      <c r="P10" s="249">
        <v>0</v>
      </c>
      <c r="Q10" s="251">
        <v>0</v>
      </c>
      <c r="R10" s="251">
        <v>0</v>
      </c>
      <c r="S10" s="251">
        <v>0</v>
      </c>
      <c r="T10" s="297">
        <v>0.55000000000000004</v>
      </c>
      <c r="U10" s="249">
        <f>W10+X10+V10</f>
        <v>92637</v>
      </c>
      <c r="V10" s="251">
        <v>0</v>
      </c>
      <c r="W10" s="251">
        <v>88190</v>
      </c>
      <c r="X10" s="251">
        <v>4447</v>
      </c>
      <c r="Y10" s="297">
        <v>0</v>
      </c>
      <c r="Z10" s="249">
        <f>AB10+AC10+AA10</f>
        <v>0</v>
      </c>
      <c r="AA10" s="251">
        <v>0</v>
      </c>
      <c r="AB10" s="251">
        <v>0</v>
      </c>
      <c r="AC10" s="251">
        <v>0</v>
      </c>
    </row>
    <row r="11" spans="1:29" s="1" customFormat="1" ht="101.45" customHeight="1" outlineLevel="1" x14ac:dyDescent="0.2">
      <c r="A11" s="294" t="s">
        <v>85</v>
      </c>
      <c r="B11" s="295" t="s">
        <v>855</v>
      </c>
      <c r="C11" s="296">
        <f t="shared" si="1"/>
        <v>0</v>
      </c>
      <c r="D11" s="249">
        <f t="shared" si="2"/>
        <v>2082</v>
      </c>
      <c r="E11" s="296">
        <v>0</v>
      </c>
      <c r="F11" s="249">
        <f>H11+I11</f>
        <v>0</v>
      </c>
      <c r="G11" s="249">
        <v>0</v>
      </c>
      <c r="H11" s="249">
        <v>0</v>
      </c>
      <c r="I11" s="249">
        <v>0</v>
      </c>
      <c r="J11" s="297">
        <v>0</v>
      </c>
      <c r="K11" s="249">
        <f>SUM(L11:N11)</f>
        <v>0</v>
      </c>
      <c r="L11" s="249">
        <v>0</v>
      </c>
      <c r="M11" s="251">
        <v>0</v>
      </c>
      <c r="N11" s="251">
        <v>0</v>
      </c>
      <c r="O11" s="297">
        <v>0</v>
      </c>
      <c r="P11" s="249">
        <f>R11+S11</f>
        <v>0</v>
      </c>
      <c r="Q11" s="251">
        <v>0</v>
      </c>
      <c r="R11" s="251">
        <v>0</v>
      </c>
      <c r="S11" s="251">
        <v>0</v>
      </c>
      <c r="T11" s="297">
        <v>0</v>
      </c>
      <c r="U11" s="249">
        <f>W11+X11</f>
        <v>2082</v>
      </c>
      <c r="V11" s="251">
        <v>0</v>
      </c>
      <c r="W11" s="251">
        <v>0</v>
      </c>
      <c r="X11" s="251">
        <v>2082</v>
      </c>
      <c r="Y11" s="297">
        <v>0</v>
      </c>
      <c r="Z11" s="249">
        <f>AB11+AC11</f>
        <v>0</v>
      </c>
      <c r="AA11" s="251">
        <v>0</v>
      </c>
      <c r="AB11" s="251">
        <v>0</v>
      </c>
      <c r="AC11" s="251">
        <v>0</v>
      </c>
    </row>
    <row r="12" spans="1:29" s="1" customFormat="1" ht="99.6" customHeight="1" outlineLevel="1" x14ac:dyDescent="0.2">
      <c r="A12" s="294" t="s">
        <v>113</v>
      </c>
      <c r="B12" s="295" t="s">
        <v>856</v>
      </c>
      <c r="C12" s="296">
        <f t="shared" si="1"/>
        <v>0</v>
      </c>
      <c r="D12" s="249">
        <f t="shared" si="2"/>
        <v>958</v>
      </c>
      <c r="E12" s="296">
        <v>0</v>
      </c>
      <c r="F12" s="249">
        <v>0</v>
      </c>
      <c r="G12" s="249">
        <v>0</v>
      </c>
      <c r="H12" s="249">
        <v>0</v>
      </c>
      <c r="I12" s="249">
        <v>0</v>
      </c>
      <c r="J12" s="297">
        <v>0</v>
      </c>
      <c r="K12" s="249">
        <f>SUM(L12:N12)</f>
        <v>0</v>
      </c>
      <c r="L12" s="249">
        <v>0</v>
      </c>
      <c r="M12" s="251">
        <v>0</v>
      </c>
      <c r="N12" s="251">
        <v>0</v>
      </c>
      <c r="O12" s="297">
        <v>0</v>
      </c>
      <c r="P12" s="249">
        <f>R12+S12</f>
        <v>0</v>
      </c>
      <c r="Q12" s="251">
        <v>0</v>
      </c>
      <c r="R12" s="251">
        <v>0</v>
      </c>
      <c r="S12" s="251">
        <v>0</v>
      </c>
      <c r="T12" s="297">
        <v>0</v>
      </c>
      <c r="U12" s="249">
        <f>W12+X12</f>
        <v>958</v>
      </c>
      <c r="V12" s="251">
        <v>0</v>
      </c>
      <c r="W12" s="251">
        <v>0</v>
      </c>
      <c r="X12" s="251">
        <v>958</v>
      </c>
      <c r="Y12" s="297">
        <v>0</v>
      </c>
      <c r="Z12" s="249">
        <f>AB12+AC12</f>
        <v>0</v>
      </c>
      <c r="AA12" s="251">
        <v>0</v>
      </c>
      <c r="AB12" s="251">
        <v>0</v>
      </c>
      <c r="AC12" s="251">
        <v>0</v>
      </c>
    </row>
    <row r="13" spans="1:29" s="1" customFormat="1" ht="53.25" customHeight="1" x14ac:dyDescent="0.2">
      <c r="A13" s="291" t="s">
        <v>62</v>
      </c>
      <c r="B13" s="292" t="s">
        <v>991</v>
      </c>
      <c r="C13" s="293">
        <f>E13+J13+O13+T13+Y13</f>
        <v>0</v>
      </c>
      <c r="D13" s="248">
        <f>F13+K13+P13+U13+Z13</f>
        <v>0</v>
      </c>
      <c r="E13" s="293">
        <f>E14+E15+E16</f>
        <v>0</v>
      </c>
      <c r="F13" s="248">
        <f t="shared" ref="F13:AC13" si="3">F14+F15+F16</f>
        <v>0</v>
      </c>
      <c r="G13" s="248">
        <f t="shared" si="3"/>
        <v>0</v>
      </c>
      <c r="H13" s="248">
        <f t="shared" si="3"/>
        <v>0</v>
      </c>
      <c r="I13" s="248">
        <f t="shared" si="3"/>
        <v>0</v>
      </c>
      <c r="J13" s="293">
        <f t="shared" si="3"/>
        <v>0</v>
      </c>
      <c r="K13" s="248">
        <f>K14+K15+K16</f>
        <v>0</v>
      </c>
      <c r="L13" s="248">
        <f t="shared" si="3"/>
        <v>0</v>
      </c>
      <c r="M13" s="248">
        <f t="shared" si="3"/>
        <v>0</v>
      </c>
      <c r="N13" s="248">
        <f>N14+N15+N16</f>
        <v>0</v>
      </c>
      <c r="O13" s="293">
        <f>O14+O15+O16</f>
        <v>0</v>
      </c>
      <c r="P13" s="248">
        <f t="shared" si="3"/>
        <v>0</v>
      </c>
      <c r="Q13" s="248">
        <f t="shared" si="3"/>
        <v>0</v>
      </c>
      <c r="R13" s="248">
        <f t="shared" si="3"/>
        <v>0</v>
      </c>
      <c r="S13" s="248">
        <f t="shared" si="3"/>
        <v>0</v>
      </c>
      <c r="T13" s="293">
        <f t="shared" si="3"/>
        <v>0</v>
      </c>
      <c r="U13" s="248">
        <f t="shared" si="3"/>
        <v>0</v>
      </c>
      <c r="V13" s="248">
        <f t="shared" si="3"/>
        <v>0</v>
      </c>
      <c r="W13" s="248">
        <f t="shared" si="3"/>
        <v>0</v>
      </c>
      <c r="X13" s="248">
        <f t="shared" si="3"/>
        <v>0</v>
      </c>
      <c r="Y13" s="293">
        <f t="shared" si="3"/>
        <v>0</v>
      </c>
      <c r="Z13" s="248">
        <f t="shared" si="3"/>
        <v>0</v>
      </c>
      <c r="AA13" s="248">
        <f t="shared" si="3"/>
        <v>0</v>
      </c>
      <c r="AB13" s="248">
        <f t="shared" si="3"/>
        <v>0</v>
      </c>
      <c r="AC13" s="248">
        <f t="shared" si="3"/>
        <v>0</v>
      </c>
    </row>
    <row r="14" spans="1:29" s="1" customFormat="1" ht="52.15" customHeight="1" outlineLevel="1" x14ac:dyDescent="0.2">
      <c r="A14" s="294" t="s">
        <v>63</v>
      </c>
      <c r="B14" s="295" t="s">
        <v>991</v>
      </c>
      <c r="C14" s="296">
        <f t="shared" si="1"/>
        <v>0</v>
      </c>
      <c r="D14" s="249">
        <f>F14+K14+P14+U14+Z14</f>
        <v>0</v>
      </c>
      <c r="E14" s="296">
        <v>0</v>
      </c>
      <c r="F14" s="249">
        <v>0</v>
      </c>
      <c r="G14" s="249">
        <v>0</v>
      </c>
      <c r="H14" s="249">
        <v>0</v>
      </c>
      <c r="I14" s="249">
        <v>0</v>
      </c>
      <c r="J14" s="297">
        <v>0</v>
      </c>
      <c r="K14" s="249">
        <v>0</v>
      </c>
      <c r="L14" s="249">
        <v>0</v>
      </c>
      <c r="M14" s="251">
        <v>0</v>
      </c>
      <c r="N14" s="251">
        <v>0</v>
      </c>
      <c r="O14" s="297">
        <v>0</v>
      </c>
      <c r="P14" s="251">
        <f>Q14+R14+S14</f>
        <v>0</v>
      </c>
      <c r="Q14" s="251">
        <v>0</v>
      </c>
      <c r="R14" s="251">
        <v>0</v>
      </c>
      <c r="S14" s="251">
        <v>0</v>
      </c>
      <c r="T14" s="297">
        <v>0</v>
      </c>
      <c r="U14" s="251">
        <v>0</v>
      </c>
      <c r="V14" s="251">
        <v>0</v>
      </c>
      <c r="W14" s="251">
        <v>0</v>
      </c>
      <c r="X14" s="251">
        <v>0</v>
      </c>
      <c r="Y14" s="297">
        <v>0</v>
      </c>
      <c r="Z14" s="251">
        <v>0</v>
      </c>
      <c r="AA14" s="251">
        <v>0</v>
      </c>
      <c r="AB14" s="251">
        <v>0</v>
      </c>
      <c r="AC14" s="251">
        <v>0</v>
      </c>
    </row>
    <row r="15" spans="1:29" s="1" customFormat="1" ht="76.150000000000006" customHeight="1" outlineLevel="1" x14ac:dyDescent="0.2">
      <c r="A15" s="294" t="s">
        <v>64</v>
      </c>
      <c r="B15" s="295" t="s">
        <v>992</v>
      </c>
      <c r="C15" s="296">
        <f t="shared" si="1"/>
        <v>0</v>
      </c>
      <c r="D15" s="249">
        <f>F15+K15+P15+U15+Z15</f>
        <v>0</v>
      </c>
      <c r="E15" s="296">
        <v>0</v>
      </c>
      <c r="F15" s="249">
        <v>0</v>
      </c>
      <c r="G15" s="249">
        <v>0</v>
      </c>
      <c r="H15" s="249">
        <v>0</v>
      </c>
      <c r="I15" s="249">
        <v>0</v>
      </c>
      <c r="J15" s="297">
        <v>0</v>
      </c>
      <c r="K15" s="249">
        <f>SUM(L15:N15)</f>
        <v>0</v>
      </c>
      <c r="L15" s="249">
        <v>0</v>
      </c>
      <c r="M15" s="251">
        <v>0</v>
      </c>
      <c r="N15" s="251">
        <v>0</v>
      </c>
      <c r="O15" s="297">
        <v>0</v>
      </c>
      <c r="P15" s="251">
        <v>0</v>
      </c>
      <c r="Q15" s="251">
        <v>0</v>
      </c>
      <c r="R15" s="251">
        <v>0</v>
      </c>
      <c r="S15" s="251">
        <v>0</v>
      </c>
      <c r="T15" s="297">
        <v>0</v>
      </c>
      <c r="U15" s="251">
        <v>0</v>
      </c>
      <c r="V15" s="251">
        <v>0</v>
      </c>
      <c r="W15" s="251">
        <v>0</v>
      </c>
      <c r="X15" s="251">
        <v>0</v>
      </c>
      <c r="Y15" s="297">
        <v>0</v>
      </c>
      <c r="Z15" s="251">
        <v>0</v>
      </c>
      <c r="AA15" s="251">
        <v>0</v>
      </c>
      <c r="AB15" s="251">
        <v>0</v>
      </c>
      <c r="AC15" s="251">
        <v>0</v>
      </c>
    </row>
    <row r="16" spans="1:29" s="1" customFormat="1" ht="76.150000000000006" customHeight="1" outlineLevel="1" x14ac:dyDescent="0.2">
      <c r="A16" s="294" t="s">
        <v>100</v>
      </c>
      <c r="B16" s="295" t="s">
        <v>993</v>
      </c>
      <c r="C16" s="296">
        <f t="shared" si="1"/>
        <v>0</v>
      </c>
      <c r="D16" s="249">
        <f>F16+K16+P16+U16+Z16</f>
        <v>0</v>
      </c>
      <c r="E16" s="296">
        <f>H16+L16+Q16+V16</f>
        <v>0</v>
      </c>
      <c r="F16" s="249">
        <v>0</v>
      </c>
      <c r="G16" s="249">
        <v>0</v>
      </c>
      <c r="H16" s="249">
        <v>0</v>
      </c>
      <c r="I16" s="249">
        <v>0</v>
      </c>
      <c r="J16" s="297">
        <v>0</v>
      </c>
      <c r="K16" s="249">
        <f>SUM(L16:N16)</f>
        <v>0</v>
      </c>
      <c r="L16" s="249">
        <v>0</v>
      </c>
      <c r="M16" s="251">
        <v>0</v>
      </c>
      <c r="N16" s="251">
        <v>0</v>
      </c>
      <c r="O16" s="297">
        <v>0</v>
      </c>
      <c r="P16" s="251">
        <v>0</v>
      </c>
      <c r="Q16" s="251">
        <v>0</v>
      </c>
      <c r="R16" s="251">
        <v>0</v>
      </c>
      <c r="S16" s="251">
        <v>0</v>
      </c>
      <c r="T16" s="297">
        <v>0</v>
      </c>
      <c r="U16" s="251">
        <v>0</v>
      </c>
      <c r="V16" s="251">
        <v>0</v>
      </c>
      <c r="W16" s="251">
        <v>0</v>
      </c>
      <c r="X16" s="251">
        <v>0</v>
      </c>
      <c r="Y16" s="297">
        <v>0</v>
      </c>
      <c r="Z16" s="251">
        <v>0</v>
      </c>
      <c r="AA16" s="251">
        <v>0</v>
      </c>
      <c r="AB16" s="251">
        <v>0</v>
      </c>
      <c r="AC16" s="251">
        <v>0</v>
      </c>
    </row>
    <row r="17" spans="1:29" s="1" customFormat="1" ht="73.900000000000006" customHeight="1" x14ac:dyDescent="0.2">
      <c r="A17" s="248" t="s">
        <v>86</v>
      </c>
      <c r="B17" s="292" t="s">
        <v>114</v>
      </c>
      <c r="C17" s="293">
        <f t="shared" si="1"/>
        <v>4.5</v>
      </c>
      <c r="D17" s="248">
        <f>F17+K17+P17+U17+Z17</f>
        <v>451067</v>
      </c>
      <c r="E17" s="293">
        <f>E18+E19+E20</f>
        <v>0</v>
      </c>
      <c r="F17" s="248">
        <f t="shared" ref="F17:AC17" si="4">F18+F19+F20</f>
        <v>0</v>
      </c>
      <c r="G17" s="248">
        <f t="shared" si="4"/>
        <v>0</v>
      </c>
      <c r="H17" s="248">
        <f t="shared" si="4"/>
        <v>0</v>
      </c>
      <c r="I17" s="248">
        <f t="shared" si="4"/>
        <v>0</v>
      </c>
      <c r="J17" s="293">
        <v>0</v>
      </c>
      <c r="K17" s="248">
        <v>0</v>
      </c>
      <c r="L17" s="248">
        <f t="shared" si="4"/>
        <v>0</v>
      </c>
      <c r="M17" s="248">
        <f t="shared" si="4"/>
        <v>0</v>
      </c>
      <c r="N17" s="248">
        <v>0</v>
      </c>
      <c r="O17" s="293">
        <f t="shared" si="4"/>
        <v>0</v>
      </c>
      <c r="P17" s="248">
        <f t="shared" si="4"/>
        <v>0</v>
      </c>
      <c r="Q17" s="248">
        <f t="shared" si="4"/>
        <v>0</v>
      </c>
      <c r="R17" s="248">
        <f t="shared" si="4"/>
        <v>0</v>
      </c>
      <c r="S17" s="248">
        <f t="shared" si="4"/>
        <v>0</v>
      </c>
      <c r="T17" s="293">
        <f t="shared" si="4"/>
        <v>4.5</v>
      </c>
      <c r="U17" s="248">
        <f t="shared" si="4"/>
        <v>451067</v>
      </c>
      <c r="V17" s="248">
        <f t="shared" si="4"/>
        <v>0</v>
      </c>
      <c r="W17" s="248">
        <f t="shared" si="4"/>
        <v>425370</v>
      </c>
      <c r="X17" s="248">
        <f t="shared" si="4"/>
        <v>25697</v>
      </c>
      <c r="Y17" s="293">
        <f t="shared" si="4"/>
        <v>0</v>
      </c>
      <c r="Z17" s="248">
        <f t="shared" si="4"/>
        <v>0</v>
      </c>
      <c r="AA17" s="248">
        <f t="shared" si="4"/>
        <v>0</v>
      </c>
      <c r="AB17" s="248">
        <f t="shared" si="4"/>
        <v>0</v>
      </c>
      <c r="AC17" s="248">
        <f t="shared" si="4"/>
        <v>0</v>
      </c>
    </row>
    <row r="18" spans="1:29" ht="69" customHeight="1" outlineLevel="1" x14ac:dyDescent="0.2">
      <c r="A18" s="294" t="s">
        <v>774</v>
      </c>
      <c r="B18" s="295" t="s">
        <v>170</v>
      </c>
      <c r="C18" s="296">
        <f t="shared" si="1"/>
        <v>4.5</v>
      </c>
      <c r="D18" s="249">
        <f t="shared" si="2"/>
        <v>446817</v>
      </c>
      <c r="E18" s="296">
        <v>0</v>
      </c>
      <c r="F18" s="249">
        <v>0</v>
      </c>
      <c r="G18" s="249">
        <v>0</v>
      </c>
      <c r="H18" s="249">
        <v>0</v>
      </c>
      <c r="I18" s="249">
        <v>0</v>
      </c>
      <c r="J18" s="296">
        <v>0</v>
      </c>
      <c r="K18" s="249">
        <f t="shared" ref="K18:K36" si="5">SUM(L18:N18)</f>
        <v>0</v>
      </c>
      <c r="L18" s="249">
        <v>0</v>
      </c>
      <c r="M18" s="251">
        <v>0</v>
      </c>
      <c r="N18" s="251">
        <v>0</v>
      </c>
      <c r="O18" s="297">
        <v>0</v>
      </c>
      <c r="P18" s="251">
        <v>0</v>
      </c>
      <c r="Q18" s="251">
        <v>0</v>
      </c>
      <c r="R18" s="251">
        <v>0</v>
      </c>
      <c r="S18" s="251">
        <v>0</v>
      </c>
      <c r="T18" s="297">
        <v>4.5</v>
      </c>
      <c r="U18" s="298">
        <v>446817</v>
      </c>
      <c r="V18" s="298">
        <v>0</v>
      </c>
      <c r="W18" s="298">
        <v>425370</v>
      </c>
      <c r="X18" s="298">
        <v>21447</v>
      </c>
      <c r="Y18" s="286">
        <f>4.5-4.5</f>
        <v>0</v>
      </c>
      <c r="Z18" s="251">
        <f>AB18+AC18</f>
        <v>0</v>
      </c>
      <c r="AA18" s="251">
        <v>0</v>
      </c>
      <c r="AB18" s="251">
        <f>ROUND(446816.91*0.959,1)-428497.4</f>
        <v>0</v>
      </c>
      <c r="AC18" s="251">
        <f>ROUND(446816.91*0.041,1)-18319.5</f>
        <v>0</v>
      </c>
    </row>
    <row r="19" spans="1:29" ht="84.6" customHeight="1" outlineLevel="1" x14ac:dyDescent="0.2">
      <c r="A19" s="294" t="s">
        <v>87</v>
      </c>
      <c r="B19" s="295" t="s">
        <v>115</v>
      </c>
      <c r="C19" s="296">
        <f t="shared" si="1"/>
        <v>0</v>
      </c>
      <c r="D19" s="249">
        <f t="shared" si="2"/>
        <v>3150</v>
      </c>
      <c r="E19" s="296">
        <v>0</v>
      </c>
      <c r="F19" s="249">
        <v>0</v>
      </c>
      <c r="G19" s="249">
        <v>0</v>
      </c>
      <c r="H19" s="249">
        <v>0</v>
      </c>
      <c r="I19" s="249">
        <v>0</v>
      </c>
      <c r="J19" s="296">
        <v>0</v>
      </c>
      <c r="K19" s="249">
        <v>0</v>
      </c>
      <c r="L19" s="249">
        <v>0</v>
      </c>
      <c r="M19" s="251">
        <v>0</v>
      </c>
      <c r="N19" s="251">
        <v>0</v>
      </c>
      <c r="O19" s="297">
        <v>0</v>
      </c>
      <c r="P19" s="251">
        <v>0</v>
      </c>
      <c r="Q19" s="251">
        <v>0</v>
      </c>
      <c r="R19" s="251">
        <v>0</v>
      </c>
      <c r="S19" s="251">
        <v>0</v>
      </c>
      <c r="T19" s="297">
        <v>0</v>
      </c>
      <c r="U19" s="298">
        <f>X19</f>
        <v>3150</v>
      </c>
      <c r="V19" s="298">
        <v>0</v>
      </c>
      <c r="W19" s="298">
        <v>0</v>
      </c>
      <c r="X19" s="298">
        <v>3150</v>
      </c>
      <c r="Y19" s="286">
        <v>0</v>
      </c>
      <c r="Z19" s="251">
        <f>-AA19+AB19+AC19</f>
        <v>0</v>
      </c>
      <c r="AA19" s="251">
        <v>0</v>
      </c>
      <c r="AB19" s="251">
        <v>0</v>
      </c>
      <c r="AC19" s="251">
        <f>3150-3150</f>
        <v>0</v>
      </c>
    </row>
    <row r="20" spans="1:29" ht="89.45" customHeight="1" outlineLevel="1" x14ac:dyDescent="0.2">
      <c r="A20" s="294" t="s">
        <v>88</v>
      </c>
      <c r="B20" s="295" t="s">
        <v>171</v>
      </c>
      <c r="C20" s="296">
        <f t="shared" si="1"/>
        <v>0</v>
      </c>
      <c r="D20" s="249">
        <f t="shared" si="2"/>
        <v>1100</v>
      </c>
      <c r="E20" s="296">
        <v>0</v>
      </c>
      <c r="F20" s="249">
        <v>0</v>
      </c>
      <c r="G20" s="249">
        <v>0</v>
      </c>
      <c r="H20" s="249">
        <v>0</v>
      </c>
      <c r="I20" s="249">
        <v>0</v>
      </c>
      <c r="J20" s="296">
        <v>0</v>
      </c>
      <c r="K20" s="249">
        <v>0</v>
      </c>
      <c r="L20" s="249">
        <v>0</v>
      </c>
      <c r="M20" s="251">
        <v>0</v>
      </c>
      <c r="N20" s="251">
        <v>0</v>
      </c>
      <c r="O20" s="297">
        <v>0</v>
      </c>
      <c r="P20" s="251">
        <v>0</v>
      </c>
      <c r="Q20" s="251">
        <v>0</v>
      </c>
      <c r="R20" s="251">
        <v>0</v>
      </c>
      <c r="S20" s="251">
        <v>0</v>
      </c>
      <c r="T20" s="297">
        <v>0</v>
      </c>
      <c r="U20" s="298">
        <f>X20</f>
        <v>1100</v>
      </c>
      <c r="V20" s="298">
        <v>0</v>
      </c>
      <c r="W20" s="298">
        <v>0</v>
      </c>
      <c r="X20" s="298">
        <v>1100</v>
      </c>
      <c r="Y20" s="286">
        <v>0</v>
      </c>
      <c r="Z20" s="251">
        <f>AA20+AB20+AC20</f>
        <v>0</v>
      </c>
      <c r="AA20" s="251">
        <v>0</v>
      </c>
      <c r="AB20" s="251">
        <v>0</v>
      </c>
      <c r="AC20" s="251">
        <f>1100-1100</f>
        <v>0</v>
      </c>
    </row>
    <row r="21" spans="1:29" s="1" customFormat="1" ht="90" customHeight="1" x14ac:dyDescent="0.2">
      <c r="A21" s="248" t="s">
        <v>89</v>
      </c>
      <c r="B21" s="299" t="s">
        <v>116</v>
      </c>
      <c r="C21" s="293">
        <f>E21+J21+O21++T21+Y21</f>
        <v>0.1</v>
      </c>
      <c r="D21" s="248">
        <f t="shared" si="2"/>
        <v>7884</v>
      </c>
      <c r="E21" s="293">
        <f t="shared" ref="E21:N21" si="6">E22+E23+E24</f>
        <v>0</v>
      </c>
      <c r="F21" s="248">
        <f t="shared" si="6"/>
        <v>0</v>
      </c>
      <c r="G21" s="248">
        <f t="shared" si="6"/>
        <v>0</v>
      </c>
      <c r="H21" s="248">
        <f t="shared" si="6"/>
        <v>0</v>
      </c>
      <c r="I21" s="248">
        <f t="shared" si="6"/>
        <v>0</v>
      </c>
      <c r="J21" s="293">
        <f t="shared" si="6"/>
        <v>0</v>
      </c>
      <c r="K21" s="248">
        <f t="shared" si="6"/>
        <v>0</v>
      </c>
      <c r="L21" s="248">
        <f t="shared" si="6"/>
        <v>0</v>
      </c>
      <c r="M21" s="248">
        <f t="shared" si="6"/>
        <v>0</v>
      </c>
      <c r="N21" s="248">
        <f t="shared" si="6"/>
        <v>0</v>
      </c>
      <c r="O21" s="293">
        <v>0</v>
      </c>
      <c r="P21" s="248">
        <f t="shared" ref="P21:AC21" si="7">P22+P23+P24</f>
        <v>0</v>
      </c>
      <c r="Q21" s="248">
        <f t="shared" si="7"/>
        <v>0</v>
      </c>
      <c r="R21" s="248">
        <f t="shared" si="7"/>
        <v>0</v>
      </c>
      <c r="S21" s="248">
        <f t="shared" si="7"/>
        <v>0</v>
      </c>
      <c r="T21" s="293">
        <f t="shared" si="7"/>
        <v>0.1</v>
      </c>
      <c r="U21" s="248">
        <f t="shared" si="7"/>
        <v>7884</v>
      </c>
      <c r="V21" s="248">
        <f t="shared" si="7"/>
        <v>0</v>
      </c>
      <c r="W21" s="248">
        <f t="shared" si="7"/>
        <v>7034</v>
      </c>
      <c r="X21" s="248">
        <f t="shared" si="7"/>
        <v>850</v>
      </c>
      <c r="Y21" s="293">
        <f t="shared" si="7"/>
        <v>0</v>
      </c>
      <c r="Z21" s="248">
        <f t="shared" si="7"/>
        <v>0</v>
      </c>
      <c r="AA21" s="248">
        <f t="shared" si="7"/>
        <v>0</v>
      </c>
      <c r="AB21" s="248">
        <f t="shared" si="7"/>
        <v>0</v>
      </c>
      <c r="AC21" s="248">
        <f t="shared" si="7"/>
        <v>0</v>
      </c>
    </row>
    <row r="22" spans="1:29" ht="75.599999999999994" customHeight="1" outlineLevel="1" x14ac:dyDescent="0.2">
      <c r="A22" s="294" t="s">
        <v>162</v>
      </c>
      <c r="B22" s="300" t="s">
        <v>116</v>
      </c>
      <c r="C22" s="296">
        <f>E22+J22+O22+T22+Y22</f>
        <v>0.1</v>
      </c>
      <c r="D22" s="249">
        <f t="shared" si="2"/>
        <v>7389</v>
      </c>
      <c r="E22" s="296">
        <v>0</v>
      </c>
      <c r="F22" s="249">
        <v>0</v>
      </c>
      <c r="G22" s="249">
        <v>0</v>
      </c>
      <c r="H22" s="249">
        <v>0</v>
      </c>
      <c r="I22" s="249">
        <v>0</v>
      </c>
      <c r="J22" s="296">
        <v>0</v>
      </c>
      <c r="K22" s="249">
        <v>0</v>
      </c>
      <c r="L22" s="249">
        <v>0</v>
      </c>
      <c r="M22" s="251">
        <f>ROUND(7389.22*0.959,1)-7086.3</f>
        <v>0</v>
      </c>
      <c r="N22" s="251">
        <v>0</v>
      </c>
      <c r="O22" s="297">
        <v>0</v>
      </c>
      <c r="P22" s="251">
        <v>0</v>
      </c>
      <c r="Q22" s="251">
        <v>0</v>
      </c>
      <c r="R22" s="251">
        <v>0</v>
      </c>
      <c r="S22" s="251">
        <v>0</v>
      </c>
      <c r="T22" s="297">
        <v>0.1</v>
      </c>
      <c r="U22" s="298">
        <f>V22+W22+X22</f>
        <v>7389</v>
      </c>
      <c r="V22" s="298">
        <v>0</v>
      </c>
      <c r="W22" s="298">
        <v>7034</v>
      </c>
      <c r="X22" s="298">
        <v>355</v>
      </c>
      <c r="Y22" s="286">
        <v>0</v>
      </c>
      <c r="Z22" s="251">
        <v>0</v>
      </c>
      <c r="AA22" s="251">
        <v>0</v>
      </c>
      <c r="AB22" s="251">
        <v>0</v>
      </c>
      <c r="AC22" s="251">
        <v>0</v>
      </c>
    </row>
    <row r="23" spans="1:29" ht="97.9" customHeight="1" outlineLevel="1" x14ac:dyDescent="0.2">
      <c r="A23" s="294" t="s">
        <v>90</v>
      </c>
      <c r="B23" s="300" t="s">
        <v>117</v>
      </c>
      <c r="C23" s="296">
        <f>E23+J23+O23+T23+Y23</f>
        <v>0</v>
      </c>
      <c r="D23" s="249">
        <f t="shared" si="2"/>
        <v>298</v>
      </c>
      <c r="E23" s="296">
        <v>0</v>
      </c>
      <c r="F23" s="249">
        <v>0</v>
      </c>
      <c r="G23" s="249">
        <v>0</v>
      </c>
      <c r="H23" s="249">
        <v>0</v>
      </c>
      <c r="I23" s="249">
        <v>0</v>
      </c>
      <c r="J23" s="296">
        <v>0</v>
      </c>
      <c r="K23" s="249">
        <v>0</v>
      </c>
      <c r="L23" s="249">
        <v>0</v>
      </c>
      <c r="M23" s="251">
        <v>0</v>
      </c>
      <c r="N23" s="251">
        <v>0</v>
      </c>
      <c r="O23" s="297">
        <v>0</v>
      </c>
      <c r="P23" s="251">
        <f>S23</f>
        <v>0</v>
      </c>
      <c r="Q23" s="251">
        <v>0</v>
      </c>
      <c r="R23" s="251">
        <v>0</v>
      </c>
      <c r="S23" s="251">
        <v>0</v>
      </c>
      <c r="T23" s="297">
        <v>0</v>
      </c>
      <c r="U23" s="298">
        <f t="shared" ref="U23:U24" si="8">V23+W23+X23</f>
        <v>298</v>
      </c>
      <c r="V23" s="298">
        <v>0</v>
      </c>
      <c r="W23" s="298">
        <v>0</v>
      </c>
      <c r="X23" s="298">
        <v>298</v>
      </c>
      <c r="Y23" s="286">
        <v>0</v>
      </c>
      <c r="Z23" s="251">
        <v>0</v>
      </c>
      <c r="AA23" s="251">
        <v>0</v>
      </c>
      <c r="AB23" s="251">
        <v>0</v>
      </c>
      <c r="AC23" s="251">
        <v>0</v>
      </c>
    </row>
    <row r="24" spans="1:29" ht="99" customHeight="1" outlineLevel="1" x14ac:dyDescent="0.2">
      <c r="A24" s="294" t="s">
        <v>91</v>
      </c>
      <c r="B24" s="301" t="s">
        <v>172</v>
      </c>
      <c r="C24" s="296">
        <f>E24+J24+O24+T24+Y24</f>
        <v>0</v>
      </c>
      <c r="D24" s="249">
        <f t="shared" si="2"/>
        <v>197</v>
      </c>
      <c r="E24" s="296">
        <v>0</v>
      </c>
      <c r="F24" s="249">
        <v>0</v>
      </c>
      <c r="G24" s="249">
        <v>0</v>
      </c>
      <c r="H24" s="249">
        <v>0</v>
      </c>
      <c r="I24" s="249">
        <v>0</v>
      </c>
      <c r="J24" s="296">
        <v>0</v>
      </c>
      <c r="K24" s="249">
        <v>0</v>
      </c>
      <c r="L24" s="249">
        <v>0</v>
      </c>
      <c r="M24" s="251">
        <v>0</v>
      </c>
      <c r="N24" s="251">
        <v>0</v>
      </c>
      <c r="O24" s="297">
        <v>0</v>
      </c>
      <c r="P24" s="251">
        <f>S24</f>
        <v>0</v>
      </c>
      <c r="Q24" s="251">
        <v>0</v>
      </c>
      <c r="R24" s="251">
        <v>0</v>
      </c>
      <c r="S24" s="251">
        <v>0</v>
      </c>
      <c r="T24" s="297">
        <v>0</v>
      </c>
      <c r="U24" s="298">
        <f t="shared" si="8"/>
        <v>197</v>
      </c>
      <c r="V24" s="298">
        <v>0</v>
      </c>
      <c r="W24" s="298">
        <v>0</v>
      </c>
      <c r="X24" s="298">
        <v>197</v>
      </c>
      <c r="Y24" s="286">
        <v>0</v>
      </c>
      <c r="Z24" s="251">
        <v>0</v>
      </c>
      <c r="AA24" s="251">
        <v>0</v>
      </c>
      <c r="AB24" s="251">
        <v>0</v>
      </c>
      <c r="AC24" s="251">
        <v>0</v>
      </c>
    </row>
    <row r="25" spans="1:29" ht="83.45" customHeight="1" x14ac:dyDescent="0.2">
      <c r="A25" s="291" t="s">
        <v>92</v>
      </c>
      <c r="B25" s="299" t="s">
        <v>173</v>
      </c>
      <c r="C25" s="293">
        <f>C26+C27+C28</f>
        <v>0.31</v>
      </c>
      <c r="D25" s="248">
        <f t="shared" ref="D25:K25" si="9">D26+D27+D28</f>
        <v>28967</v>
      </c>
      <c r="E25" s="293">
        <f t="shared" si="9"/>
        <v>0</v>
      </c>
      <c r="F25" s="248">
        <f t="shared" si="9"/>
        <v>0</v>
      </c>
      <c r="G25" s="248">
        <f t="shared" si="9"/>
        <v>0</v>
      </c>
      <c r="H25" s="248">
        <f t="shared" si="9"/>
        <v>0</v>
      </c>
      <c r="I25" s="248">
        <f t="shared" si="9"/>
        <v>0</v>
      </c>
      <c r="J25" s="293">
        <f t="shared" si="9"/>
        <v>0</v>
      </c>
      <c r="K25" s="248">
        <f t="shared" si="9"/>
        <v>0</v>
      </c>
      <c r="L25" s="248">
        <f>L26+L27+L28</f>
        <v>0</v>
      </c>
      <c r="M25" s="248">
        <f>M26+M27+M28</f>
        <v>0</v>
      </c>
      <c r="N25" s="248">
        <v>0</v>
      </c>
      <c r="O25" s="293">
        <f t="shared" ref="O25:AC25" si="10">O26+O27+O28</f>
        <v>0</v>
      </c>
      <c r="P25" s="248">
        <f t="shared" si="10"/>
        <v>0</v>
      </c>
      <c r="Q25" s="248">
        <f t="shared" si="10"/>
        <v>0</v>
      </c>
      <c r="R25" s="248">
        <f t="shared" si="10"/>
        <v>0</v>
      </c>
      <c r="S25" s="248">
        <f t="shared" si="10"/>
        <v>0</v>
      </c>
      <c r="T25" s="293">
        <f t="shared" si="10"/>
        <v>0.31</v>
      </c>
      <c r="U25" s="248">
        <f t="shared" si="10"/>
        <v>28967</v>
      </c>
      <c r="V25" s="248">
        <f t="shared" si="10"/>
        <v>0</v>
      </c>
      <c r="W25" s="248">
        <f t="shared" si="10"/>
        <v>26122</v>
      </c>
      <c r="X25" s="248">
        <f t="shared" si="10"/>
        <v>2845</v>
      </c>
      <c r="Y25" s="293">
        <f t="shared" si="10"/>
        <v>0</v>
      </c>
      <c r="Z25" s="248">
        <f t="shared" si="10"/>
        <v>0</v>
      </c>
      <c r="AA25" s="248">
        <f t="shared" si="10"/>
        <v>0</v>
      </c>
      <c r="AB25" s="248">
        <f t="shared" si="10"/>
        <v>0</v>
      </c>
      <c r="AC25" s="248">
        <f t="shared" si="10"/>
        <v>0</v>
      </c>
    </row>
    <row r="26" spans="1:29" ht="81" customHeight="1" outlineLevel="1" x14ac:dyDescent="0.2">
      <c r="A26" s="294" t="s">
        <v>163</v>
      </c>
      <c r="B26" s="300" t="s">
        <v>173</v>
      </c>
      <c r="C26" s="296">
        <f t="shared" ref="C26:C32" si="11">E26+J26+O26+T26+Y26</f>
        <v>0.31</v>
      </c>
      <c r="D26" s="249">
        <f t="shared" si="2"/>
        <v>27439</v>
      </c>
      <c r="E26" s="296">
        <v>0</v>
      </c>
      <c r="F26" s="249">
        <v>0</v>
      </c>
      <c r="G26" s="249">
        <v>0</v>
      </c>
      <c r="H26" s="249">
        <v>0</v>
      </c>
      <c r="I26" s="249">
        <v>0</v>
      </c>
      <c r="J26" s="296">
        <v>0</v>
      </c>
      <c r="K26" s="249">
        <f t="shared" si="5"/>
        <v>0</v>
      </c>
      <c r="L26" s="249">
        <v>0</v>
      </c>
      <c r="M26" s="249">
        <f>ROUND(27438.82*0.959,1)-26313.8</f>
        <v>0</v>
      </c>
      <c r="N26" s="249">
        <v>0</v>
      </c>
      <c r="O26" s="296">
        <v>0</v>
      </c>
      <c r="P26" s="249">
        <v>0</v>
      </c>
      <c r="Q26" s="249">
        <v>0</v>
      </c>
      <c r="R26" s="251">
        <v>0</v>
      </c>
      <c r="S26" s="251">
        <v>0</v>
      </c>
      <c r="T26" s="297">
        <v>0.31</v>
      </c>
      <c r="U26" s="249">
        <f>V26+W26+X26</f>
        <v>27439</v>
      </c>
      <c r="V26" s="249">
        <v>0</v>
      </c>
      <c r="W26" s="251">
        <v>26122</v>
      </c>
      <c r="X26" s="251">
        <v>1317</v>
      </c>
      <c r="Y26" s="297">
        <v>0</v>
      </c>
      <c r="Z26" s="249">
        <v>0</v>
      </c>
      <c r="AA26" s="251">
        <v>0</v>
      </c>
      <c r="AB26" s="251">
        <v>0</v>
      </c>
      <c r="AC26" s="251">
        <v>0</v>
      </c>
    </row>
    <row r="27" spans="1:29" ht="105.6" customHeight="1" outlineLevel="1" x14ac:dyDescent="0.2">
      <c r="A27" s="294" t="s">
        <v>93</v>
      </c>
      <c r="B27" s="300" t="s">
        <v>174</v>
      </c>
      <c r="C27" s="296">
        <f t="shared" si="11"/>
        <v>0</v>
      </c>
      <c r="D27" s="249">
        <f t="shared" si="2"/>
        <v>965</v>
      </c>
      <c r="E27" s="296">
        <v>0</v>
      </c>
      <c r="F27" s="249">
        <v>0</v>
      </c>
      <c r="G27" s="249">
        <v>0</v>
      </c>
      <c r="H27" s="249">
        <v>0</v>
      </c>
      <c r="I27" s="249">
        <v>0</v>
      </c>
      <c r="J27" s="296">
        <v>0</v>
      </c>
      <c r="K27" s="249">
        <f t="shared" si="5"/>
        <v>0</v>
      </c>
      <c r="L27" s="249">
        <v>0</v>
      </c>
      <c r="M27" s="249">
        <v>0</v>
      </c>
      <c r="N27" s="249">
        <v>0</v>
      </c>
      <c r="O27" s="296">
        <v>0</v>
      </c>
      <c r="P27" s="249">
        <f>S27</f>
        <v>0</v>
      </c>
      <c r="Q27" s="249">
        <v>0</v>
      </c>
      <c r="R27" s="251">
        <v>0</v>
      </c>
      <c r="S27" s="251">
        <v>0</v>
      </c>
      <c r="T27" s="297">
        <v>0</v>
      </c>
      <c r="U27" s="249">
        <f t="shared" ref="U27:U28" si="12">V27+W27+X27</f>
        <v>965</v>
      </c>
      <c r="V27" s="249">
        <v>0</v>
      </c>
      <c r="W27" s="251">
        <v>0</v>
      </c>
      <c r="X27" s="251">
        <v>965</v>
      </c>
      <c r="Y27" s="297">
        <v>0</v>
      </c>
      <c r="Z27" s="249">
        <v>0</v>
      </c>
      <c r="AA27" s="251">
        <v>0</v>
      </c>
      <c r="AB27" s="251">
        <v>0</v>
      </c>
      <c r="AC27" s="251">
        <v>0</v>
      </c>
    </row>
    <row r="28" spans="1:29" ht="105.6" customHeight="1" outlineLevel="1" x14ac:dyDescent="0.2">
      <c r="A28" s="294" t="s">
        <v>94</v>
      </c>
      <c r="B28" s="300" t="s">
        <v>768</v>
      </c>
      <c r="C28" s="296">
        <v>0</v>
      </c>
      <c r="D28" s="249">
        <f t="shared" si="2"/>
        <v>563</v>
      </c>
      <c r="E28" s="296">
        <v>0</v>
      </c>
      <c r="F28" s="249">
        <v>0</v>
      </c>
      <c r="G28" s="249">
        <v>0</v>
      </c>
      <c r="H28" s="249">
        <v>0</v>
      </c>
      <c r="I28" s="249">
        <v>0</v>
      </c>
      <c r="J28" s="296">
        <v>0</v>
      </c>
      <c r="K28" s="249">
        <v>0</v>
      </c>
      <c r="L28" s="249">
        <v>0</v>
      </c>
      <c r="M28" s="249">
        <v>0</v>
      </c>
      <c r="N28" s="249">
        <v>0</v>
      </c>
      <c r="O28" s="296">
        <v>0</v>
      </c>
      <c r="P28" s="249">
        <f>S28</f>
        <v>0</v>
      </c>
      <c r="Q28" s="249">
        <v>0</v>
      </c>
      <c r="R28" s="251">
        <v>0</v>
      </c>
      <c r="S28" s="251">
        <v>0</v>
      </c>
      <c r="T28" s="297">
        <v>0</v>
      </c>
      <c r="U28" s="249">
        <f t="shared" si="12"/>
        <v>563</v>
      </c>
      <c r="V28" s="249">
        <v>0</v>
      </c>
      <c r="W28" s="251">
        <v>0</v>
      </c>
      <c r="X28" s="251">
        <v>563</v>
      </c>
      <c r="Y28" s="297">
        <v>0</v>
      </c>
      <c r="Z28" s="249">
        <v>0</v>
      </c>
      <c r="AA28" s="251">
        <v>0</v>
      </c>
      <c r="AB28" s="251">
        <v>0</v>
      </c>
      <c r="AC28" s="251">
        <v>0</v>
      </c>
    </row>
    <row r="29" spans="1:29" ht="64.150000000000006" customHeight="1" x14ac:dyDescent="0.2">
      <c r="A29" s="291" t="s">
        <v>95</v>
      </c>
      <c r="B29" s="299" t="s">
        <v>120</v>
      </c>
      <c r="C29" s="293">
        <f t="shared" si="11"/>
        <v>0.82</v>
      </c>
      <c r="D29" s="248">
        <f t="shared" si="2"/>
        <v>74008</v>
      </c>
      <c r="E29" s="293">
        <f>E30+E31+E32</f>
        <v>0</v>
      </c>
      <c r="F29" s="248">
        <f>F30+F31+F32</f>
        <v>0</v>
      </c>
      <c r="G29" s="248">
        <f t="shared" ref="G29:N29" si="13">G30+G31+G32</f>
        <v>0</v>
      </c>
      <c r="H29" s="248">
        <f t="shared" si="13"/>
        <v>0</v>
      </c>
      <c r="I29" s="248">
        <f t="shared" si="13"/>
        <v>0</v>
      </c>
      <c r="J29" s="293">
        <f t="shared" si="13"/>
        <v>0</v>
      </c>
      <c r="K29" s="248">
        <f t="shared" si="5"/>
        <v>0</v>
      </c>
      <c r="L29" s="248">
        <f>L30+L31+L32</f>
        <v>0</v>
      </c>
      <c r="M29" s="248">
        <f t="shared" si="13"/>
        <v>0</v>
      </c>
      <c r="N29" s="248">
        <f t="shared" si="13"/>
        <v>0</v>
      </c>
      <c r="O29" s="293">
        <v>0</v>
      </c>
      <c r="P29" s="248">
        <f t="shared" ref="P29:AC29" si="14">P30+P31+P32</f>
        <v>0</v>
      </c>
      <c r="Q29" s="248">
        <f t="shared" si="14"/>
        <v>0</v>
      </c>
      <c r="R29" s="248">
        <f t="shared" si="14"/>
        <v>0</v>
      </c>
      <c r="S29" s="248">
        <f t="shared" si="14"/>
        <v>0</v>
      </c>
      <c r="T29" s="293">
        <f t="shared" si="14"/>
        <v>0.82</v>
      </c>
      <c r="U29" s="248">
        <f t="shared" si="14"/>
        <v>74008</v>
      </c>
      <c r="V29" s="248">
        <f t="shared" si="14"/>
        <v>0</v>
      </c>
      <c r="W29" s="248">
        <f t="shared" si="14"/>
        <v>69028</v>
      </c>
      <c r="X29" s="248">
        <f t="shared" si="14"/>
        <v>4980</v>
      </c>
      <c r="Y29" s="293">
        <f t="shared" si="14"/>
        <v>0</v>
      </c>
      <c r="Z29" s="248">
        <f t="shared" si="14"/>
        <v>0</v>
      </c>
      <c r="AA29" s="248">
        <f t="shared" si="14"/>
        <v>0</v>
      </c>
      <c r="AB29" s="248">
        <f t="shared" si="14"/>
        <v>0</v>
      </c>
      <c r="AC29" s="248">
        <f t="shared" si="14"/>
        <v>0</v>
      </c>
    </row>
    <row r="30" spans="1:29" ht="63.75" customHeight="1" outlineLevel="1" x14ac:dyDescent="0.2">
      <c r="A30" s="294" t="s">
        <v>96</v>
      </c>
      <c r="B30" s="300" t="s">
        <v>120</v>
      </c>
      <c r="C30" s="296">
        <f t="shared" si="11"/>
        <v>0.82</v>
      </c>
      <c r="D30" s="249">
        <f t="shared" si="2"/>
        <v>72508</v>
      </c>
      <c r="E30" s="296">
        <v>0</v>
      </c>
      <c r="F30" s="249">
        <v>0</v>
      </c>
      <c r="G30" s="249">
        <v>0</v>
      </c>
      <c r="H30" s="249">
        <v>0</v>
      </c>
      <c r="I30" s="249">
        <v>0</v>
      </c>
      <c r="J30" s="296">
        <v>0</v>
      </c>
      <c r="K30" s="249">
        <f t="shared" si="5"/>
        <v>0</v>
      </c>
      <c r="L30" s="249">
        <v>0</v>
      </c>
      <c r="M30" s="249">
        <v>0</v>
      </c>
      <c r="N30" s="251">
        <v>0</v>
      </c>
      <c r="O30" s="296">
        <v>0</v>
      </c>
      <c r="P30" s="249">
        <v>0</v>
      </c>
      <c r="Q30" s="249">
        <v>0</v>
      </c>
      <c r="R30" s="251">
        <v>0</v>
      </c>
      <c r="S30" s="251">
        <v>0</v>
      </c>
      <c r="T30" s="297">
        <v>0.82</v>
      </c>
      <c r="U30" s="249">
        <f>V30+W30+X30</f>
        <v>72508</v>
      </c>
      <c r="V30" s="249">
        <v>0</v>
      </c>
      <c r="W30" s="251">
        <v>69028</v>
      </c>
      <c r="X30" s="251">
        <v>3480</v>
      </c>
      <c r="Y30" s="297">
        <v>0</v>
      </c>
      <c r="Z30" s="249">
        <v>0</v>
      </c>
      <c r="AA30" s="251">
        <v>0</v>
      </c>
      <c r="AB30" s="251">
        <v>0</v>
      </c>
      <c r="AC30" s="251">
        <v>0</v>
      </c>
    </row>
    <row r="31" spans="1:29" ht="87.75" customHeight="1" outlineLevel="1" x14ac:dyDescent="0.2">
      <c r="A31" s="294" t="s">
        <v>97</v>
      </c>
      <c r="B31" s="300" t="s">
        <v>121</v>
      </c>
      <c r="C31" s="296">
        <f t="shared" si="11"/>
        <v>0</v>
      </c>
      <c r="D31" s="249">
        <f t="shared" si="2"/>
        <v>1050</v>
      </c>
      <c r="E31" s="296">
        <v>0</v>
      </c>
      <c r="F31" s="249">
        <v>0</v>
      </c>
      <c r="G31" s="249">
        <v>0</v>
      </c>
      <c r="H31" s="249">
        <v>0</v>
      </c>
      <c r="I31" s="249">
        <v>0</v>
      </c>
      <c r="J31" s="296">
        <v>0</v>
      </c>
      <c r="K31" s="249">
        <f t="shared" si="5"/>
        <v>0</v>
      </c>
      <c r="L31" s="249">
        <v>0</v>
      </c>
      <c r="M31" s="249">
        <v>0</v>
      </c>
      <c r="N31" s="251">
        <v>0</v>
      </c>
      <c r="O31" s="296">
        <v>0</v>
      </c>
      <c r="P31" s="249">
        <f>Q31+R31+S31</f>
        <v>0</v>
      </c>
      <c r="Q31" s="249">
        <v>0</v>
      </c>
      <c r="R31" s="251">
        <v>0</v>
      </c>
      <c r="S31" s="251">
        <v>0</v>
      </c>
      <c r="T31" s="297">
        <v>0</v>
      </c>
      <c r="U31" s="249">
        <f t="shared" ref="U31:U32" si="15">V31+W31+X31</f>
        <v>1050</v>
      </c>
      <c r="V31" s="249">
        <v>0</v>
      </c>
      <c r="W31" s="251">
        <v>0</v>
      </c>
      <c r="X31" s="251">
        <v>1050</v>
      </c>
      <c r="Y31" s="297">
        <v>0</v>
      </c>
      <c r="Z31" s="249">
        <v>0</v>
      </c>
      <c r="AA31" s="251">
        <v>0</v>
      </c>
      <c r="AB31" s="251">
        <v>0</v>
      </c>
      <c r="AC31" s="251">
        <v>0</v>
      </c>
    </row>
    <row r="32" spans="1:29" ht="86.25" customHeight="1" outlineLevel="1" x14ac:dyDescent="0.2">
      <c r="A32" s="294" t="s">
        <v>98</v>
      </c>
      <c r="B32" s="300" t="s">
        <v>122</v>
      </c>
      <c r="C32" s="296">
        <f t="shared" si="11"/>
        <v>0</v>
      </c>
      <c r="D32" s="249">
        <f t="shared" si="2"/>
        <v>450</v>
      </c>
      <c r="E32" s="296">
        <v>0</v>
      </c>
      <c r="F32" s="249">
        <v>0</v>
      </c>
      <c r="G32" s="249">
        <v>0</v>
      </c>
      <c r="H32" s="249">
        <v>0</v>
      </c>
      <c r="I32" s="249">
        <v>0</v>
      </c>
      <c r="J32" s="296">
        <v>0</v>
      </c>
      <c r="K32" s="249">
        <f t="shared" si="5"/>
        <v>0</v>
      </c>
      <c r="L32" s="249">
        <v>0</v>
      </c>
      <c r="M32" s="249">
        <v>0</v>
      </c>
      <c r="N32" s="251">
        <v>0</v>
      </c>
      <c r="O32" s="296">
        <v>0</v>
      </c>
      <c r="P32" s="249">
        <f>Q32+R32+S32</f>
        <v>0</v>
      </c>
      <c r="Q32" s="249">
        <v>0</v>
      </c>
      <c r="R32" s="251">
        <v>0</v>
      </c>
      <c r="S32" s="251">
        <v>0</v>
      </c>
      <c r="T32" s="297">
        <v>0</v>
      </c>
      <c r="U32" s="249">
        <f t="shared" si="15"/>
        <v>450</v>
      </c>
      <c r="V32" s="249">
        <v>0</v>
      </c>
      <c r="W32" s="251">
        <v>0</v>
      </c>
      <c r="X32" s="251">
        <v>450</v>
      </c>
      <c r="Y32" s="297">
        <v>0</v>
      </c>
      <c r="Z32" s="249">
        <v>0</v>
      </c>
      <c r="AA32" s="251">
        <v>0</v>
      </c>
      <c r="AB32" s="251">
        <v>0</v>
      </c>
      <c r="AC32" s="251">
        <v>0</v>
      </c>
    </row>
    <row r="33" spans="1:30" ht="51" customHeight="1" x14ac:dyDescent="0.2">
      <c r="A33" s="291" t="s">
        <v>99</v>
      </c>
      <c r="B33" s="299" t="s">
        <v>165</v>
      </c>
      <c r="C33" s="293">
        <f>E33+J33+O33+T33+Y33</f>
        <v>2.4</v>
      </c>
      <c r="D33" s="248">
        <f t="shared" si="2"/>
        <v>479395</v>
      </c>
      <c r="E33" s="293">
        <f>E34+E35+E36</f>
        <v>0</v>
      </c>
      <c r="F33" s="248">
        <f t="shared" ref="F33:AC33" si="16">F34+F35+F36</f>
        <v>0</v>
      </c>
      <c r="G33" s="248">
        <f t="shared" si="16"/>
        <v>0</v>
      </c>
      <c r="H33" s="248">
        <f t="shared" si="16"/>
        <v>0</v>
      </c>
      <c r="I33" s="248">
        <f t="shared" si="16"/>
        <v>0</v>
      </c>
      <c r="J33" s="293">
        <f t="shared" si="16"/>
        <v>0</v>
      </c>
      <c r="K33" s="248">
        <f t="shared" si="5"/>
        <v>0</v>
      </c>
      <c r="L33" s="248">
        <f t="shared" si="16"/>
        <v>0</v>
      </c>
      <c r="M33" s="248">
        <f t="shared" si="16"/>
        <v>0</v>
      </c>
      <c r="N33" s="248">
        <f t="shared" si="16"/>
        <v>0</v>
      </c>
      <c r="O33" s="293">
        <f t="shared" si="16"/>
        <v>0</v>
      </c>
      <c r="P33" s="248">
        <f t="shared" si="16"/>
        <v>0</v>
      </c>
      <c r="Q33" s="248">
        <f t="shared" si="16"/>
        <v>0</v>
      </c>
      <c r="R33" s="248">
        <f t="shared" si="16"/>
        <v>0</v>
      </c>
      <c r="S33" s="248">
        <f t="shared" si="16"/>
        <v>0</v>
      </c>
      <c r="T33" s="293">
        <f t="shared" si="16"/>
        <v>0</v>
      </c>
      <c r="U33" s="248">
        <f t="shared" si="16"/>
        <v>0</v>
      </c>
      <c r="V33" s="248">
        <f t="shared" si="16"/>
        <v>0</v>
      </c>
      <c r="W33" s="248">
        <f t="shared" si="16"/>
        <v>0</v>
      </c>
      <c r="X33" s="248">
        <f t="shared" si="16"/>
        <v>0</v>
      </c>
      <c r="Y33" s="293">
        <f t="shared" si="16"/>
        <v>2.4</v>
      </c>
      <c r="Z33" s="248">
        <f t="shared" si="16"/>
        <v>479395</v>
      </c>
      <c r="AA33" s="248">
        <f t="shared" si="16"/>
        <v>0</v>
      </c>
      <c r="AB33" s="248">
        <f t="shared" si="16"/>
        <v>453986</v>
      </c>
      <c r="AC33" s="248">
        <f t="shared" si="16"/>
        <v>25409</v>
      </c>
    </row>
    <row r="34" spans="1:30" ht="45.6" customHeight="1" outlineLevel="1" x14ac:dyDescent="0.2">
      <c r="A34" s="294" t="s">
        <v>164</v>
      </c>
      <c r="B34" s="300" t="s">
        <v>165</v>
      </c>
      <c r="C34" s="296">
        <f>E34+J34+O34+T34+Y34</f>
        <v>2.4</v>
      </c>
      <c r="D34" s="249">
        <f t="shared" si="2"/>
        <v>473395</v>
      </c>
      <c r="E34" s="296">
        <v>0</v>
      </c>
      <c r="F34" s="249">
        <v>0</v>
      </c>
      <c r="G34" s="249">
        <v>0</v>
      </c>
      <c r="H34" s="249">
        <v>0</v>
      </c>
      <c r="I34" s="249">
        <v>0</v>
      </c>
      <c r="J34" s="296">
        <v>0</v>
      </c>
      <c r="K34" s="249">
        <f t="shared" si="5"/>
        <v>0</v>
      </c>
      <c r="L34" s="249">
        <v>0</v>
      </c>
      <c r="M34" s="249">
        <v>0</v>
      </c>
      <c r="N34" s="249">
        <v>0</v>
      </c>
      <c r="O34" s="296">
        <v>0</v>
      </c>
      <c r="P34" s="249">
        <v>0</v>
      </c>
      <c r="Q34" s="249">
        <v>0</v>
      </c>
      <c r="R34" s="251">
        <v>0</v>
      </c>
      <c r="S34" s="251">
        <v>0</v>
      </c>
      <c r="T34" s="297">
        <v>0</v>
      </c>
      <c r="U34" s="249">
        <v>0</v>
      </c>
      <c r="V34" s="249">
        <v>0</v>
      </c>
      <c r="W34" s="251">
        <v>0</v>
      </c>
      <c r="X34" s="251">
        <v>0</v>
      </c>
      <c r="Y34" s="297">
        <v>2.4</v>
      </c>
      <c r="Z34" s="249">
        <f>AA34+AB34+AC34</f>
        <v>473395</v>
      </c>
      <c r="AA34" s="251">
        <v>0</v>
      </c>
      <c r="AB34" s="251">
        <v>453986</v>
      </c>
      <c r="AC34" s="251">
        <v>19409</v>
      </c>
    </row>
    <row r="35" spans="1:30" ht="69" customHeight="1" outlineLevel="1" x14ac:dyDescent="0.2">
      <c r="A35" s="294" t="s">
        <v>994</v>
      </c>
      <c r="B35" s="300" t="s">
        <v>166</v>
      </c>
      <c r="C35" s="296">
        <f>E35+J35+O35+T35+Y35</f>
        <v>0</v>
      </c>
      <c r="D35" s="249">
        <f t="shared" si="2"/>
        <v>4500</v>
      </c>
      <c r="E35" s="296">
        <v>0</v>
      </c>
      <c r="F35" s="249">
        <v>0</v>
      </c>
      <c r="G35" s="249">
        <v>0</v>
      </c>
      <c r="H35" s="249">
        <v>0</v>
      </c>
      <c r="I35" s="249">
        <v>0</v>
      </c>
      <c r="J35" s="296">
        <v>0</v>
      </c>
      <c r="K35" s="249">
        <f t="shared" si="5"/>
        <v>0</v>
      </c>
      <c r="L35" s="249">
        <v>0</v>
      </c>
      <c r="M35" s="249">
        <v>0</v>
      </c>
      <c r="N35" s="249">
        <v>0</v>
      </c>
      <c r="O35" s="296">
        <v>0</v>
      </c>
      <c r="P35" s="249">
        <v>0</v>
      </c>
      <c r="Q35" s="249">
        <v>0</v>
      </c>
      <c r="R35" s="251">
        <v>0</v>
      </c>
      <c r="S35" s="251">
        <v>0</v>
      </c>
      <c r="T35" s="297">
        <v>0</v>
      </c>
      <c r="U35" s="249">
        <v>0</v>
      </c>
      <c r="V35" s="249">
        <v>0</v>
      </c>
      <c r="W35" s="251">
        <v>0</v>
      </c>
      <c r="X35" s="251">
        <v>0</v>
      </c>
      <c r="Y35" s="297"/>
      <c r="Z35" s="249">
        <f>AA35+AB35+AC35</f>
        <v>4500</v>
      </c>
      <c r="AA35" s="251">
        <v>0</v>
      </c>
      <c r="AB35" s="251">
        <v>0</v>
      </c>
      <c r="AC35" s="251">
        <v>4500</v>
      </c>
    </row>
    <row r="36" spans="1:30" ht="66.599999999999994" customHeight="1" outlineLevel="1" x14ac:dyDescent="0.2">
      <c r="A36" s="294" t="s">
        <v>995</v>
      </c>
      <c r="B36" s="300" t="s">
        <v>167</v>
      </c>
      <c r="C36" s="296">
        <f>E36+J36+O36+T36+Y36</f>
        <v>0</v>
      </c>
      <c r="D36" s="249">
        <f t="shared" si="2"/>
        <v>1500</v>
      </c>
      <c r="E36" s="296">
        <v>0</v>
      </c>
      <c r="F36" s="249">
        <v>0</v>
      </c>
      <c r="G36" s="249">
        <v>0</v>
      </c>
      <c r="H36" s="249">
        <v>0</v>
      </c>
      <c r="I36" s="249">
        <v>0</v>
      </c>
      <c r="J36" s="296">
        <v>0</v>
      </c>
      <c r="K36" s="249">
        <f t="shared" si="5"/>
        <v>0</v>
      </c>
      <c r="L36" s="249">
        <v>0</v>
      </c>
      <c r="M36" s="249">
        <v>0</v>
      </c>
      <c r="N36" s="249">
        <v>0</v>
      </c>
      <c r="O36" s="296">
        <v>0</v>
      </c>
      <c r="P36" s="249">
        <v>0</v>
      </c>
      <c r="Q36" s="249">
        <v>0</v>
      </c>
      <c r="R36" s="251">
        <v>0</v>
      </c>
      <c r="S36" s="251">
        <v>0</v>
      </c>
      <c r="T36" s="297">
        <v>0</v>
      </c>
      <c r="U36" s="249">
        <v>0</v>
      </c>
      <c r="V36" s="249">
        <v>0</v>
      </c>
      <c r="W36" s="251">
        <v>0</v>
      </c>
      <c r="X36" s="251">
        <v>0</v>
      </c>
      <c r="Y36" s="297"/>
      <c r="Z36" s="249">
        <f>AA36+AB36+AC36</f>
        <v>1500</v>
      </c>
      <c r="AA36" s="251">
        <v>0</v>
      </c>
      <c r="AB36" s="251">
        <v>0</v>
      </c>
      <c r="AC36" s="251">
        <v>1500</v>
      </c>
    </row>
    <row r="37" spans="1:30" s="1" customFormat="1" ht="39" customHeight="1" outlineLevel="1" x14ac:dyDescent="0.2">
      <c r="A37" s="291" t="s">
        <v>974</v>
      </c>
      <c r="B37" s="299" t="s">
        <v>975</v>
      </c>
      <c r="C37" s="293">
        <f>C38</f>
        <v>0.96</v>
      </c>
      <c r="D37" s="248">
        <f>D38</f>
        <v>87629</v>
      </c>
      <c r="E37" s="293">
        <f>E38</f>
        <v>0.96</v>
      </c>
      <c r="F37" s="248">
        <f t="shared" ref="F37:AC37" si="17">F38</f>
        <v>87629</v>
      </c>
      <c r="G37" s="248">
        <f>G38</f>
        <v>0</v>
      </c>
      <c r="H37" s="248">
        <f>H38</f>
        <v>83058</v>
      </c>
      <c r="I37" s="248">
        <f t="shared" si="17"/>
        <v>4571</v>
      </c>
      <c r="J37" s="293">
        <f t="shared" si="17"/>
        <v>0</v>
      </c>
      <c r="K37" s="248">
        <f t="shared" si="17"/>
        <v>0</v>
      </c>
      <c r="L37" s="248">
        <f t="shared" si="17"/>
        <v>0</v>
      </c>
      <c r="M37" s="248">
        <f t="shared" si="17"/>
        <v>0</v>
      </c>
      <c r="N37" s="248">
        <f t="shared" si="17"/>
        <v>0</v>
      </c>
      <c r="O37" s="293">
        <f t="shared" si="17"/>
        <v>0</v>
      </c>
      <c r="P37" s="248">
        <f t="shared" si="17"/>
        <v>0</v>
      </c>
      <c r="Q37" s="248">
        <f t="shared" si="17"/>
        <v>0</v>
      </c>
      <c r="R37" s="248">
        <f t="shared" si="17"/>
        <v>0</v>
      </c>
      <c r="S37" s="248">
        <f t="shared" si="17"/>
        <v>0</v>
      </c>
      <c r="T37" s="293">
        <f t="shared" si="17"/>
        <v>0</v>
      </c>
      <c r="U37" s="248">
        <f t="shared" si="17"/>
        <v>0</v>
      </c>
      <c r="V37" s="248">
        <f t="shared" si="17"/>
        <v>0</v>
      </c>
      <c r="W37" s="248">
        <f t="shared" si="17"/>
        <v>0</v>
      </c>
      <c r="X37" s="248">
        <f t="shared" si="17"/>
        <v>0</v>
      </c>
      <c r="Y37" s="293">
        <f t="shared" si="17"/>
        <v>0</v>
      </c>
      <c r="Z37" s="248">
        <f t="shared" si="17"/>
        <v>0</v>
      </c>
      <c r="AA37" s="248">
        <f t="shared" si="17"/>
        <v>0</v>
      </c>
      <c r="AB37" s="248">
        <f t="shared" si="17"/>
        <v>0</v>
      </c>
      <c r="AC37" s="248">
        <f t="shared" si="17"/>
        <v>0</v>
      </c>
    </row>
    <row r="38" spans="1:30" ht="36.6" customHeight="1" outlineLevel="1" x14ac:dyDescent="0.2">
      <c r="A38" s="294" t="s">
        <v>976</v>
      </c>
      <c r="B38" s="300" t="s">
        <v>975</v>
      </c>
      <c r="C38" s="296">
        <f>E38</f>
        <v>0.96</v>
      </c>
      <c r="D38" s="249">
        <f>F38+K38+P38+U38+Z38</f>
        <v>87629</v>
      </c>
      <c r="E38" s="296">
        <v>0.96</v>
      </c>
      <c r="F38" s="249">
        <f>G38+H38+I38</f>
        <v>87629</v>
      </c>
      <c r="G38" s="249">
        <v>0</v>
      </c>
      <c r="H38" s="249">
        <v>83058</v>
      </c>
      <c r="I38" s="249">
        <v>4571</v>
      </c>
      <c r="J38" s="296">
        <v>0</v>
      </c>
      <c r="K38" s="249">
        <v>0</v>
      </c>
      <c r="L38" s="249">
        <v>0</v>
      </c>
      <c r="M38" s="249">
        <v>0</v>
      </c>
      <c r="N38" s="249">
        <v>0</v>
      </c>
      <c r="O38" s="296">
        <v>0</v>
      </c>
      <c r="P38" s="249">
        <v>0</v>
      </c>
      <c r="Q38" s="249">
        <v>0</v>
      </c>
      <c r="R38" s="251">
        <v>0</v>
      </c>
      <c r="S38" s="251">
        <v>0</v>
      </c>
      <c r="T38" s="297">
        <v>0</v>
      </c>
      <c r="U38" s="249">
        <v>0</v>
      </c>
      <c r="V38" s="249">
        <v>0</v>
      </c>
      <c r="W38" s="251">
        <v>0</v>
      </c>
      <c r="X38" s="251">
        <v>0</v>
      </c>
      <c r="Y38" s="297">
        <v>0</v>
      </c>
      <c r="Z38" s="249">
        <v>0</v>
      </c>
      <c r="AA38" s="251">
        <v>0</v>
      </c>
      <c r="AB38" s="251">
        <v>0</v>
      </c>
      <c r="AC38" s="251">
        <v>0</v>
      </c>
    </row>
    <row r="39" spans="1:30" s="1" customFormat="1" ht="61.15" customHeight="1" outlineLevel="1" x14ac:dyDescent="0.2">
      <c r="A39" s="291" t="s">
        <v>996</v>
      </c>
      <c r="B39" s="299" t="s">
        <v>977</v>
      </c>
      <c r="C39" s="293">
        <f>C40</f>
        <v>1.5</v>
      </c>
      <c r="D39" s="248">
        <f>D40</f>
        <v>167820</v>
      </c>
      <c r="E39" s="293">
        <f t="shared" ref="E39:J39" si="18">E40</f>
        <v>1.5</v>
      </c>
      <c r="F39" s="248">
        <f>F40</f>
        <v>167820</v>
      </c>
      <c r="G39" s="248">
        <f t="shared" si="18"/>
        <v>126793</v>
      </c>
      <c r="H39" s="248">
        <f t="shared" si="18"/>
        <v>38250</v>
      </c>
      <c r="I39" s="248">
        <f t="shared" si="18"/>
        <v>2777</v>
      </c>
      <c r="J39" s="293">
        <f t="shared" si="18"/>
        <v>0</v>
      </c>
      <c r="K39" s="248">
        <f t="shared" ref="K39:AC39" si="19">K40</f>
        <v>0</v>
      </c>
      <c r="L39" s="248">
        <f t="shared" si="19"/>
        <v>0</v>
      </c>
      <c r="M39" s="248">
        <f t="shared" si="19"/>
        <v>0</v>
      </c>
      <c r="N39" s="248">
        <f t="shared" si="19"/>
        <v>0</v>
      </c>
      <c r="O39" s="293">
        <f t="shared" si="19"/>
        <v>0</v>
      </c>
      <c r="P39" s="248">
        <f t="shared" si="19"/>
        <v>0</v>
      </c>
      <c r="Q39" s="248">
        <f t="shared" si="19"/>
        <v>0</v>
      </c>
      <c r="R39" s="248">
        <f t="shared" si="19"/>
        <v>0</v>
      </c>
      <c r="S39" s="248">
        <f t="shared" si="19"/>
        <v>0</v>
      </c>
      <c r="T39" s="293">
        <f t="shared" si="19"/>
        <v>0</v>
      </c>
      <c r="U39" s="248">
        <f t="shared" si="19"/>
        <v>0</v>
      </c>
      <c r="V39" s="248">
        <f t="shared" si="19"/>
        <v>0</v>
      </c>
      <c r="W39" s="248">
        <f t="shared" si="19"/>
        <v>0</v>
      </c>
      <c r="X39" s="248">
        <f t="shared" si="19"/>
        <v>0</v>
      </c>
      <c r="Y39" s="293">
        <f t="shared" si="19"/>
        <v>0</v>
      </c>
      <c r="Z39" s="248">
        <f t="shared" si="19"/>
        <v>0</v>
      </c>
      <c r="AA39" s="248">
        <f t="shared" si="19"/>
        <v>0</v>
      </c>
      <c r="AB39" s="248">
        <f t="shared" si="19"/>
        <v>0</v>
      </c>
      <c r="AC39" s="248">
        <f t="shared" si="19"/>
        <v>0</v>
      </c>
    </row>
    <row r="40" spans="1:30" ht="63" customHeight="1" outlineLevel="1" x14ac:dyDescent="0.2">
      <c r="A40" s="294" t="s">
        <v>997</v>
      </c>
      <c r="B40" s="300" t="s">
        <v>977</v>
      </c>
      <c r="C40" s="296">
        <f>E40</f>
        <v>1.5</v>
      </c>
      <c r="D40" s="249">
        <f t="shared" ref="D40:D46" si="20">F40+K40+P40+U40+Z40</f>
        <v>167820</v>
      </c>
      <c r="E40" s="296">
        <v>1.5</v>
      </c>
      <c r="F40" s="249">
        <f>G40+H40+I40</f>
        <v>167820</v>
      </c>
      <c r="G40" s="249">
        <v>126793</v>
      </c>
      <c r="H40" s="249">
        <v>38250</v>
      </c>
      <c r="I40" s="249">
        <v>2777</v>
      </c>
      <c r="J40" s="296">
        <v>0</v>
      </c>
      <c r="K40" s="249">
        <v>0</v>
      </c>
      <c r="L40" s="249">
        <f>L49+L50+L51</f>
        <v>0</v>
      </c>
      <c r="M40" s="249">
        <v>0</v>
      </c>
      <c r="N40" s="249">
        <v>0</v>
      </c>
      <c r="O40" s="296">
        <v>0</v>
      </c>
      <c r="P40" s="249">
        <v>0</v>
      </c>
      <c r="Q40" s="249">
        <f>Q49+Q50+Q51</f>
        <v>0</v>
      </c>
      <c r="R40" s="251">
        <v>0</v>
      </c>
      <c r="S40" s="251">
        <v>0</v>
      </c>
      <c r="T40" s="297">
        <v>0</v>
      </c>
      <c r="U40" s="249">
        <v>0</v>
      </c>
      <c r="V40" s="249">
        <f>V49+V50+V51</f>
        <v>0</v>
      </c>
      <c r="W40" s="251">
        <v>0</v>
      </c>
      <c r="X40" s="251">
        <v>0</v>
      </c>
      <c r="Y40" s="297">
        <v>0</v>
      </c>
      <c r="Z40" s="249">
        <v>0</v>
      </c>
      <c r="AA40" s="251">
        <f>AA49+AA50+AA51</f>
        <v>0</v>
      </c>
      <c r="AB40" s="251">
        <v>0</v>
      </c>
      <c r="AC40" s="251">
        <v>0</v>
      </c>
    </row>
    <row r="41" spans="1:30" s="1" customFormat="1" ht="43.15" customHeight="1" outlineLevel="1" x14ac:dyDescent="0.2">
      <c r="A41" s="291" t="s">
        <v>1018</v>
      </c>
      <c r="B41" s="299" t="s">
        <v>1259</v>
      </c>
      <c r="C41" s="293">
        <f>E41</f>
        <v>0</v>
      </c>
      <c r="D41" s="248">
        <f t="shared" si="20"/>
        <v>10000</v>
      </c>
      <c r="E41" s="293">
        <v>0</v>
      </c>
      <c r="F41" s="248">
        <f>G41+H41+I41</f>
        <v>0</v>
      </c>
      <c r="G41" s="248">
        <v>0</v>
      </c>
      <c r="H41" s="248">
        <v>0</v>
      </c>
      <c r="I41" s="248">
        <v>0</v>
      </c>
      <c r="J41" s="293">
        <v>0</v>
      </c>
      <c r="K41" s="248">
        <f>L41+M41+N41</f>
        <v>5000</v>
      </c>
      <c r="L41" s="248">
        <f>L50+L51+L52</f>
        <v>0</v>
      </c>
      <c r="M41" s="248">
        <v>0</v>
      </c>
      <c r="N41" s="248">
        <v>5000</v>
      </c>
      <c r="O41" s="293">
        <v>0</v>
      </c>
      <c r="P41" s="248">
        <f>Q41+R41+S41</f>
        <v>5000</v>
      </c>
      <c r="Q41" s="248">
        <f>Q50+Q51+Q52</f>
        <v>0</v>
      </c>
      <c r="R41" s="252">
        <v>0</v>
      </c>
      <c r="S41" s="252">
        <v>5000</v>
      </c>
      <c r="T41" s="302">
        <v>0</v>
      </c>
      <c r="U41" s="248">
        <v>0</v>
      </c>
      <c r="V41" s="248">
        <f>V50+V51+V52</f>
        <v>0</v>
      </c>
      <c r="W41" s="252">
        <v>0</v>
      </c>
      <c r="X41" s="252">
        <v>0</v>
      </c>
      <c r="Y41" s="302">
        <v>0</v>
      </c>
      <c r="Z41" s="248">
        <v>0</v>
      </c>
      <c r="AA41" s="252">
        <f>AA50+AA51+AA52</f>
        <v>0</v>
      </c>
      <c r="AB41" s="252">
        <v>0</v>
      </c>
      <c r="AC41" s="252">
        <v>0</v>
      </c>
    </row>
    <row r="42" spans="1:30" s="1" customFormat="1" ht="116.45" customHeight="1" outlineLevel="1" x14ac:dyDescent="0.2">
      <c r="A42" s="291" t="s">
        <v>1037</v>
      </c>
      <c r="B42" s="299" t="s">
        <v>1038</v>
      </c>
      <c r="C42" s="293">
        <f>E42+J42</f>
        <v>0.17</v>
      </c>
      <c r="D42" s="248">
        <f t="shared" si="20"/>
        <v>8480</v>
      </c>
      <c r="E42" s="293">
        <v>0</v>
      </c>
      <c r="F42" s="248">
        <f>G42+H42+I42</f>
        <v>0</v>
      </c>
      <c r="G42" s="248">
        <v>0</v>
      </c>
      <c r="H42" s="248">
        <v>0</v>
      </c>
      <c r="I42" s="248">
        <v>0</v>
      </c>
      <c r="J42" s="293">
        <v>0.17</v>
      </c>
      <c r="K42" s="248">
        <f>L42+M42+N42</f>
        <v>8480</v>
      </c>
      <c r="L42" s="248">
        <v>6057</v>
      </c>
      <c r="M42" s="248">
        <v>2283</v>
      </c>
      <c r="N42" s="248">
        <v>140</v>
      </c>
      <c r="O42" s="293">
        <v>0</v>
      </c>
      <c r="P42" s="248">
        <f>Q42+R42+S42</f>
        <v>0</v>
      </c>
      <c r="Q42" s="248">
        <v>0</v>
      </c>
      <c r="R42" s="252">
        <v>0</v>
      </c>
      <c r="S42" s="252">
        <v>0</v>
      </c>
      <c r="T42" s="302">
        <v>0</v>
      </c>
      <c r="U42" s="248">
        <v>0</v>
      </c>
      <c r="V42" s="248">
        <v>0</v>
      </c>
      <c r="W42" s="252">
        <v>0</v>
      </c>
      <c r="X42" s="252">
        <v>0</v>
      </c>
      <c r="Y42" s="302">
        <v>0</v>
      </c>
      <c r="Z42" s="248">
        <v>0</v>
      </c>
      <c r="AA42" s="252">
        <v>0</v>
      </c>
      <c r="AB42" s="252">
        <v>0</v>
      </c>
      <c r="AC42" s="252">
        <v>0</v>
      </c>
    </row>
    <row r="43" spans="1:30" s="1" customFormat="1" ht="117.6" customHeight="1" outlineLevel="1" x14ac:dyDescent="0.2">
      <c r="A43" s="291" t="s">
        <v>1039</v>
      </c>
      <c r="B43" s="299" t="s">
        <v>1040</v>
      </c>
      <c r="C43" s="293">
        <f>E43+J43</f>
        <v>1.57</v>
      </c>
      <c r="D43" s="248">
        <f t="shared" si="20"/>
        <v>45062</v>
      </c>
      <c r="E43" s="293">
        <v>0</v>
      </c>
      <c r="F43" s="248">
        <f>G43+H43+I43</f>
        <v>0</v>
      </c>
      <c r="G43" s="248">
        <v>0</v>
      </c>
      <c r="H43" s="248">
        <v>0</v>
      </c>
      <c r="I43" s="248">
        <v>0</v>
      </c>
      <c r="J43" s="293">
        <v>1.57</v>
      </c>
      <c r="K43" s="248">
        <f>L43+M43+N43</f>
        <v>45062</v>
      </c>
      <c r="L43" s="248">
        <v>32186</v>
      </c>
      <c r="M43" s="248">
        <v>12135</v>
      </c>
      <c r="N43" s="248">
        <v>741</v>
      </c>
      <c r="O43" s="293">
        <v>0</v>
      </c>
      <c r="P43" s="248">
        <f>Q43+R43+S43</f>
        <v>0</v>
      </c>
      <c r="Q43" s="248">
        <v>0</v>
      </c>
      <c r="R43" s="252">
        <v>0</v>
      </c>
      <c r="S43" s="252">
        <v>0</v>
      </c>
      <c r="T43" s="302">
        <v>0</v>
      </c>
      <c r="U43" s="248">
        <v>0</v>
      </c>
      <c r="V43" s="248">
        <v>0</v>
      </c>
      <c r="W43" s="252">
        <v>0</v>
      </c>
      <c r="X43" s="252">
        <v>0</v>
      </c>
      <c r="Y43" s="302">
        <v>0</v>
      </c>
      <c r="Z43" s="248">
        <v>0</v>
      </c>
      <c r="AA43" s="252">
        <v>0</v>
      </c>
      <c r="AB43" s="252">
        <v>0</v>
      </c>
      <c r="AC43" s="252">
        <v>0</v>
      </c>
    </row>
    <row r="44" spans="1:30" s="1" customFormat="1" ht="57.6" customHeight="1" outlineLevel="1" x14ac:dyDescent="0.2">
      <c r="A44" s="291" t="s">
        <v>1041</v>
      </c>
      <c r="B44" s="299" t="s">
        <v>1184</v>
      </c>
      <c r="C44" s="293">
        <f>E44+J44</f>
        <v>0.6</v>
      </c>
      <c r="D44" s="248">
        <f t="shared" si="20"/>
        <v>66016</v>
      </c>
      <c r="E44" s="291">
        <f>E45+E46</f>
        <v>0.6</v>
      </c>
      <c r="F44" s="248">
        <f>F45+F46</f>
        <v>66016</v>
      </c>
      <c r="G44" s="248">
        <f t="shared" ref="G44" si="21">G45+G46</f>
        <v>0</v>
      </c>
      <c r="H44" s="248">
        <f>H45+H46</f>
        <v>60962</v>
      </c>
      <c r="I44" s="248">
        <f>I45+I46</f>
        <v>5054</v>
      </c>
      <c r="J44" s="248">
        <f t="shared" ref="J44:AC44" si="22">J45+J46</f>
        <v>0</v>
      </c>
      <c r="K44" s="248">
        <f t="shared" si="22"/>
        <v>0</v>
      </c>
      <c r="L44" s="248">
        <f t="shared" si="22"/>
        <v>0</v>
      </c>
      <c r="M44" s="248">
        <f t="shared" si="22"/>
        <v>0</v>
      </c>
      <c r="N44" s="248">
        <f t="shared" si="22"/>
        <v>0</v>
      </c>
      <c r="O44" s="248">
        <f t="shared" si="22"/>
        <v>0</v>
      </c>
      <c r="P44" s="248">
        <f t="shared" si="22"/>
        <v>0</v>
      </c>
      <c r="Q44" s="248">
        <f t="shared" si="22"/>
        <v>0</v>
      </c>
      <c r="R44" s="248">
        <f t="shared" si="22"/>
        <v>0</v>
      </c>
      <c r="S44" s="248">
        <f t="shared" si="22"/>
        <v>0</v>
      </c>
      <c r="T44" s="248">
        <f t="shared" si="22"/>
        <v>0</v>
      </c>
      <c r="U44" s="248">
        <f t="shared" si="22"/>
        <v>0</v>
      </c>
      <c r="V44" s="248">
        <f t="shared" si="22"/>
        <v>0</v>
      </c>
      <c r="W44" s="248">
        <f t="shared" si="22"/>
        <v>0</v>
      </c>
      <c r="X44" s="248">
        <f t="shared" si="22"/>
        <v>0</v>
      </c>
      <c r="Y44" s="248">
        <f t="shared" si="22"/>
        <v>0</v>
      </c>
      <c r="Z44" s="248">
        <f t="shared" si="22"/>
        <v>0</v>
      </c>
      <c r="AA44" s="248">
        <f t="shared" si="22"/>
        <v>0</v>
      </c>
      <c r="AB44" s="248">
        <f t="shared" si="22"/>
        <v>0</v>
      </c>
      <c r="AC44" s="248">
        <f t="shared" si="22"/>
        <v>0</v>
      </c>
    </row>
    <row r="45" spans="1:30" ht="60" customHeight="1" outlineLevel="1" x14ac:dyDescent="0.2">
      <c r="A45" s="294" t="s">
        <v>1252</v>
      </c>
      <c r="B45" s="300" t="s">
        <v>1184</v>
      </c>
      <c r="C45" s="296">
        <f>E45</f>
        <v>0.6</v>
      </c>
      <c r="D45" s="249">
        <f t="shared" si="20"/>
        <v>64036</v>
      </c>
      <c r="E45" s="296">
        <v>0.6</v>
      </c>
      <c r="F45" s="249">
        <f>G45+H45+I45</f>
        <v>64036</v>
      </c>
      <c r="G45" s="249">
        <v>0</v>
      </c>
      <c r="H45" s="249">
        <v>60962</v>
      </c>
      <c r="I45" s="249">
        <v>3074</v>
      </c>
      <c r="J45" s="296">
        <v>0</v>
      </c>
      <c r="K45" s="249">
        <v>0</v>
      </c>
      <c r="L45" s="249">
        <v>0</v>
      </c>
      <c r="M45" s="249">
        <v>0</v>
      </c>
      <c r="N45" s="249">
        <v>0</v>
      </c>
      <c r="O45" s="296">
        <v>0</v>
      </c>
      <c r="P45" s="249">
        <v>0</v>
      </c>
      <c r="Q45" s="249">
        <v>0</v>
      </c>
      <c r="R45" s="251">
        <v>0</v>
      </c>
      <c r="S45" s="251">
        <v>0</v>
      </c>
      <c r="T45" s="297">
        <v>0</v>
      </c>
      <c r="U45" s="249">
        <v>0</v>
      </c>
      <c r="V45" s="249">
        <v>0</v>
      </c>
      <c r="W45" s="251">
        <v>0</v>
      </c>
      <c r="X45" s="251">
        <v>0</v>
      </c>
      <c r="Y45" s="297">
        <v>0</v>
      </c>
      <c r="Z45" s="249">
        <v>0</v>
      </c>
      <c r="AA45" s="251">
        <v>0</v>
      </c>
      <c r="AB45" s="251">
        <v>0</v>
      </c>
      <c r="AC45" s="251">
        <v>0</v>
      </c>
    </row>
    <row r="46" spans="1:30" ht="79.150000000000006" customHeight="1" outlineLevel="1" x14ac:dyDescent="0.2">
      <c r="A46" s="294" t="s">
        <v>1253</v>
      </c>
      <c r="B46" s="300" t="s">
        <v>1254</v>
      </c>
      <c r="C46" s="296">
        <f>E46</f>
        <v>0</v>
      </c>
      <c r="D46" s="249">
        <f t="shared" si="20"/>
        <v>1980</v>
      </c>
      <c r="E46" s="296">
        <v>0</v>
      </c>
      <c r="F46" s="249">
        <f>G46+H46+I46</f>
        <v>1980</v>
      </c>
      <c r="G46" s="249">
        <v>0</v>
      </c>
      <c r="H46" s="249">
        <v>0</v>
      </c>
      <c r="I46" s="249">
        <v>1980</v>
      </c>
      <c r="J46" s="296">
        <v>0</v>
      </c>
      <c r="K46" s="249">
        <v>0</v>
      </c>
      <c r="L46" s="249">
        <v>0</v>
      </c>
      <c r="M46" s="249">
        <v>0</v>
      </c>
      <c r="N46" s="249">
        <v>0</v>
      </c>
      <c r="O46" s="296"/>
      <c r="P46" s="249">
        <v>0</v>
      </c>
      <c r="Q46" s="249">
        <v>0</v>
      </c>
      <c r="R46" s="251">
        <v>0</v>
      </c>
      <c r="S46" s="251">
        <v>0</v>
      </c>
      <c r="T46" s="297">
        <v>0</v>
      </c>
      <c r="U46" s="249">
        <v>0</v>
      </c>
      <c r="V46" s="249">
        <v>0</v>
      </c>
      <c r="W46" s="251">
        <v>0</v>
      </c>
      <c r="X46" s="251">
        <v>0</v>
      </c>
      <c r="Y46" s="297">
        <v>0</v>
      </c>
      <c r="Z46" s="249">
        <v>0</v>
      </c>
      <c r="AA46" s="251">
        <v>0</v>
      </c>
      <c r="AB46" s="251">
        <v>0</v>
      </c>
      <c r="AC46" s="251">
        <v>0</v>
      </c>
    </row>
    <row r="47" spans="1:30" s="203" customFormat="1" ht="29.45" customHeight="1" x14ac:dyDescent="0.2">
      <c r="A47" s="202"/>
      <c r="B47" s="303" t="s">
        <v>15</v>
      </c>
      <c r="C47" s="304">
        <f t="shared" ref="C47:AC47" si="23">C9+C17+C21+C25+C29+C33+C37+C39+C13+C41+C42+C43+C44</f>
        <v>13.48</v>
      </c>
      <c r="D47" s="250">
        <f t="shared" si="23"/>
        <v>1522005</v>
      </c>
      <c r="E47" s="304">
        <f t="shared" si="23"/>
        <v>3.06</v>
      </c>
      <c r="F47" s="250">
        <f t="shared" si="23"/>
        <v>321465</v>
      </c>
      <c r="G47" s="250">
        <f t="shared" si="23"/>
        <v>126793</v>
      </c>
      <c r="H47" s="250">
        <f t="shared" si="23"/>
        <v>182270</v>
      </c>
      <c r="I47" s="250">
        <f t="shared" si="23"/>
        <v>12402</v>
      </c>
      <c r="J47" s="304">
        <f t="shared" si="23"/>
        <v>1.74</v>
      </c>
      <c r="K47" s="250">
        <f>K9+K17+K21+K25+K29+K33+K37+K39+K13+K41+K42+K43+K44</f>
        <v>58542</v>
      </c>
      <c r="L47" s="250">
        <f t="shared" si="23"/>
        <v>38243</v>
      </c>
      <c r="M47" s="250">
        <f t="shared" si="23"/>
        <v>14418</v>
      </c>
      <c r="N47" s="250">
        <f t="shared" si="23"/>
        <v>5881</v>
      </c>
      <c r="O47" s="304">
        <f t="shared" si="23"/>
        <v>0</v>
      </c>
      <c r="P47" s="250">
        <f t="shared" si="23"/>
        <v>5000</v>
      </c>
      <c r="Q47" s="250">
        <f t="shared" si="23"/>
        <v>0</v>
      </c>
      <c r="R47" s="250">
        <f t="shared" si="23"/>
        <v>0</v>
      </c>
      <c r="S47" s="250">
        <f t="shared" si="23"/>
        <v>5000</v>
      </c>
      <c r="T47" s="304">
        <f t="shared" si="23"/>
        <v>6.2799999999999994</v>
      </c>
      <c r="U47" s="250">
        <f t="shared" si="23"/>
        <v>657603</v>
      </c>
      <c r="V47" s="250">
        <f t="shared" si="23"/>
        <v>0</v>
      </c>
      <c r="W47" s="250">
        <f t="shared" si="23"/>
        <v>615744</v>
      </c>
      <c r="X47" s="250">
        <f t="shared" si="23"/>
        <v>41859</v>
      </c>
      <c r="Y47" s="304">
        <f t="shared" si="23"/>
        <v>2.4</v>
      </c>
      <c r="Z47" s="250">
        <f t="shared" si="23"/>
        <v>479395</v>
      </c>
      <c r="AA47" s="250">
        <f t="shared" si="23"/>
        <v>0</v>
      </c>
      <c r="AB47" s="250">
        <f t="shared" si="23"/>
        <v>453986</v>
      </c>
      <c r="AC47" s="250">
        <f t="shared" si="23"/>
        <v>25409</v>
      </c>
      <c r="AD47" s="202"/>
    </row>
    <row r="48" spans="1:30" ht="28.15" customHeight="1" x14ac:dyDescent="0.2">
      <c r="A48" s="437" t="s">
        <v>77</v>
      </c>
      <c r="B48" s="437"/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7"/>
      <c r="X48" s="437"/>
      <c r="Y48" s="437"/>
      <c r="Z48" s="437"/>
      <c r="AA48" s="437"/>
      <c r="AB48" s="437"/>
      <c r="AC48" s="437"/>
    </row>
    <row r="49" spans="1:29" s="1" customFormat="1" ht="112.15" customHeight="1" outlineLevel="1" x14ac:dyDescent="0.2">
      <c r="A49" s="291" t="s">
        <v>2</v>
      </c>
      <c r="B49" s="305" t="s">
        <v>175</v>
      </c>
      <c r="C49" s="293">
        <f>C50+C51+C52</f>
        <v>0.1</v>
      </c>
      <c r="D49" s="248">
        <f t="shared" ref="D49:R49" si="24">D50+D51+D52</f>
        <v>54455</v>
      </c>
      <c r="E49" s="293">
        <f t="shared" si="24"/>
        <v>0</v>
      </c>
      <c r="F49" s="248">
        <f t="shared" si="24"/>
        <v>0</v>
      </c>
      <c r="G49" s="248">
        <f t="shared" si="24"/>
        <v>0</v>
      </c>
      <c r="H49" s="248">
        <f t="shared" si="24"/>
        <v>0</v>
      </c>
      <c r="I49" s="248">
        <f t="shared" si="24"/>
        <v>0</v>
      </c>
      <c r="J49" s="293">
        <f t="shared" si="24"/>
        <v>0</v>
      </c>
      <c r="K49" s="248">
        <f t="shared" si="24"/>
        <v>0</v>
      </c>
      <c r="L49" s="248">
        <f t="shared" si="24"/>
        <v>0</v>
      </c>
      <c r="M49" s="248">
        <f t="shared" si="24"/>
        <v>0</v>
      </c>
      <c r="N49" s="248">
        <f t="shared" si="24"/>
        <v>0</v>
      </c>
      <c r="O49" s="293">
        <f t="shared" si="24"/>
        <v>0</v>
      </c>
      <c r="P49" s="248">
        <f t="shared" si="24"/>
        <v>0</v>
      </c>
      <c r="Q49" s="248">
        <f t="shared" si="24"/>
        <v>0</v>
      </c>
      <c r="R49" s="248">
        <f t="shared" si="24"/>
        <v>0</v>
      </c>
      <c r="S49" s="248">
        <f t="shared" ref="S49:AC49" si="25">S50+S51+S52</f>
        <v>0</v>
      </c>
      <c r="T49" s="293">
        <f t="shared" si="25"/>
        <v>0.1</v>
      </c>
      <c r="U49" s="248">
        <f>U50+U51+U52</f>
        <v>54455</v>
      </c>
      <c r="V49" s="248">
        <f t="shared" si="25"/>
        <v>0</v>
      </c>
      <c r="W49" s="248">
        <f>W50+W51+W52</f>
        <v>49966</v>
      </c>
      <c r="X49" s="248">
        <f>X50+X51+X52</f>
        <v>4489</v>
      </c>
      <c r="Y49" s="293">
        <f t="shared" si="25"/>
        <v>0</v>
      </c>
      <c r="Z49" s="248">
        <f t="shared" si="25"/>
        <v>0</v>
      </c>
      <c r="AA49" s="248">
        <f t="shared" si="25"/>
        <v>0</v>
      </c>
      <c r="AB49" s="248">
        <f t="shared" si="25"/>
        <v>0</v>
      </c>
      <c r="AC49" s="248">
        <f t="shared" si="25"/>
        <v>0</v>
      </c>
    </row>
    <row r="50" spans="1:29" ht="111.6" customHeight="1" outlineLevel="1" x14ac:dyDescent="0.2">
      <c r="A50" s="294" t="s">
        <v>20</v>
      </c>
      <c r="B50" s="306" t="s">
        <v>175</v>
      </c>
      <c r="C50" s="296">
        <f>E50+J50+O50+T50+Y50</f>
        <v>0.1</v>
      </c>
      <c r="D50" s="249">
        <f t="shared" ref="D50:D56" si="26">F50+K50+P50+U50+Z50</f>
        <v>52485</v>
      </c>
      <c r="E50" s="296">
        <v>0</v>
      </c>
      <c r="F50" s="249">
        <v>0</v>
      </c>
      <c r="G50" s="249">
        <v>0</v>
      </c>
      <c r="H50" s="249">
        <v>0</v>
      </c>
      <c r="I50" s="249">
        <v>0</v>
      </c>
      <c r="J50" s="296">
        <v>0</v>
      </c>
      <c r="K50" s="249">
        <f t="shared" ref="K50:K55" si="27">SUM(L50:N50)</f>
        <v>0</v>
      </c>
      <c r="L50" s="249">
        <v>0</v>
      </c>
      <c r="M50" s="249">
        <f>ROUND(51350*0.959,1)-49244.7</f>
        <v>0</v>
      </c>
      <c r="N50" s="249">
        <v>0</v>
      </c>
      <c r="O50" s="296">
        <v>0</v>
      </c>
      <c r="P50" s="249">
        <v>0</v>
      </c>
      <c r="Q50" s="249">
        <v>0</v>
      </c>
      <c r="R50" s="249">
        <f>P50*0.959</f>
        <v>0</v>
      </c>
      <c r="S50" s="249">
        <f>P50*0.041</f>
        <v>0</v>
      </c>
      <c r="T50" s="296">
        <v>0.1</v>
      </c>
      <c r="U50" s="249">
        <v>52485</v>
      </c>
      <c r="V50" s="249">
        <v>0</v>
      </c>
      <c r="W50" s="249">
        <v>49966</v>
      </c>
      <c r="X50" s="249">
        <v>2519</v>
      </c>
      <c r="Y50" s="296">
        <v>0</v>
      </c>
      <c r="Z50" s="249">
        <v>0</v>
      </c>
      <c r="AA50" s="249">
        <v>0</v>
      </c>
      <c r="AB50" s="249">
        <v>0</v>
      </c>
      <c r="AC50" s="249">
        <v>0</v>
      </c>
    </row>
    <row r="51" spans="1:29" ht="138" customHeight="1" outlineLevel="1" x14ac:dyDescent="0.2">
      <c r="A51" s="294" t="s">
        <v>161</v>
      </c>
      <c r="B51" s="306" t="s">
        <v>118</v>
      </c>
      <c r="C51" s="296">
        <v>0</v>
      </c>
      <c r="D51" s="249">
        <f t="shared" si="26"/>
        <v>1135</v>
      </c>
      <c r="E51" s="296">
        <v>0</v>
      </c>
      <c r="F51" s="249">
        <v>0</v>
      </c>
      <c r="G51" s="249">
        <v>0</v>
      </c>
      <c r="H51" s="249">
        <v>0</v>
      </c>
      <c r="I51" s="249">
        <v>0</v>
      </c>
      <c r="J51" s="296">
        <v>0</v>
      </c>
      <c r="K51" s="249">
        <f t="shared" si="27"/>
        <v>0</v>
      </c>
      <c r="L51" s="249">
        <v>0</v>
      </c>
      <c r="M51" s="249">
        <v>0</v>
      </c>
      <c r="N51" s="249">
        <v>0</v>
      </c>
      <c r="O51" s="296">
        <v>0</v>
      </c>
      <c r="P51" s="249">
        <v>0</v>
      </c>
      <c r="Q51" s="249">
        <v>0</v>
      </c>
      <c r="R51" s="249">
        <v>0</v>
      </c>
      <c r="S51" s="249">
        <v>0</v>
      </c>
      <c r="T51" s="296">
        <v>0</v>
      </c>
      <c r="U51" s="249">
        <f>X51</f>
        <v>1135</v>
      </c>
      <c r="V51" s="249">
        <v>0</v>
      </c>
      <c r="W51" s="249">
        <v>0</v>
      </c>
      <c r="X51" s="249">
        <v>1135</v>
      </c>
      <c r="Y51" s="296">
        <v>0</v>
      </c>
      <c r="Z51" s="249">
        <v>0</v>
      </c>
      <c r="AA51" s="249">
        <v>0</v>
      </c>
      <c r="AB51" s="249">
        <v>0</v>
      </c>
      <c r="AC51" s="249">
        <v>0</v>
      </c>
    </row>
    <row r="52" spans="1:29" ht="135.6" customHeight="1" outlineLevel="1" x14ac:dyDescent="0.2">
      <c r="A52" s="294" t="s">
        <v>773</v>
      </c>
      <c r="B52" s="306" t="s">
        <v>772</v>
      </c>
      <c r="C52" s="296">
        <v>0</v>
      </c>
      <c r="D52" s="249">
        <f t="shared" si="26"/>
        <v>835</v>
      </c>
      <c r="E52" s="296">
        <v>0</v>
      </c>
      <c r="F52" s="249">
        <v>0</v>
      </c>
      <c r="G52" s="249">
        <v>0</v>
      </c>
      <c r="H52" s="249">
        <v>0</v>
      </c>
      <c r="I52" s="249">
        <v>0</v>
      </c>
      <c r="J52" s="296">
        <v>0</v>
      </c>
      <c r="K52" s="249">
        <f>N52</f>
        <v>0</v>
      </c>
      <c r="L52" s="249">
        <v>0</v>
      </c>
      <c r="M52" s="249">
        <v>0</v>
      </c>
      <c r="N52" s="249">
        <v>0</v>
      </c>
      <c r="O52" s="296">
        <v>0</v>
      </c>
      <c r="P52" s="249">
        <v>0</v>
      </c>
      <c r="Q52" s="249">
        <v>0</v>
      </c>
      <c r="R52" s="249">
        <v>0</v>
      </c>
      <c r="S52" s="249">
        <v>0</v>
      </c>
      <c r="T52" s="296">
        <v>0</v>
      </c>
      <c r="U52" s="249">
        <f>X52</f>
        <v>835</v>
      </c>
      <c r="V52" s="249">
        <v>0</v>
      </c>
      <c r="W52" s="249">
        <v>0</v>
      </c>
      <c r="X52" s="249">
        <v>835</v>
      </c>
      <c r="Y52" s="296">
        <v>0</v>
      </c>
      <c r="Z52" s="249">
        <v>0</v>
      </c>
      <c r="AA52" s="249">
        <v>0</v>
      </c>
      <c r="AB52" s="249">
        <v>0</v>
      </c>
      <c r="AC52" s="249">
        <v>0</v>
      </c>
    </row>
    <row r="53" spans="1:29" s="1" customFormat="1" ht="83.25" customHeight="1" outlineLevel="1" x14ac:dyDescent="0.2">
      <c r="A53" s="291" t="s">
        <v>3</v>
      </c>
      <c r="B53" s="305" t="s">
        <v>762</v>
      </c>
      <c r="C53" s="293">
        <f>C54+C55+C56</f>
        <v>0.92</v>
      </c>
      <c r="D53" s="248">
        <f t="shared" ref="D53:AC53" si="28">D54+D55+D56</f>
        <v>56064</v>
      </c>
      <c r="E53" s="293">
        <f t="shared" si="28"/>
        <v>0</v>
      </c>
      <c r="F53" s="248">
        <f t="shared" si="28"/>
        <v>0</v>
      </c>
      <c r="G53" s="248">
        <f t="shared" si="28"/>
        <v>0</v>
      </c>
      <c r="H53" s="248">
        <f t="shared" si="28"/>
        <v>0</v>
      </c>
      <c r="I53" s="248">
        <f t="shared" si="28"/>
        <v>0</v>
      </c>
      <c r="J53" s="293">
        <f t="shared" si="28"/>
        <v>0</v>
      </c>
      <c r="K53" s="248">
        <f t="shared" si="28"/>
        <v>0</v>
      </c>
      <c r="L53" s="248">
        <f t="shared" si="28"/>
        <v>0</v>
      </c>
      <c r="M53" s="248">
        <f t="shared" si="28"/>
        <v>0</v>
      </c>
      <c r="N53" s="248">
        <f t="shared" si="28"/>
        <v>0</v>
      </c>
      <c r="O53" s="293">
        <f t="shared" si="28"/>
        <v>0</v>
      </c>
      <c r="P53" s="248">
        <f t="shared" si="28"/>
        <v>0</v>
      </c>
      <c r="Q53" s="248">
        <f t="shared" si="28"/>
        <v>0</v>
      </c>
      <c r="R53" s="248">
        <f t="shared" si="28"/>
        <v>0</v>
      </c>
      <c r="S53" s="248">
        <f>S54+S55+S56</f>
        <v>0</v>
      </c>
      <c r="T53" s="293">
        <f t="shared" si="28"/>
        <v>0.92</v>
      </c>
      <c r="U53" s="248">
        <f>U54+U55+U56</f>
        <v>56064</v>
      </c>
      <c r="V53" s="248">
        <f t="shared" si="28"/>
        <v>0</v>
      </c>
      <c r="W53" s="248">
        <f>W54+W55+W56</f>
        <v>49980</v>
      </c>
      <c r="X53" s="248">
        <f>X54+X55+X56</f>
        <v>6084</v>
      </c>
      <c r="Y53" s="293">
        <f t="shared" si="28"/>
        <v>0</v>
      </c>
      <c r="Z53" s="248">
        <f t="shared" si="28"/>
        <v>0</v>
      </c>
      <c r="AA53" s="248">
        <f t="shared" si="28"/>
        <v>0</v>
      </c>
      <c r="AB53" s="248">
        <f t="shared" si="28"/>
        <v>0</v>
      </c>
      <c r="AC53" s="248">
        <f t="shared" si="28"/>
        <v>0</v>
      </c>
    </row>
    <row r="54" spans="1:29" ht="92.45" customHeight="1" outlineLevel="1" x14ac:dyDescent="0.2">
      <c r="A54" s="294" t="s">
        <v>21</v>
      </c>
      <c r="B54" s="306" t="s">
        <v>762</v>
      </c>
      <c r="C54" s="296">
        <f>E54+J54+O54++T54+Y54</f>
        <v>0.92</v>
      </c>
      <c r="D54" s="251">
        <f t="shared" si="26"/>
        <v>52500</v>
      </c>
      <c r="E54" s="297">
        <v>0</v>
      </c>
      <c r="F54" s="251">
        <v>0</v>
      </c>
      <c r="G54" s="251">
        <v>0</v>
      </c>
      <c r="H54" s="251">
        <v>0</v>
      </c>
      <c r="I54" s="251">
        <v>0</v>
      </c>
      <c r="J54" s="296">
        <v>0</v>
      </c>
      <c r="K54" s="249">
        <f t="shared" si="27"/>
        <v>0</v>
      </c>
      <c r="L54" s="249">
        <v>0</v>
      </c>
      <c r="M54" s="251">
        <f>ROUND(52500*0.959,1)-50347.5</f>
        <v>0</v>
      </c>
      <c r="N54" s="251">
        <v>0</v>
      </c>
      <c r="O54" s="297">
        <v>0</v>
      </c>
      <c r="P54" s="251">
        <f>R54+S54</f>
        <v>0</v>
      </c>
      <c r="Q54" s="251">
        <v>0</v>
      </c>
      <c r="R54" s="251">
        <v>0</v>
      </c>
      <c r="S54" s="251">
        <v>0</v>
      </c>
      <c r="T54" s="297">
        <v>0.92</v>
      </c>
      <c r="U54" s="251">
        <f>V54+W54+X54</f>
        <v>52500</v>
      </c>
      <c r="V54" s="251">
        <v>0</v>
      </c>
      <c r="W54" s="251">
        <v>49980</v>
      </c>
      <c r="X54" s="251">
        <v>2520</v>
      </c>
      <c r="Y54" s="297">
        <v>0</v>
      </c>
      <c r="Z54" s="251">
        <v>0</v>
      </c>
      <c r="AA54" s="251">
        <v>0</v>
      </c>
      <c r="AB54" s="251">
        <v>0</v>
      </c>
      <c r="AC54" s="251">
        <v>0</v>
      </c>
    </row>
    <row r="55" spans="1:29" ht="109.9" customHeight="1" outlineLevel="1" x14ac:dyDescent="0.2">
      <c r="A55" s="294" t="s">
        <v>22</v>
      </c>
      <c r="B55" s="306" t="s">
        <v>766</v>
      </c>
      <c r="C55" s="296">
        <f>E1078</f>
        <v>0</v>
      </c>
      <c r="D55" s="251">
        <f t="shared" si="26"/>
        <v>2600</v>
      </c>
      <c r="E55" s="297">
        <v>0</v>
      </c>
      <c r="F55" s="251">
        <v>0</v>
      </c>
      <c r="G55" s="251">
        <v>0</v>
      </c>
      <c r="H55" s="251">
        <v>0</v>
      </c>
      <c r="I55" s="251">
        <v>0</v>
      </c>
      <c r="J55" s="296">
        <v>0</v>
      </c>
      <c r="K55" s="249">
        <f t="shared" si="27"/>
        <v>0</v>
      </c>
      <c r="L55" s="249">
        <v>0</v>
      </c>
      <c r="M55" s="251">
        <v>0</v>
      </c>
      <c r="N55" s="251">
        <v>0</v>
      </c>
      <c r="O55" s="297">
        <v>0</v>
      </c>
      <c r="P55" s="251">
        <f>S55</f>
        <v>0</v>
      </c>
      <c r="Q55" s="251">
        <v>0</v>
      </c>
      <c r="R55" s="251">
        <v>0</v>
      </c>
      <c r="S55" s="251">
        <v>0</v>
      </c>
      <c r="T55" s="297">
        <v>0</v>
      </c>
      <c r="U55" s="251">
        <f t="shared" ref="U55:U56" si="29">V55+W55+X55</f>
        <v>2600</v>
      </c>
      <c r="V55" s="251">
        <v>0</v>
      </c>
      <c r="W55" s="251">
        <v>0</v>
      </c>
      <c r="X55" s="251">
        <v>2600</v>
      </c>
      <c r="Y55" s="297">
        <v>0</v>
      </c>
      <c r="Z55" s="251">
        <v>0</v>
      </c>
      <c r="AA55" s="251">
        <v>0</v>
      </c>
      <c r="AB55" s="251">
        <v>0</v>
      </c>
      <c r="AC55" s="251">
        <v>0</v>
      </c>
    </row>
    <row r="56" spans="1:29" ht="108" customHeight="1" outlineLevel="1" x14ac:dyDescent="0.2">
      <c r="A56" s="294" t="s">
        <v>119</v>
      </c>
      <c r="B56" s="306" t="s">
        <v>767</v>
      </c>
      <c r="C56" s="296">
        <v>0</v>
      </c>
      <c r="D56" s="251">
        <f t="shared" si="26"/>
        <v>964</v>
      </c>
      <c r="E56" s="297">
        <v>0</v>
      </c>
      <c r="F56" s="251">
        <v>0</v>
      </c>
      <c r="G56" s="251">
        <v>0</v>
      </c>
      <c r="H56" s="251">
        <v>0</v>
      </c>
      <c r="I56" s="251">
        <v>0</v>
      </c>
      <c r="J56" s="296">
        <v>0</v>
      </c>
      <c r="K56" s="249">
        <f>N56</f>
        <v>0</v>
      </c>
      <c r="L56" s="249">
        <v>0</v>
      </c>
      <c r="M56" s="251">
        <v>0</v>
      </c>
      <c r="N56" s="251">
        <v>0</v>
      </c>
      <c r="O56" s="297">
        <v>0</v>
      </c>
      <c r="P56" s="251">
        <f>S56</f>
        <v>0</v>
      </c>
      <c r="Q56" s="251">
        <v>0</v>
      </c>
      <c r="R56" s="251">
        <v>0</v>
      </c>
      <c r="S56" s="251">
        <v>0</v>
      </c>
      <c r="T56" s="297">
        <v>0</v>
      </c>
      <c r="U56" s="251">
        <f t="shared" si="29"/>
        <v>964</v>
      </c>
      <c r="V56" s="251">
        <v>0</v>
      </c>
      <c r="W56" s="251">
        <v>0</v>
      </c>
      <c r="X56" s="251">
        <v>964</v>
      </c>
      <c r="Y56" s="297">
        <v>0</v>
      </c>
      <c r="Z56" s="251">
        <v>0</v>
      </c>
      <c r="AA56" s="251">
        <v>0</v>
      </c>
      <c r="AB56" s="251">
        <v>0</v>
      </c>
      <c r="AC56" s="251">
        <v>0</v>
      </c>
    </row>
    <row r="57" spans="1:29" s="1" customFormat="1" ht="122.25" customHeight="1" outlineLevel="1" x14ac:dyDescent="0.2">
      <c r="A57" s="291" t="s">
        <v>747</v>
      </c>
      <c r="B57" s="305" t="s">
        <v>763</v>
      </c>
      <c r="C57" s="293">
        <f t="shared" ref="C57:D60" si="30">E57+J57+O57+T57+Y57</f>
        <v>1</v>
      </c>
      <c r="D57" s="248">
        <f>F57+K57+P57+U57+Z57</f>
        <v>48605</v>
      </c>
      <c r="E57" s="293">
        <f t="shared" ref="E57:AC57" si="31">E58+E59+E60</f>
        <v>0</v>
      </c>
      <c r="F57" s="248">
        <f>F58+F59+F60</f>
        <v>0</v>
      </c>
      <c r="G57" s="248">
        <f t="shared" si="31"/>
        <v>0</v>
      </c>
      <c r="H57" s="248">
        <f t="shared" si="31"/>
        <v>0</v>
      </c>
      <c r="I57" s="248">
        <f t="shared" si="31"/>
        <v>0</v>
      </c>
      <c r="J57" s="293">
        <f t="shared" si="31"/>
        <v>0</v>
      </c>
      <c r="K57" s="248">
        <f t="shared" si="31"/>
        <v>0</v>
      </c>
      <c r="L57" s="248">
        <f t="shared" si="31"/>
        <v>0</v>
      </c>
      <c r="M57" s="248">
        <f t="shared" si="31"/>
        <v>0</v>
      </c>
      <c r="N57" s="248">
        <f t="shared" si="31"/>
        <v>0</v>
      </c>
      <c r="O57" s="293">
        <f t="shared" si="31"/>
        <v>0</v>
      </c>
      <c r="P57" s="248">
        <f t="shared" si="31"/>
        <v>0</v>
      </c>
      <c r="Q57" s="248">
        <f t="shared" si="31"/>
        <v>0</v>
      </c>
      <c r="R57" s="248">
        <f t="shared" si="31"/>
        <v>0</v>
      </c>
      <c r="S57" s="248">
        <f t="shared" si="31"/>
        <v>0</v>
      </c>
      <c r="T57" s="293">
        <f t="shared" si="31"/>
        <v>1</v>
      </c>
      <c r="U57" s="248">
        <f>U58+U59+U60</f>
        <v>48605</v>
      </c>
      <c r="V57" s="248">
        <f t="shared" si="31"/>
        <v>0</v>
      </c>
      <c r="W57" s="248">
        <f t="shared" si="31"/>
        <v>43654</v>
      </c>
      <c r="X57" s="248">
        <f t="shared" si="31"/>
        <v>4951</v>
      </c>
      <c r="Y57" s="293">
        <f t="shared" si="31"/>
        <v>0</v>
      </c>
      <c r="Z57" s="248">
        <f t="shared" si="31"/>
        <v>0</v>
      </c>
      <c r="AA57" s="248">
        <f t="shared" si="31"/>
        <v>0</v>
      </c>
      <c r="AB57" s="248">
        <f t="shared" si="31"/>
        <v>0</v>
      </c>
      <c r="AC57" s="248">
        <f t="shared" si="31"/>
        <v>0</v>
      </c>
    </row>
    <row r="58" spans="1:29" ht="108" customHeight="1" outlineLevel="1" x14ac:dyDescent="0.2">
      <c r="A58" s="294" t="s">
        <v>769</v>
      </c>
      <c r="B58" s="306" t="s">
        <v>763</v>
      </c>
      <c r="C58" s="296">
        <f t="shared" si="30"/>
        <v>1</v>
      </c>
      <c r="D58" s="249">
        <f t="shared" si="30"/>
        <v>45855</v>
      </c>
      <c r="E58" s="297">
        <v>0</v>
      </c>
      <c r="F58" s="251">
        <v>0</v>
      </c>
      <c r="G58" s="251">
        <v>0</v>
      </c>
      <c r="H58" s="251">
        <v>0</v>
      </c>
      <c r="I58" s="251">
        <v>0</v>
      </c>
      <c r="J58" s="296">
        <v>0</v>
      </c>
      <c r="K58" s="249">
        <v>0</v>
      </c>
      <c r="L58" s="249">
        <v>0</v>
      </c>
      <c r="M58" s="251">
        <v>0</v>
      </c>
      <c r="N58" s="251">
        <v>0</v>
      </c>
      <c r="O58" s="297">
        <v>0</v>
      </c>
      <c r="P58" s="251">
        <v>0</v>
      </c>
      <c r="Q58" s="251">
        <v>0</v>
      </c>
      <c r="R58" s="251">
        <v>0</v>
      </c>
      <c r="S58" s="251">
        <v>0</v>
      </c>
      <c r="T58" s="297">
        <v>1</v>
      </c>
      <c r="U58" s="251">
        <f>V58+W58+X58</f>
        <v>45855</v>
      </c>
      <c r="V58" s="251">
        <v>0</v>
      </c>
      <c r="W58" s="251">
        <v>43654</v>
      </c>
      <c r="X58" s="251">
        <v>2201</v>
      </c>
      <c r="Y58" s="297">
        <v>0</v>
      </c>
      <c r="Z58" s="251">
        <v>0</v>
      </c>
      <c r="AA58" s="251">
        <v>0</v>
      </c>
      <c r="AB58" s="251">
        <v>0</v>
      </c>
      <c r="AC58" s="251">
        <v>0</v>
      </c>
    </row>
    <row r="59" spans="1:29" ht="129.75" customHeight="1" outlineLevel="1" x14ac:dyDescent="0.2">
      <c r="A59" s="294" t="s">
        <v>770</v>
      </c>
      <c r="B59" s="306" t="s">
        <v>857</v>
      </c>
      <c r="C59" s="296">
        <f t="shared" si="30"/>
        <v>0</v>
      </c>
      <c r="D59" s="249">
        <f t="shared" si="30"/>
        <v>1765</v>
      </c>
      <c r="E59" s="297">
        <v>0</v>
      </c>
      <c r="F59" s="251">
        <v>0</v>
      </c>
      <c r="G59" s="251">
        <v>0</v>
      </c>
      <c r="H59" s="251">
        <v>0</v>
      </c>
      <c r="I59" s="251">
        <v>0</v>
      </c>
      <c r="J59" s="296">
        <v>0</v>
      </c>
      <c r="K59" s="249">
        <v>0</v>
      </c>
      <c r="L59" s="249">
        <v>0</v>
      </c>
      <c r="M59" s="251">
        <v>0</v>
      </c>
      <c r="N59" s="251">
        <v>0</v>
      </c>
      <c r="O59" s="297">
        <v>0</v>
      </c>
      <c r="P59" s="251">
        <f>S59</f>
        <v>0</v>
      </c>
      <c r="Q59" s="251">
        <v>0</v>
      </c>
      <c r="R59" s="251">
        <v>0</v>
      </c>
      <c r="S59" s="251">
        <v>0</v>
      </c>
      <c r="T59" s="297">
        <v>0</v>
      </c>
      <c r="U59" s="251">
        <f t="shared" ref="U59:U60" si="32">V59+W59+X59</f>
        <v>1765</v>
      </c>
      <c r="V59" s="251">
        <v>0</v>
      </c>
      <c r="W59" s="251">
        <v>0</v>
      </c>
      <c r="X59" s="251">
        <v>1765</v>
      </c>
      <c r="Y59" s="297">
        <v>0</v>
      </c>
      <c r="Z59" s="251">
        <v>0</v>
      </c>
      <c r="AA59" s="251">
        <v>0</v>
      </c>
      <c r="AB59" s="251">
        <v>0</v>
      </c>
      <c r="AC59" s="251">
        <v>0</v>
      </c>
    </row>
    <row r="60" spans="1:29" ht="128.25" customHeight="1" outlineLevel="1" x14ac:dyDescent="0.2">
      <c r="A60" s="294" t="s">
        <v>771</v>
      </c>
      <c r="B60" s="306" t="s">
        <v>858</v>
      </c>
      <c r="C60" s="296">
        <f t="shared" si="30"/>
        <v>0</v>
      </c>
      <c r="D60" s="249">
        <f t="shared" si="30"/>
        <v>985</v>
      </c>
      <c r="E60" s="297">
        <v>0</v>
      </c>
      <c r="F60" s="251">
        <v>0</v>
      </c>
      <c r="G60" s="251">
        <v>0</v>
      </c>
      <c r="H60" s="251">
        <v>0</v>
      </c>
      <c r="I60" s="251">
        <v>0</v>
      </c>
      <c r="J60" s="296">
        <v>0</v>
      </c>
      <c r="K60" s="249">
        <v>0</v>
      </c>
      <c r="L60" s="249">
        <v>0</v>
      </c>
      <c r="M60" s="251">
        <v>0</v>
      </c>
      <c r="N60" s="251">
        <v>0</v>
      </c>
      <c r="O60" s="297">
        <v>0</v>
      </c>
      <c r="P60" s="251">
        <f>S60</f>
        <v>0</v>
      </c>
      <c r="Q60" s="251">
        <v>0</v>
      </c>
      <c r="R60" s="251">
        <v>0</v>
      </c>
      <c r="S60" s="251">
        <v>0</v>
      </c>
      <c r="T60" s="297">
        <v>0</v>
      </c>
      <c r="U60" s="251">
        <f t="shared" si="32"/>
        <v>985</v>
      </c>
      <c r="V60" s="251">
        <v>0</v>
      </c>
      <c r="W60" s="251">
        <v>0</v>
      </c>
      <c r="X60" s="251">
        <v>985</v>
      </c>
      <c r="Y60" s="297">
        <v>0</v>
      </c>
      <c r="Z60" s="251">
        <v>0</v>
      </c>
      <c r="AA60" s="251">
        <v>0</v>
      </c>
      <c r="AB60" s="251">
        <v>0</v>
      </c>
      <c r="AC60" s="251">
        <v>0</v>
      </c>
    </row>
    <row r="61" spans="1:29" s="1" customFormat="1" ht="79.5" customHeight="1" outlineLevel="1" x14ac:dyDescent="0.2">
      <c r="A61" s="291" t="s">
        <v>1255</v>
      </c>
      <c r="B61" s="305" t="s">
        <v>1256</v>
      </c>
      <c r="C61" s="293">
        <f t="shared" ref="C61:D63" si="33">E61+J61+O61+T61+Y61</f>
        <v>1</v>
      </c>
      <c r="D61" s="248">
        <f t="shared" si="33"/>
        <v>66560</v>
      </c>
      <c r="E61" s="302">
        <v>1</v>
      </c>
      <c r="F61" s="252">
        <f>G61+H61+I61</f>
        <v>66560</v>
      </c>
      <c r="G61" s="252">
        <f>G62+G63</f>
        <v>0</v>
      </c>
      <c r="H61" s="252">
        <f t="shared" ref="H61:I61" si="34">H62+H63</f>
        <v>62060</v>
      </c>
      <c r="I61" s="252">
        <f t="shared" si="34"/>
        <v>4500</v>
      </c>
      <c r="J61" s="293">
        <v>0</v>
      </c>
      <c r="K61" s="248">
        <v>0</v>
      </c>
      <c r="L61" s="248">
        <v>0</v>
      </c>
      <c r="M61" s="252">
        <v>0</v>
      </c>
      <c r="N61" s="252">
        <v>0</v>
      </c>
      <c r="O61" s="302">
        <v>0</v>
      </c>
      <c r="P61" s="252">
        <f>S61</f>
        <v>0</v>
      </c>
      <c r="Q61" s="252">
        <v>0</v>
      </c>
      <c r="R61" s="252">
        <v>0</v>
      </c>
      <c r="S61" s="252">
        <v>0</v>
      </c>
      <c r="T61" s="302">
        <v>0</v>
      </c>
      <c r="U61" s="252">
        <f t="shared" ref="U61" si="35">V61+W61+X61</f>
        <v>0</v>
      </c>
      <c r="V61" s="252">
        <v>0</v>
      </c>
      <c r="W61" s="252">
        <v>0</v>
      </c>
      <c r="X61" s="252">
        <v>0</v>
      </c>
      <c r="Y61" s="302">
        <v>0</v>
      </c>
      <c r="Z61" s="252">
        <v>0</v>
      </c>
      <c r="AA61" s="252">
        <v>0</v>
      </c>
      <c r="AB61" s="252">
        <v>0</v>
      </c>
      <c r="AC61" s="252">
        <v>0</v>
      </c>
    </row>
    <row r="62" spans="1:29" ht="79.5" customHeight="1" outlineLevel="1" x14ac:dyDescent="0.2">
      <c r="A62" s="294" t="s">
        <v>1350</v>
      </c>
      <c r="B62" s="306" t="s">
        <v>1256</v>
      </c>
      <c r="C62" s="296">
        <f t="shared" si="33"/>
        <v>1</v>
      </c>
      <c r="D62" s="249">
        <f t="shared" si="33"/>
        <v>65189</v>
      </c>
      <c r="E62" s="297">
        <v>1</v>
      </c>
      <c r="F62" s="251">
        <f>G62+H62+I62</f>
        <v>65189</v>
      </c>
      <c r="G62" s="251">
        <v>0</v>
      </c>
      <c r="H62" s="251">
        <v>62060</v>
      </c>
      <c r="I62" s="251">
        <v>3129</v>
      </c>
      <c r="J62" s="296">
        <v>0</v>
      </c>
      <c r="K62" s="249">
        <v>0</v>
      </c>
      <c r="L62" s="249">
        <v>0</v>
      </c>
      <c r="M62" s="251">
        <v>0</v>
      </c>
      <c r="N62" s="251">
        <v>0</v>
      </c>
      <c r="O62" s="297">
        <v>0</v>
      </c>
      <c r="P62" s="251">
        <f>S62</f>
        <v>0</v>
      </c>
      <c r="Q62" s="251">
        <v>0</v>
      </c>
      <c r="R62" s="251">
        <v>0</v>
      </c>
      <c r="S62" s="251">
        <v>0</v>
      </c>
      <c r="T62" s="297">
        <v>0</v>
      </c>
      <c r="U62" s="251">
        <f t="shared" ref="U62" si="36">V62+W62+X62</f>
        <v>0</v>
      </c>
      <c r="V62" s="251">
        <v>0</v>
      </c>
      <c r="W62" s="251">
        <v>0</v>
      </c>
      <c r="X62" s="251">
        <v>0</v>
      </c>
      <c r="Y62" s="297">
        <v>0</v>
      </c>
      <c r="Z62" s="251">
        <v>0</v>
      </c>
      <c r="AA62" s="251">
        <v>0</v>
      </c>
      <c r="AB62" s="251">
        <v>0</v>
      </c>
      <c r="AC62" s="251">
        <v>0</v>
      </c>
    </row>
    <row r="63" spans="1:29" s="1" customFormat="1" ht="93" customHeight="1" outlineLevel="1" x14ac:dyDescent="0.2">
      <c r="A63" s="294" t="s">
        <v>1351</v>
      </c>
      <c r="B63" s="306" t="s">
        <v>1352</v>
      </c>
      <c r="C63" s="293">
        <f t="shared" si="33"/>
        <v>0</v>
      </c>
      <c r="D63" s="249">
        <f t="shared" si="33"/>
        <v>1371</v>
      </c>
      <c r="E63" s="302">
        <v>0</v>
      </c>
      <c r="F63" s="251">
        <f>G63+H63+I63</f>
        <v>1371</v>
      </c>
      <c r="G63" s="252">
        <v>0</v>
      </c>
      <c r="H63" s="252">
        <v>0</v>
      </c>
      <c r="I63" s="251">
        <v>1371</v>
      </c>
      <c r="J63" s="293">
        <v>0</v>
      </c>
      <c r="K63" s="248">
        <v>0</v>
      </c>
      <c r="L63" s="248">
        <v>0</v>
      </c>
      <c r="M63" s="252">
        <v>0</v>
      </c>
      <c r="N63" s="252">
        <v>0</v>
      </c>
      <c r="O63" s="302">
        <v>0</v>
      </c>
      <c r="P63" s="252">
        <v>0</v>
      </c>
      <c r="Q63" s="252">
        <v>0</v>
      </c>
      <c r="R63" s="252">
        <v>0</v>
      </c>
      <c r="S63" s="252">
        <v>0</v>
      </c>
      <c r="T63" s="302">
        <v>0</v>
      </c>
      <c r="U63" s="252">
        <v>0</v>
      </c>
      <c r="V63" s="252">
        <v>0</v>
      </c>
      <c r="W63" s="252">
        <v>0</v>
      </c>
      <c r="X63" s="252">
        <v>0</v>
      </c>
      <c r="Y63" s="302">
        <v>0</v>
      </c>
      <c r="Z63" s="252">
        <v>0</v>
      </c>
      <c r="AA63" s="252">
        <v>0</v>
      </c>
      <c r="AB63" s="252">
        <v>0</v>
      </c>
      <c r="AC63" s="252">
        <v>0</v>
      </c>
    </row>
    <row r="64" spans="1:29" s="1" customFormat="1" ht="93" customHeight="1" outlineLevel="1" x14ac:dyDescent="0.2">
      <c r="A64" s="291" t="s">
        <v>1444</v>
      </c>
      <c r="B64" s="305" t="s">
        <v>1447</v>
      </c>
      <c r="C64" s="293">
        <f t="shared" ref="C64" si="37">E64+J64+O64+T64+Y64</f>
        <v>0</v>
      </c>
      <c r="D64" s="248">
        <f t="shared" ref="D64" si="38">F64+K64+P64+U64+Z64</f>
        <v>0</v>
      </c>
      <c r="E64" s="302">
        <v>0</v>
      </c>
      <c r="F64" s="252">
        <f>G64+H64+I64</f>
        <v>0</v>
      </c>
      <c r="G64" s="252">
        <v>0</v>
      </c>
      <c r="H64" s="252">
        <v>0</v>
      </c>
      <c r="I64" s="252">
        <v>0</v>
      </c>
      <c r="J64" s="293">
        <v>0</v>
      </c>
      <c r="K64" s="248">
        <f>L64+M64+N64</f>
        <v>0</v>
      </c>
      <c r="L64" s="248">
        <v>0</v>
      </c>
      <c r="M64" s="252">
        <v>0</v>
      </c>
      <c r="N64" s="252">
        <v>0</v>
      </c>
      <c r="O64" s="302">
        <v>0</v>
      </c>
      <c r="P64" s="252">
        <v>0</v>
      </c>
      <c r="Q64" s="252">
        <v>0</v>
      </c>
      <c r="R64" s="252">
        <v>0</v>
      </c>
      <c r="S64" s="252">
        <v>0</v>
      </c>
      <c r="T64" s="302">
        <v>0</v>
      </c>
      <c r="U64" s="252">
        <v>0</v>
      </c>
      <c r="V64" s="252">
        <v>0</v>
      </c>
      <c r="W64" s="252">
        <v>0</v>
      </c>
      <c r="X64" s="252">
        <v>0</v>
      </c>
      <c r="Y64" s="302">
        <v>0</v>
      </c>
      <c r="Z64" s="252">
        <v>0</v>
      </c>
      <c r="AA64" s="252">
        <v>0</v>
      </c>
      <c r="AB64" s="252">
        <v>0</v>
      </c>
      <c r="AC64" s="252">
        <v>0</v>
      </c>
    </row>
    <row r="65" spans="1:30" s="70" customFormat="1" ht="31.15" customHeight="1" x14ac:dyDescent="0.2">
      <c r="A65" s="307"/>
      <c r="B65" s="308" t="s">
        <v>16</v>
      </c>
      <c r="C65" s="304">
        <f t="shared" ref="C65:AC65" si="39">C49+C53+C57+C61+C64</f>
        <v>3.02</v>
      </c>
      <c r="D65" s="250">
        <f t="shared" si="39"/>
        <v>225684</v>
      </c>
      <c r="E65" s="304">
        <f t="shared" si="39"/>
        <v>1</v>
      </c>
      <c r="F65" s="250">
        <f t="shared" si="39"/>
        <v>66560</v>
      </c>
      <c r="G65" s="250">
        <f t="shared" si="39"/>
        <v>0</v>
      </c>
      <c r="H65" s="250">
        <f t="shared" si="39"/>
        <v>62060</v>
      </c>
      <c r="I65" s="250">
        <f t="shared" si="39"/>
        <v>4500</v>
      </c>
      <c r="J65" s="304">
        <f t="shared" si="39"/>
        <v>0</v>
      </c>
      <c r="K65" s="250">
        <f t="shared" si="39"/>
        <v>0</v>
      </c>
      <c r="L65" s="250">
        <f t="shared" si="39"/>
        <v>0</v>
      </c>
      <c r="M65" s="250">
        <f t="shared" si="39"/>
        <v>0</v>
      </c>
      <c r="N65" s="250">
        <f t="shared" si="39"/>
        <v>0</v>
      </c>
      <c r="O65" s="304">
        <f t="shared" si="39"/>
        <v>0</v>
      </c>
      <c r="P65" s="250">
        <f t="shared" si="39"/>
        <v>0</v>
      </c>
      <c r="Q65" s="250">
        <f t="shared" si="39"/>
        <v>0</v>
      </c>
      <c r="R65" s="250">
        <f t="shared" si="39"/>
        <v>0</v>
      </c>
      <c r="S65" s="250">
        <f t="shared" si="39"/>
        <v>0</v>
      </c>
      <c r="T65" s="304">
        <f t="shared" si="39"/>
        <v>2.02</v>
      </c>
      <c r="U65" s="250">
        <f t="shared" si="39"/>
        <v>159124</v>
      </c>
      <c r="V65" s="250">
        <f t="shared" si="39"/>
        <v>0</v>
      </c>
      <c r="W65" s="250">
        <f t="shared" si="39"/>
        <v>143600</v>
      </c>
      <c r="X65" s="250">
        <f t="shared" si="39"/>
        <v>15524</v>
      </c>
      <c r="Y65" s="304">
        <f t="shared" si="39"/>
        <v>0</v>
      </c>
      <c r="Z65" s="250">
        <f t="shared" si="39"/>
        <v>0</v>
      </c>
      <c r="AA65" s="250">
        <f t="shared" si="39"/>
        <v>0</v>
      </c>
      <c r="AB65" s="250">
        <f t="shared" si="39"/>
        <v>0</v>
      </c>
      <c r="AC65" s="250">
        <f t="shared" si="39"/>
        <v>0</v>
      </c>
      <c r="AD65" s="69"/>
    </row>
    <row r="66" spans="1:30" s="2" customFormat="1" ht="29.45" customHeight="1" x14ac:dyDescent="0.2">
      <c r="A66" s="434" t="s">
        <v>103</v>
      </c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434"/>
      <c r="M66" s="434"/>
      <c r="N66" s="434"/>
      <c r="O66" s="434"/>
      <c r="P66" s="434"/>
      <c r="Q66" s="434"/>
      <c r="R66" s="434"/>
      <c r="S66" s="434"/>
      <c r="T66" s="434"/>
      <c r="U66" s="434"/>
      <c r="V66" s="434"/>
      <c r="W66" s="434"/>
      <c r="X66" s="434"/>
      <c r="Y66" s="434"/>
      <c r="Z66" s="434"/>
      <c r="AA66" s="434"/>
      <c r="AB66" s="434"/>
      <c r="AC66" s="434"/>
    </row>
    <row r="67" spans="1:30" s="2" customFormat="1" ht="93.6" customHeight="1" outlineLevel="1" x14ac:dyDescent="0.2">
      <c r="A67" s="309" t="s">
        <v>168</v>
      </c>
      <c r="B67" s="310" t="s">
        <v>106</v>
      </c>
      <c r="C67" s="311">
        <f>E67+J67+O67+T67+Y67</f>
        <v>0</v>
      </c>
      <c r="D67" s="263">
        <f t="shared" ref="D67:D74" si="40">F67+K67+P67+U67+Z67</f>
        <v>5977</v>
      </c>
      <c r="E67" s="296">
        <v>0</v>
      </c>
      <c r="F67" s="249">
        <f>G67+H67+I67</f>
        <v>0</v>
      </c>
      <c r="G67" s="249">
        <v>0</v>
      </c>
      <c r="H67" s="249">
        <v>0</v>
      </c>
      <c r="I67" s="249">
        <v>0</v>
      </c>
      <c r="J67" s="311">
        <v>0</v>
      </c>
      <c r="K67" s="263">
        <f t="shared" ref="K67" si="41">SUM(L67:N67)</f>
        <v>0</v>
      </c>
      <c r="L67" s="263">
        <v>0</v>
      </c>
      <c r="M67" s="312">
        <v>0</v>
      </c>
      <c r="N67" s="263">
        <f>1723-1723</f>
        <v>0</v>
      </c>
      <c r="O67" s="311">
        <v>0</v>
      </c>
      <c r="P67" s="263">
        <f>Q67+R67+S67</f>
        <v>0</v>
      </c>
      <c r="Q67" s="263">
        <v>0</v>
      </c>
      <c r="R67" s="312">
        <v>0</v>
      </c>
      <c r="S67" s="263">
        <v>0</v>
      </c>
      <c r="T67" s="313">
        <v>0</v>
      </c>
      <c r="U67" s="312">
        <f>V67+W67+X67</f>
        <v>3877</v>
      </c>
      <c r="V67" s="312">
        <v>0</v>
      </c>
      <c r="W67" s="312">
        <v>0</v>
      </c>
      <c r="X67" s="312">
        <f>1950+1927</f>
        <v>3877</v>
      </c>
      <c r="Y67" s="313">
        <v>0</v>
      </c>
      <c r="Z67" s="312">
        <f>AA67+AB67+AC67</f>
        <v>2100</v>
      </c>
      <c r="AA67" s="312">
        <v>0</v>
      </c>
      <c r="AB67" s="312">
        <v>0</v>
      </c>
      <c r="AC67" s="312">
        <v>2100</v>
      </c>
      <c r="AD67" s="4"/>
    </row>
    <row r="68" spans="1:30" s="2" customFormat="1" ht="150.6" customHeight="1" outlineLevel="1" x14ac:dyDescent="0.2">
      <c r="A68" s="309" t="s">
        <v>169</v>
      </c>
      <c r="B68" s="310" t="s">
        <v>748</v>
      </c>
      <c r="C68" s="311">
        <v>0</v>
      </c>
      <c r="D68" s="263">
        <f t="shared" si="40"/>
        <v>17236</v>
      </c>
      <c r="E68" s="296">
        <v>0</v>
      </c>
      <c r="F68" s="249">
        <f>I68</f>
        <v>5316</v>
      </c>
      <c r="G68" s="249">
        <v>0</v>
      </c>
      <c r="H68" s="249">
        <v>0</v>
      </c>
      <c r="I68" s="249">
        <f>5960-644</f>
        <v>5316</v>
      </c>
      <c r="J68" s="311">
        <v>0</v>
      </c>
      <c r="K68" s="263">
        <f>L68+M68+N68</f>
        <v>5960</v>
      </c>
      <c r="L68" s="263">
        <v>0</v>
      </c>
      <c r="M68" s="312">
        <v>0</v>
      </c>
      <c r="N68" s="263">
        <v>5960</v>
      </c>
      <c r="O68" s="311">
        <v>0</v>
      </c>
      <c r="P68" s="263">
        <f>Q68+R68+S68</f>
        <v>5960</v>
      </c>
      <c r="Q68" s="263">
        <v>0</v>
      </c>
      <c r="R68" s="312">
        <v>0</v>
      </c>
      <c r="S68" s="263">
        <v>5960</v>
      </c>
      <c r="T68" s="313">
        <v>0</v>
      </c>
      <c r="U68" s="312">
        <v>0</v>
      </c>
      <c r="V68" s="312">
        <v>0</v>
      </c>
      <c r="W68" s="312">
        <v>0</v>
      </c>
      <c r="X68" s="312">
        <v>0</v>
      </c>
      <c r="Y68" s="313">
        <v>0</v>
      </c>
      <c r="Z68" s="312">
        <v>0</v>
      </c>
      <c r="AA68" s="312">
        <v>0</v>
      </c>
      <c r="AB68" s="312">
        <v>0</v>
      </c>
      <c r="AC68" s="312">
        <v>0</v>
      </c>
      <c r="AD68" s="4"/>
    </row>
    <row r="69" spans="1:30" s="2" customFormat="1" ht="127.9" customHeight="1" outlineLevel="1" x14ac:dyDescent="0.2">
      <c r="A69" s="309" t="s">
        <v>756</v>
      </c>
      <c r="B69" s="310" t="s">
        <v>764</v>
      </c>
      <c r="C69" s="311">
        <v>0</v>
      </c>
      <c r="D69" s="263">
        <f t="shared" si="40"/>
        <v>15191</v>
      </c>
      <c r="E69" s="296">
        <v>0</v>
      </c>
      <c r="F69" s="249">
        <f>I69</f>
        <v>4685</v>
      </c>
      <c r="G69" s="249">
        <v>0</v>
      </c>
      <c r="H69" s="249">
        <v>0</v>
      </c>
      <c r="I69" s="249">
        <v>4685</v>
      </c>
      <c r="J69" s="311">
        <v>0</v>
      </c>
      <c r="K69" s="263">
        <f>L69+M69+N69</f>
        <v>5253</v>
      </c>
      <c r="L69" s="263">
        <v>0</v>
      </c>
      <c r="M69" s="312">
        <v>0</v>
      </c>
      <c r="N69" s="263">
        <v>5253</v>
      </c>
      <c r="O69" s="311">
        <v>0</v>
      </c>
      <c r="P69" s="263">
        <f>Q69+R69+S69</f>
        <v>5253</v>
      </c>
      <c r="Q69" s="263">
        <v>0</v>
      </c>
      <c r="R69" s="312">
        <v>0</v>
      </c>
      <c r="S69" s="263">
        <v>5253</v>
      </c>
      <c r="T69" s="313">
        <v>0</v>
      </c>
      <c r="U69" s="312">
        <v>0</v>
      </c>
      <c r="V69" s="312">
        <v>0</v>
      </c>
      <c r="W69" s="312">
        <v>0</v>
      </c>
      <c r="X69" s="312">
        <v>0</v>
      </c>
      <c r="Y69" s="313">
        <v>0</v>
      </c>
      <c r="Z69" s="312">
        <v>0</v>
      </c>
      <c r="AA69" s="312">
        <v>0</v>
      </c>
      <c r="AB69" s="312">
        <v>0</v>
      </c>
      <c r="AC69" s="312">
        <v>0</v>
      </c>
      <c r="AD69" s="4"/>
    </row>
    <row r="70" spans="1:30" s="2" customFormat="1" ht="85.15" customHeight="1" outlineLevel="1" x14ac:dyDescent="0.2">
      <c r="A70" s="309" t="s">
        <v>757</v>
      </c>
      <c r="B70" s="314" t="s">
        <v>859</v>
      </c>
      <c r="C70" s="311">
        <v>0</v>
      </c>
      <c r="D70" s="263">
        <f t="shared" si="40"/>
        <v>9774</v>
      </c>
      <c r="E70" s="296">
        <v>0</v>
      </c>
      <c r="F70" s="249">
        <v>0</v>
      </c>
      <c r="G70" s="249">
        <v>0</v>
      </c>
      <c r="H70" s="249">
        <v>0</v>
      </c>
      <c r="I70" s="249">
        <v>0</v>
      </c>
      <c r="J70" s="311">
        <v>0</v>
      </c>
      <c r="K70" s="263">
        <f>L70+M70+N70</f>
        <v>4887</v>
      </c>
      <c r="L70" s="263">
        <v>0</v>
      </c>
      <c r="M70" s="312">
        <v>0</v>
      </c>
      <c r="N70" s="263">
        <v>4887</v>
      </c>
      <c r="O70" s="311">
        <v>0</v>
      </c>
      <c r="P70" s="263">
        <f>S70</f>
        <v>4887</v>
      </c>
      <c r="Q70" s="263">
        <v>0</v>
      </c>
      <c r="R70" s="312">
        <v>0</v>
      </c>
      <c r="S70" s="263">
        <v>4887</v>
      </c>
      <c r="T70" s="313">
        <v>0</v>
      </c>
      <c r="U70" s="312">
        <v>0</v>
      </c>
      <c r="V70" s="312">
        <v>0</v>
      </c>
      <c r="W70" s="312">
        <v>0</v>
      </c>
      <c r="X70" s="312">
        <v>0</v>
      </c>
      <c r="Y70" s="313">
        <v>0</v>
      </c>
      <c r="Z70" s="312">
        <f>AA70+AB70+AC70</f>
        <v>0</v>
      </c>
      <c r="AA70" s="312">
        <v>0</v>
      </c>
      <c r="AB70" s="312">
        <v>0</v>
      </c>
      <c r="AC70" s="312"/>
      <c r="AD70" s="4"/>
    </row>
    <row r="71" spans="1:30" s="2" customFormat="1" ht="75" customHeight="1" outlineLevel="1" x14ac:dyDescent="0.2">
      <c r="A71" s="309" t="s">
        <v>758</v>
      </c>
      <c r="B71" s="314" t="s">
        <v>860</v>
      </c>
      <c r="C71" s="311">
        <v>0</v>
      </c>
      <c r="D71" s="263">
        <f t="shared" si="40"/>
        <v>17986</v>
      </c>
      <c r="E71" s="296">
        <v>0</v>
      </c>
      <c r="F71" s="249">
        <v>0</v>
      </c>
      <c r="G71" s="249">
        <v>0</v>
      </c>
      <c r="H71" s="249">
        <v>0</v>
      </c>
      <c r="I71" s="249">
        <v>0</v>
      </c>
      <c r="J71" s="311">
        <v>0</v>
      </c>
      <c r="K71" s="263">
        <f>L71+M71+N71</f>
        <v>0</v>
      </c>
      <c r="L71" s="263">
        <v>0</v>
      </c>
      <c r="M71" s="312">
        <v>0</v>
      </c>
      <c r="N71" s="263">
        <v>0</v>
      </c>
      <c r="O71" s="311">
        <v>0</v>
      </c>
      <c r="P71" s="263">
        <v>0</v>
      </c>
      <c r="Q71" s="263">
        <v>0</v>
      </c>
      <c r="R71" s="312">
        <v>0</v>
      </c>
      <c r="S71" s="263">
        <v>0</v>
      </c>
      <c r="T71" s="313">
        <v>0</v>
      </c>
      <c r="U71" s="312">
        <f>V71+W71+X71</f>
        <v>17986</v>
      </c>
      <c r="V71" s="312">
        <v>0</v>
      </c>
      <c r="W71" s="312">
        <v>0</v>
      </c>
      <c r="X71" s="312">
        <v>17986</v>
      </c>
      <c r="Y71" s="313">
        <v>0</v>
      </c>
      <c r="Z71" s="312">
        <v>0</v>
      </c>
      <c r="AA71" s="312">
        <v>0</v>
      </c>
      <c r="AB71" s="312">
        <v>0</v>
      </c>
      <c r="AC71" s="312">
        <v>0</v>
      </c>
      <c r="AD71" s="4"/>
    </row>
    <row r="72" spans="1:30" s="2" customFormat="1" ht="76.150000000000006" customHeight="1" outlineLevel="1" x14ac:dyDescent="0.2">
      <c r="A72" s="309" t="s">
        <v>759</v>
      </c>
      <c r="B72" s="314" t="s">
        <v>861</v>
      </c>
      <c r="C72" s="311">
        <v>0</v>
      </c>
      <c r="D72" s="263">
        <f t="shared" si="40"/>
        <v>12465</v>
      </c>
      <c r="E72" s="296">
        <v>0</v>
      </c>
      <c r="F72" s="249">
        <f>I72</f>
        <v>0</v>
      </c>
      <c r="G72" s="249">
        <v>0</v>
      </c>
      <c r="H72" s="249">
        <v>0</v>
      </c>
      <c r="I72" s="249">
        <v>0</v>
      </c>
      <c r="J72" s="311">
        <v>0</v>
      </c>
      <c r="K72" s="263">
        <f t="shared" ref="K72:K80" si="42">L72+M72+N72</f>
        <v>0</v>
      </c>
      <c r="L72" s="263">
        <v>0</v>
      </c>
      <c r="M72" s="312">
        <v>0</v>
      </c>
      <c r="N72" s="263">
        <v>0</v>
      </c>
      <c r="O72" s="311">
        <v>0</v>
      </c>
      <c r="P72" s="263">
        <f>S72</f>
        <v>0</v>
      </c>
      <c r="Q72" s="263">
        <v>0</v>
      </c>
      <c r="R72" s="312">
        <v>0</v>
      </c>
      <c r="S72" s="263">
        <v>0</v>
      </c>
      <c r="T72" s="313">
        <v>0</v>
      </c>
      <c r="U72" s="312">
        <f>V72+W72+X72</f>
        <v>12465</v>
      </c>
      <c r="V72" s="312">
        <v>0</v>
      </c>
      <c r="W72" s="312">
        <v>0</v>
      </c>
      <c r="X72" s="312">
        <v>12465</v>
      </c>
      <c r="Y72" s="313">
        <v>0</v>
      </c>
      <c r="Z72" s="312">
        <f t="shared" ref="Z72:Z78" si="43">AA72+AB72+AC72</f>
        <v>0</v>
      </c>
      <c r="AA72" s="312">
        <v>0</v>
      </c>
      <c r="AB72" s="312">
        <v>0</v>
      </c>
      <c r="AC72" s="312"/>
      <c r="AD72" s="4"/>
    </row>
    <row r="73" spans="1:30" s="2" customFormat="1" ht="75.599999999999994" customHeight="1" outlineLevel="1" x14ac:dyDescent="0.2">
      <c r="A73" s="309" t="s">
        <v>761</v>
      </c>
      <c r="B73" s="314" t="s">
        <v>862</v>
      </c>
      <c r="C73" s="311">
        <v>0</v>
      </c>
      <c r="D73" s="263">
        <f t="shared" si="40"/>
        <v>51172</v>
      </c>
      <c r="E73" s="296">
        <v>0</v>
      </c>
      <c r="F73" s="249">
        <v>0</v>
      </c>
      <c r="G73" s="249">
        <v>0</v>
      </c>
      <c r="H73" s="249">
        <v>0</v>
      </c>
      <c r="I73" s="249">
        <v>0</v>
      </c>
      <c r="J73" s="311">
        <v>0</v>
      </c>
      <c r="K73" s="263">
        <f t="shared" si="42"/>
        <v>0</v>
      </c>
      <c r="L73" s="263">
        <v>0</v>
      </c>
      <c r="M73" s="312">
        <v>0</v>
      </c>
      <c r="N73" s="263">
        <v>0</v>
      </c>
      <c r="O73" s="311">
        <v>0</v>
      </c>
      <c r="P73" s="263">
        <f>S73</f>
        <v>0</v>
      </c>
      <c r="Q73" s="263">
        <v>0</v>
      </c>
      <c r="R73" s="312">
        <v>0</v>
      </c>
      <c r="S73" s="263">
        <v>0</v>
      </c>
      <c r="T73" s="313">
        <v>0</v>
      </c>
      <c r="U73" s="312">
        <f>X73</f>
        <v>32958</v>
      </c>
      <c r="V73" s="312">
        <v>0</v>
      </c>
      <c r="W73" s="312">
        <v>0</v>
      </c>
      <c r="X73" s="312">
        <f>11540+21418</f>
        <v>32958</v>
      </c>
      <c r="Y73" s="313">
        <v>0</v>
      </c>
      <c r="Z73" s="312">
        <f t="shared" si="43"/>
        <v>18214</v>
      </c>
      <c r="AA73" s="312">
        <v>0</v>
      </c>
      <c r="AB73" s="312">
        <v>0</v>
      </c>
      <c r="AC73" s="312">
        <v>18214</v>
      </c>
      <c r="AD73" s="4"/>
    </row>
    <row r="74" spans="1:30" s="2" customFormat="1" ht="85.15" customHeight="1" outlineLevel="1" x14ac:dyDescent="0.2">
      <c r="A74" s="309" t="s">
        <v>765</v>
      </c>
      <c r="B74" s="314" t="s">
        <v>107</v>
      </c>
      <c r="C74" s="311">
        <v>0</v>
      </c>
      <c r="D74" s="263">
        <f t="shared" si="40"/>
        <v>16750</v>
      </c>
      <c r="E74" s="296">
        <v>0</v>
      </c>
      <c r="F74" s="249">
        <f t="shared" ref="F74:F78" si="44">G74+H74+I74</f>
        <v>0</v>
      </c>
      <c r="G74" s="249">
        <v>0</v>
      </c>
      <c r="H74" s="249">
        <v>0</v>
      </c>
      <c r="I74" s="249">
        <v>0</v>
      </c>
      <c r="J74" s="311">
        <v>0</v>
      </c>
      <c r="K74" s="263">
        <f t="shared" si="42"/>
        <v>0</v>
      </c>
      <c r="L74" s="263">
        <v>0</v>
      </c>
      <c r="M74" s="312">
        <v>0</v>
      </c>
      <c r="N74" s="263">
        <v>0</v>
      </c>
      <c r="O74" s="311">
        <v>0</v>
      </c>
      <c r="P74" s="263">
        <f t="shared" ref="P74:P78" si="45">Q74+R74+S74</f>
        <v>0</v>
      </c>
      <c r="Q74" s="263">
        <v>0</v>
      </c>
      <c r="R74" s="312">
        <v>0</v>
      </c>
      <c r="S74" s="263">
        <v>0</v>
      </c>
      <c r="T74" s="313">
        <v>0</v>
      </c>
      <c r="U74" s="312">
        <f t="shared" ref="U74:U78" si="46">V74+W74+X74</f>
        <v>10950</v>
      </c>
      <c r="V74" s="312">
        <v>0</v>
      </c>
      <c r="W74" s="312">
        <v>0</v>
      </c>
      <c r="X74" s="312">
        <f>5500+5450</f>
        <v>10950</v>
      </c>
      <c r="Y74" s="313">
        <v>0</v>
      </c>
      <c r="Z74" s="312">
        <f t="shared" si="43"/>
        <v>5800</v>
      </c>
      <c r="AA74" s="312">
        <v>0</v>
      </c>
      <c r="AB74" s="312">
        <v>0</v>
      </c>
      <c r="AC74" s="312">
        <v>5800</v>
      </c>
      <c r="AD74" s="4"/>
    </row>
    <row r="75" spans="1:30" s="2" customFormat="1" ht="127.15" customHeight="1" outlineLevel="1" x14ac:dyDescent="0.2">
      <c r="A75" s="309" t="s">
        <v>998</v>
      </c>
      <c r="B75" s="314" t="s">
        <v>1340</v>
      </c>
      <c r="C75" s="311">
        <v>0</v>
      </c>
      <c r="D75" s="263">
        <f t="shared" ref="D75" si="47">F75+K75+P75+U75+Z75</f>
        <v>6871</v>
      </c>
      <c r="E75" s="296">
        <v>0</v>
      </c>
      <c r="F75" s="249">
        <f t="shared" si="44"/>
        <v>6871</v>
      </c>
      <c r="G75" s="249">
        <v>0</v>
      </c>
      <c r="H75" s="249">
        <v>0</v>
      </c>
      <c r="I75" s="249">
        <v>6871</v>
      </c>
      <c r="J75" s="311">
        <v>0</v>
      </c>
      <c r="K75" s="263">
        <f t="shared" si="42"/>
        <v>0</v>
      </c>
      <c r="L75" s="263">
        <v>0</v>
      </c>
      <c r="M75" s="312">
        <v>0</v>
      </c>
      <c r="N75" s="263">
        <v>0</v>
      </c>
      <c r="O75" s="311">
        <v>0</v>
      </c>
      <c r="P75" s="263">
        <f t="shared" si="45"/>
        <v>0</v>
      </c>
      <c r="Q75" s="263">
        <v>0</v>
      </c>
      <c r="R75" s="312">
        <v>0</v>
      </c>
      <c r="S75" s="263">
        <v>0</v>
      </c>
      <c r="T75" s="313">
        <v>0</v>
      </c>
      <c r="U75" s="312">
        <f t="shared" si="46"/>
        <v>0</v>
      </c>
      <c r="V75" s="312">
        <v>0</v>
      </c>
      <c r="W75" s="312">
        <v>0</v>
      </c>
      <c r="X75" s="312">
        <v>0</v>
      </c>
      <c r="Y75" s="313">
        <v>0</v>
      </c>
      <c r="Z75" s="312">
        <f t="shared" si="43"/>
        <v>0</v>
      </c>
      <c r="AA75" s="312">
        <v>0</v>
      </c>
      <c r="AB75" s="312">
        <v>0</v>
      </c>
      <c r="AC75" s="312">
        <v>0</v>
      </c>
      <c r="AD75" s="4"/>
    </row>
    <row r="76" spans="1:30" s="2" customFormat="1" ht="73.5" customHeight="1" outlineLevel="1" x14ac:dyDescent="0.2">
      <c r="A76" s="309" t="s">
        <v>999</v>
      </c>
      <c r="B76" s="314" t="s">
        <v>1000</v>
      </c>
      <c r="C76" s="311">
        <v>0</v>
      </c>
      <c r="D76" s="263">
        <f t="shared" ref="D76" si="48">F76+K76+P76+U76+Z76</f>
        <v>0</v>
      </c>
      <c r="E76" s="296">
        <v>0</v>
      </c>
      <c r="F76" s="249">
        <f t="shared" si="44"/>
        <v>0</v>
      </c>
      <c r="G76" s="249">
        <v>0</v>
      </c>
      <c r="H76" s="249">
        <v>0</v>
      </c>
      <c r="I76" s="249">
        <v>0</v>
      </c>
      <c r="J76" s="311">
        <v>0</v>
      </c>
      <c r="K76" s="263">
        <f t="shared" si="42"/>
        <v>0</v>
      </c>
      <c r="L76" s="263">
        <v>0</v>
      </c>
      <c r="M76" s="312">
        <v>0</v>
      </c>
      <c r="N76" s="263">
        <v>0</v>
      </c>
      <c r="O76" s="311">
        <v>0</v>
      </c>
      <c r="P76" s="263">
        <f t="shared" si="45"/>
        <v>0</v>
      </c>
      <c r="Q76" s="263">
        <v>0</v>
      </c>
      <c r="R76" s="312">
        <v>0</v>
      </c>
      <c r="S76" s="263">
        <v>0</v>
      </c>
      <c r="T76" s="313">
        <v>0</v>
      </c>
      <c r="U76" s="312">
        <f t="shared" si="46"/>
        <v>0</v>
      </c>
      <c r="V76" s="312">
        <v>0</v>
      </c>
      <c r="W76" s="312">
        <v>0</v>
      </c>
      <c r="X76" s="312">
        <v>0</v>
      </c>
      <c r="Y76" s="313">
        <v>0</v>
      </c>
      <c r="Z76" s="312">
        <f t="shared" si="43"/>
        <v>0</v>
      </c>
      <c r="AA76" s="312">
        <v>0</v>
      </c>
      <c r="AB76" s="312">
        <v>0</v>
      </c>
      <c r="AC76" s="312">
        <v>0</v>
      </c>
      <c r="AD76" s="4"/>
    </row>
    <row r="77" spans="1:30" s="2" customFormat="1" ht="150.6" customHeight="1" outlineLevel="1" x14ac:dyDescent="0.2">
      <c r="A77" s="309" t="s">
        <v>1002</v>
      </c>
      <c r="B77" s="314" t="s">
        <v>1001</v>
      </c>
      <c r="C77" s="311">
        <v>0</v>
      </c>
      <c r="D77" s="263">
        <f t="shared" ref="D77" si="49">F77+K77+P77+U77+Z77</f>
        <v>1512</v>
      </c>
      <c r="E77" s="296">
        <v>0</v>
      </c>
      <c r="F77" s="249">
        <f t="shared" si="44"/>
        <v>1512</v>
      </c>
      <c r="G77" s="249">
        <v>0</v>
      </c>
      <c r="H77" s="249">
        <v>0</v>
      </c>
      <c r="I77" s="249">
        <v>1512</v>
      </c>
      <c r="J77" s="311">
        <v>0</v>
      </c>
      <c r="K77" s="263">
        <f t="shared" si="42"/>
        <v>0</v>
      </c>
      <c r="L77" s="263">
        <v>0</v>
      </c>
      <c r="M77" s="312">
        <v>0</v>
      </c>
      <c r="N77" s="263">
        <v>0</v>
      </c>
      <c r="O77" s="311">
        <v>0</v>
      </c>
      <c r="P77" s="263">
        <f t="shared" si="45"/>
        <v>0</v>
      </c>
      <c r="Q77" s="263">
        <v>0</v>
      </c>
      <c r="R77" s="312">
        <v>0</v>
      </c>
      <c r="S77" s="263">
        <v>0</v>
      </c>
      <c r="T77" s="313">
        <v>0</v>
      </c>
      <c r="U77" s="312">
        <f t="shared" si="46"/>
        <v>0</v>
      </c>
      <c r="V77" s="312">
        <v>0</v>
      </c>
      <c r="W77" s="312">
        <v>0</v>
      </c>
      <c r="X77" s="312">
        <v>0</v>
      </c>
      <c r="Y77" s="313">
        <v>0</v>
      </c>
      <c r="Z77" s="312">
        <f t="shared" si="43"/>
        <v>0</v>
      </c>
      <c r="AA77" s="312">
        <v>0</v>
      </c>
      <c r="AB77" s="312">
        <v>0</v>
      </c>
      <c r="AC77" s="312">
        <v>0</v>
      </c>
      <c r="AD77" s="4"/>
    </row>
    <row r="78" spans="1:30" s="2" customFormat="1" ht="75" customHeight="1" outlineLevel="1" x14ac:dyDescent="0.2">
      <c r="A78" s="309" t="s">
        <v>1042</v>
      </c>
      <c r="B78" s="314" t="s">
        <v>1003</v>
      </c>
      <c r="C78" s="311">
        <v>0</v>
      </c>
      <c r="D78" s="263">
        <f t="shared" ref="D78" si="50">F78+K78+P78+U78+Z78</f>
        <v>1100</v>
      </c>
      <c r="E78" s="296">
        <v>0</v>
      </c>
      <c r="F78" s="249">
        <f t="shared" si="44"/>
        <v>1100</v>
      </c>
      <c r="G78" s="249">
        <v>0</v>
      </c>
      <c r="H78" s="249">
        <v>0</v>
      </c>
      <c r="I78" s="249">
        <v>1100</v>
      </c>
      <c r="J78" s="311">
        <v>0</v>
      </c>
      <c r="K78" s="263">
        <f t="shared" si="42"/>
        <v>0</v>
      </c>
      <c r="L78" s="263">
        <v>0</v>
      </c>
      <c r="M78" s="312">
        <v>0</v>
      </c>
      <c r="N78" s="263">
        <v>0</v>
      </c>
      <c r="O78" s="311">
        <v>0</v>
      </c>
      <c r="P78" s="263">
        <f t="shared" si="45"/>
        <v>0</v>
      </c>
      <c r="Q78" s="263">
        <v>0</v>
      </c>
      <c r="R78" s="312">
        <v>0</v>
      </c>
      <c r="S78" s="263">
        <v>0</v>
      </c>
      <c r="T78" s="313">
        <v>0</v>
      </c>
      <c r="U78" s="312">
        <f t="shared" si="46"/>
        <v>0</v>
      </c>
      <c r="V78" s="312">
        <v>0</v>
      </c>
      <c r="W78" s="312">
        <v>0</v>
      </c>
      <c r="X78" s="312">
        <v>0</v>
      </c>
      <c r="Y78" s="313">
        <v>0</v>
      </c>
      <c r="Z78" s="312">
        <f t="shared" si="43"/>
        <v>0</v>
      </c>
      <c r="AA78" s="312">
        <v>0</v>
      </c>
      <c r="AB78" s="312">
        <v>0</v>
      </c>
      <c r="AC78" s="312">
        <v>0</v>
      </c>
      <c r="AD78" s="4"/>
    </row>
    <row r="79" spans="1:30" s="2" customFormat="1" ht="110.45" customHeight="1" outlineLevel="1" x14ac:dyDescent="0.2">
      <c r="A79" s="309" t="s">
        <v>1043</v>
      </c>
      <c r="B79" s="314" t="s">
        <v>1044</v>
      </c>
      <c r="C79" s="311">
        <v>0</v>
      </c>
      <c r="D79" s="263">
        <f t="shared" ref="D79:D80" si="51">F79+K79+P79+U79+Z79</f>
        <v>6923</v>
      </c>
      <c r="E79" s="296">
        <v>0</v>
      </c>
      <c r="F79" s="249">
        <f t="shared" ref="F79:F80" si="52">G79+H79+I79</f>
        <v>6923</v>
      </c>
      <c r="G79" s="249">
        <v>0</v>
      </c>
      <c r="H79" s="249">
        <v>6590</v>
      </c>
      <c r="I79" s="249">
        <v>333</v>
      </c>
      <c r="J79" s="311">
        <v>0</v>
      </c>
      <c r="K79" s="263">
        <f t="shared" si="42"/>
        <v>0</v>
      </c>
      <c r="L79" s="263">
        <v>0</v>
      </c>
      <c r="M79" s="312">
        <v>0</v>
      </c>
      <c r="N79" s="263">
        <v>0</v>
      </c>
      <c r="O79" s="311">
        <v>0</v>
      </c>
      <c r="P79" s="263">
        <f t="shared" ref="P79:P80" si="53">Q79+R79+S79</f>
        <v>0</v>
      </c>
      <c r="Q79" s="263">
        <v>0</v>
      </c>
      <c r="R79" s="312">
        <v>0</v>
      </c>
      <c r="S79" s="263">
        <v>0</v>
      </c>
      <c r="T79" s="313">
        <v>0</v>
      </c>
      <c r="U79" s="312">
        <f t="shared" ref="U79:U80" si="54">V79+W79+X79</f>
        <v>0</v>
      </c>
      <c r="V79" s="312">
        <v>0</v>
      </c>
      <c r="W79" s="312">
        <v>0</v>
      </c>
      <c r="X79" s="312">
        <v>0</v>
      </c>
      <c r="Y79" s="313">
        <v>0</v>
      </c>
      <c r="Z79" s="312">
        <f t="shared" ref="Z79:Z80" si="55">AA79+AB79+AC79</f>
        <v>0</v>
      </c>
      <c r="AA79" s="312">
        <v>0</v>
      </c>
      <c r="AB79" s="312">
        <v>0</v>
      </c>
      <c r="AC79" s="312">
        <v>0</v>
      </c>
      <c r="AD79" s="4"/>
    </row>
    <row r="80" spans="1:30" s="2" customFormat="1" ht="236.45" customHeight="1" outlineLevel="1" x14ac:dyDescent="0.2">
      <c r="A80" s="309" t="s">
        <v>1175</v>
      </c>
      <c r="B80" s="314" t="s">
        <v>1045</v>
      </c>
      <c r="C80" s="311">
        <v>0</v>
      </c>
      <c r="D80" s="263">
        <f t="shared" si="51"/>
        <v>778</v>
      </c>
      <c r="E80" s="296">
        <v>0</v>
      </c>
      <c r="F80" s="249">
        <f t="shared" si="52"/>
        <v>778</v>
      </c>
      <c r="G80" s="249">
        <v>0</v>
      </c>
      <c r="H80" s="249">
        <v>0</v>
      </c>
      <c r="I80" s="249">
        <v>778</v>
      </c>
      <c r="J80" s="311">
        <v>0</v>
      </c>
      <c r="K80" s="263">
        <f t="shared" si="42"/>
        <v>0</v>
      </c>
      <c r="L80" s="263">
        <v>0</v>
      </c>
      <c r="M80" s="312">
        <v>0</v>
      </c>
      <c r="N80" s="263">
        <v>0</v>
      </c>
      <c r="O80" s="311">
        <v>0</v>
      </c>
      <c r="P80" s="263">
        <f t="shared" si="53"/>
        <v>0</v>
      </c>
      <c r="Q80" s="263">
        <v>0</v>
      </c>
      <c r="R80" s="312">
        <v>0</v>
      </c>
      <c r="S80" s="263">
        <v>0</v>
      </c>
      <c r="T80" s="313">
        <v>0</v>
      </c>
      <c r="U80" s="312">
        <f t="shared" si="54"/>
        <v>0</v>
      </c>
      <c r="V80" s="312">
        <v>0</v>
      </c>
      <c r="W80" s="312">
        <v>0</v>
      </c>
      <c r="X80" s="312">
        <v>0</v>
      </c>
      <c r="Y80" s="313">
        <v>0</v>
      </c>
      <c r="Z80" s="312">
        <f t="shared" si="55"/>
        <v>0</v>
      </c>
      <c r="AA80" s="312">
        <v>0</v>
      </c>
      <c r="AB80" s="312">
        <v>0</v>
      </c>
      <c r="AC80" s="312">
        <v>0</v>
      </c>
      <c r="AD80" s="4"/>
    </row>
    <row r="81" spans="1:31" s="2" customFormat="1" ht="102.6" customHeight="1" outlineLevel="1" x14ac:dyDescent="0.2">
      <c r="A81" s="309" t="s">
        <v>1176</v>
      </c>
      <c r="B81" s="314" t="s">
        <v>1178</v>
      </c>
      <c r="C81" s="311">
        <v>0</v>
      </c>
      <c r="D81" s="263">
        <f t="shared" ref="D81:D85" si="56">F81+K81+P81+U81+Z81</f>
        <v>4370</v>
      </c>
      <c r="E81" s="296">
        <v>0</v>
      </c>
      <c r="F81" s="249">
        <f t="shared" ref="F81:F85" si="57">G81+H81+I81</f>
        <v>4370</v>
      </c>
      <c r="G81" s="249">
        <v>0</v>
      </c>
      <c r="H81" s="249">
        <v>4160</v>
      </c>
      <c r="I81" s="249">
        <v>210</v>
      </c>
      <c r="J81" s="311">
        <v>0</v>
      </c>
      <c r="K81" s="263">
        <f t="shared" ref="K81:K85" si="58">L81+M81+N81</f>
        <v>0</v>
      </c>
      <c r="L81" s="263">
        <v>0</v>
      </c>
      <c r="M81" s="312">
        <v>0</v>
      </c>
      <c r="N81" s="263">
        <v>0</v>
      </c>
      <c r="O81" s="311">
        <v>0</v>
      </c>
      <c r="P81" s="263">
        <f t="shared" ref="P81:P85" si="59">Q81+R81+S81</f>
        <v>0</v>
      </c>
      <c r="Q81" s="263">
        <v>0</v>
      </c>
      <c r="R81" s="312">
        <v>0</v>
      </c>
      <c r="S81" s="263">
        <v>0</v>
      </c>
      <c r="T81" s="313">
        <v>0</v>
      </c>
      <c r="U81" s="312">
        <f t="shared" ref="U81:U85" si="60">V81+W81+X81</f>
        <v>0</v>
      </c>
      <c r="V81" s="312">
        <v>0</v>
      </c>
      <c r="W81" s="312">
        <v>0</v>
      </c>
      <c r="X81" s="312">
        <v>0</v>
      </c>
      <c r="Y81" s="313">
        <v>0</v>
      </c>
      <c r="Z81" s="312">
        <f t="shared" ref="Z81:Z85" si="61">AA81+AB81+AC81</f>
        <v>0</v>
      </c>
      <c r="AA81" s="312">
        <v>0</v>
      </c>
      <c r="AB81" s="312">
        <v>0</v>
      </c>
      <c r="AC81" s="312">
        <v>0</v>
      </c>
      <c r="AD81" s="4"/>
    </row>
    <row r="82" spans="1:31" s="2" customFormat="1" ht="109.5" customHeight="1" outlineLevel="1" x14ac:dyDescent="0.2">
      <c r="A82" s="309" t="s">
        <v>1177</v>
      </c>
      <c r="B82" s="314" t="s">
        <v>1179</v>
      </c>
      <c r="C82" s="311">
        <v>0</v>
      </c>
      <c r="D82" s="263">
        <f t="shared" si="56"/>
        <v>4081</v>
      </c>
      <c r="E82" s="296">
        <v>0</v>
      </c>
      <c r="F82" s="249">
        <f t="shared" si="57"/>
        <v>4081</v>
      </c>
      <c r="G82" s="249">
        <v>0</v>
      </c>
      <c r="H82" s="249">
        <v>3885</v>
      </c>
      <c r="I82" s="249">
        <v>196</v>
      </c>
      <c r="J82" s="311">
        <v>0</v>
      </c>
      <c r="K82" s="263">
        <f t="shared" si="58"/>
        <v>0</v>
      </c>
      <c r="L82" s="263">
        <v>0</v>
      </c>
      <c r="M82" s="312">
        <v>0</v>
      </c>
      <c r="N82" s="263">
        <v>0</v>
      </c>
      <c r="O82" s="311">
        <v>0</v>
      </c>
      <c r="P82" s="263">
        <f t="shared" si="59"/>
        <v>0</v>
      </c>
      <c r="Q82" s="263">
        <v>0</v>
      </c>
      <c r="R82" s="312">
        <v>0</v>
      </c>
      <c r="S82" s="263">
        <v>0</v>
      </c>
      <c r="T82" s="313">
        <v>0</v>
      </c>
      <c r="U82" s="312">
        <f t="shared" si="60"/>
        <v>0</v>
      </c>
      <c r="V82" s="312">
        <v>0</v>
      </c>
      <c r="W82" s="312">
        <v>0</v>
      </c>
      <c r="X82" s="312">
        <v>0</v>
      </c>
      <c r="Y82" s="313">
        <v>0</v>
      </c>
      <c r="Z82" s="312">
        <f t="shared" si="61"/>
        <v>0</v>
      </c>
      <c r="AA82" s="312">
        <v>0</v>
      </c>
      <c r="AB82" s="312">
        <v>0</v>
      </c>
      <c r="AC82" s="312">
        <v>0</v>
      </c>
      <c r="AD82" s="4"/>
    </row>
    <row r="83" spans="1:31" s="2" customFormat="1" ht="105.6" customHeight="1" outlineLevel="1" x14ac:dyDescent="0.2">
      <c r="A83" s="309" t="s">
        <v>1233</v>
      </c>
      <c r="B83" s="314" t="s">
        <v>1180</v>
      </c>
      <c r="C83" s="311">
        <v>0</v>
      </c>
      <c r="D83" s="263">
        <f t="shared" si="56"/>
        <v>1786</v>
      </c>
      <c r="E83" s="296">
        <v>0</v>
      </c>
      <c r="F83" s="249">
        <f t="shared" si="57"/>
        <v>1786</v>
      </c>
      <c r="G83" s="249">
        <v>0</v>
      </c>
      <c r="H83" s="249">
        <v>1700</v>
      </c>
      <c r="I83" s="249">
        <v>86</v>
      </c>
      <c r="J83" s="311">
        <v>0</v>
      </c>
      <c r="K83" s="263">
        <f t="shared" si="58"/>
        <v>0</v>
      </c>
      <c r="L83" s="263">
        <v>0</v>
      </c>
      <c r="M83" s="312">
        <v>0</v>
      </c>
      <c r="N83" s="263">
        <v>0</v>
      </c>
      <c r="O83" s="311">
        <v>0</v>
      </c>
      <c r="P83" s="263">
        <f t="shared" si="59"/>
        <v>0</v>
      </c>
      <c r="Q83" s="263">
        <v>0</v>
      </c>
      <c r="R83" s="312">
        <v>0</v>
      </c>
      <c r="S83" s="263">
        <v>0</v>
      </c>
      <c r="T83" s="313">
        <v>0</v>
      </c>
      <c r="U83" s="312">
        <f t="shared" si="60"/>
        <v>0</v>
      </c>
      <c r="V83" s="312">
        <v>0</v>
      </c>
      <c r="W83" s="312">
        <v>0</v>
      </c>
      <c r="X83" s="312">
        <v>0</v>
      </c>
      <c r="Y83" s="313">
        <v>0</v>
      </c>
      <c r="Z83" s="312">
        <f t="shared" si="61"/>
        <v>0</v>
      </c>
      <c r="AA83" s="312">
        <v>0</v>
      </c>
      <c r="AB83" s="312">
        <v>0</v>
      </c>
      <c r="AC83" s="312">
        <v>0</v>
      </c>
      <c r="AD83" s="4"/>
    </row>
    <row r="84" spans="1:31" s="2" customFormat="1" ht="105.6" customHeight="1" outlineLevel="1" x14ac:dyDescent="0.2">
      <c r="A84" s="309" t="s">
        <v>1417</v>
      </c>
      <c r="B84" s="314" t="s">
        <v>1415</v>
      </c>
      <c r="C84" s="311">
        <v>0</v>
      </c>
      <c r="D84" s="263">
        <f t="shared" si="56"/>
        <v>3041</v>
      </c>
      <c r="E84" s="296">
        <v>0</v>
      </c>
      <c r="F84" s="249">
        <f t="shared" si="57"/>
        <v>3041</v>
      </c>
      <c r="G84" s="249">
        <v>0</v>
      </c>
      <c r="H84" s="249">
        <v>0</v>
      </c>
      <c r="I84" s="249">
        <v>3041</v>
      </c>
      <c r="J84" s="311">
        <v>0</v>
      </c>
      <c r="K84" s="263">
        <f t="shared" si="58"/>
        <v>0</v>
      </c>
      <c r="L84" s="263">
        <v>0</v>
      </c>
      <c r="M84" s="312">
        <v>0</v>
      </c>
      <c r="N84" s="263">
        <v>0</v>
      </c>
      <c r="O84" s="311">
        <v>0</v>
      </c>
      <c r="P84" s="263">
        <f t="shared" si="59"/>
        <v>0</v>
      </c>
      <c r="Q84" s="263">
        <v>0</v>
      </c>
      <c r="R84" s="312">
        <v>0</v>
      </c>
      <c r="S84" s="263">
        <v>0</v>
      </c>
      <c r="T84" s="313">
        <v>0</v>
      </c>
      <c r="U84" s="312">
        <f t="shared" si="60"/>
        <v>0</v>
      </c>
      <c r="V84" s="312">
        <v>0</v>
      </c>
      <c r="W84" s="312">
        <v>0</v>
      </c>
      <c r="X84" s="312">
        <v>0</v>
      </c>
      <c r="Y84" s="313">
        <v>0</v>
      </c>
      <c r="Z84" s="312">
        <f t="shared" si="61"/>
        <v>0</v>
      </c>
      <c r="AA84" s="312">
        <v>0</v>
      </c>
      <c r="AB84" s="312">
        <v>0</v>
      </c>
      <c r="AC84" s="312">
        <v>0</v>
      </c>
      <c r="AD84" s="4"/>
    </row>
    <row r="85" spans="1:31" s="2" customFormat="1" ht="105.6" customHeight="1" outlineLevel="1" x14ac:dyDescent="0.2">
      <c r="A85" s="309" t="s">
        <v>1418</v>
      </c>
      <c r="B85" s="314" t="s">
        <v>1416</v>
      </c>
      <c r="C85" s="311">
        <v>0</v>
      </c>
      <c r="D85" s="263">
        <f t="shared" si="56"/>
        <v>3893</v>
      </c>
      <c r="E85" s="296">
        <v>0</v>
      </c>
      <c r="F85" s="249">
        <f t="shared" si="57"/>
        <v>3893</v>
      </c>
      <c r="G85" s="249">
        <v>0</v>
      </c>
      <c r="H85" s="249">
        <v>0</v>
      </c>
      <c r="I85" s="249">
        <v>3893</v>
      </c>
      <c r="J85" s="311">
        <v>0</v>
      </c>
      <c r="K85" s="263">
        <f t="shared" si="58"/>
        <v>0</v>
      </c>
      <c r="L85" s="263">
        <v>0</v>
      </c>
      <c r="M85" s="312">
        <v>0</v>
      </c>
      <c r="N85" s="263">
        <v>0</v>
      </c>
      <c r="O85" s="311">
        <v>0</v>
      </c>
      <c r="P85" s="263">
        <f t="shared" si="59"/>
        <v>0</v>
      </c>
      <c r="Q85" s="263">
        <v>0</v>
      </c>
      <c r="R85" s="312">
        <v>0</v>
      </c>
      <c r="S85" s="263">
        <v>0</v>
      </c>
      <c r="T85" s="313">
        <v>0</v>
      </c>
      <c r="U85" s="312">
        <f t="shared" si="60"/>
        <v>0</v>
      </c>
      <c r="V85" s="312">
        <v>0</v>
      </c>
      <c r="W85" s="312">
        <v>0</v>
      </c>
      <c r="X85" s="312">
        <v>0</v>
      </c>
      <c r="Y85" s="313">
        <v>0</v>
      </c>
      <c r="Z85" s="312">
        <f t="shared" si="61"/>
        <v>0</v>
      </c>
      <c r="AA85" s="312">
        <v>0</v>
      </c>
      <c r="AB85" s="312">
        <v>0</v>
      </c>
      <c r="AC85" s="312">
        <v>0</v>
      </c>
      <c r="AD85" s="4"/>
    </row>
    <row r="86" spans="1:31" s="2" customFormat="1" ht="91.15" customHeight="1" x14ac:dyDescent="0.2">
      <c r="A86" s="315"/>
      <c r="B86" s="316" t="s">
        <v>104</v>
      </c>
      <c r="C86" s="317">
        <f t="shared" ref="C86" si="62">SUM(C67:C83)</f>
        <v>0</v>
      </c>
      <c r="D86" s="253">
        <f>SUM(D67:D85)</f>
        <v>180906</v>
      </c>
      <c r="E86" s="317">
        <f>SUM(E67:E85)</f>
        <v>0</v>
      </c>
      <c r="F86" s="253">
        <f>SUM(F67:F85)</f>
        <v>44356</v>
      </c>
      <c r="G86" s="253">
        <f t="shared" ref="G86:AC86" si="63">SUM(G67:G85)</f>
        <v>0</v>
      </c>
      <c r="H86" s="253">
        <f t="shared" si="63"/>
        <v>16335</v>
      </c>
      <c r="I86" s="253">
        <f t="shared" si="63"/>
        <v>28021</v>
      </c>
      <c r="J86" s="317">
        <f t="shared" si="63"/>
        <v>0</v>
      </c>
      <c r="K86" s="253">
        <f t="shared" si="63"/>
        <v>16100</v>
      </c>
      <c r="L86" s="253">
        <f t="shared" si="63"/>
        <v>0</v>
      </c>
      <c r="M86" s="253">
        <f t="shared" si="63"/>
        <v>0</v>
      </c>
      <c r="N86" s="253">
        <f t="shared" si="63"/>
        <v>16100</v>
      </c>
      <c r="O86" s="317">
        <f t="shared" si="63"/>
        <v>0</v>
      </c>
      <c r="P86" s="253">
        <f t="shared" si="63"/>
        <v>16100</v>
      </c>
      <c r="Q86" s="253">
        <f t="shared" si="63"/>
        <v>0</v>
      </c>
      <c r="R86" s="253">
        <f t="shared" si="63"/>
        <v>0</v>
      </c>
      <c r="S86" s="253">
        <f t="shared" si="63"/>
        <v>16100</v>
      </c>
      <c r="T86" s="317">
        <f t="shared" si="63"/>
        <v>0</v>
      </c>
      <c r="U86" s="253">
        <f t="shared" si="63"/>
        <v>78236</v>
      </c>
      <c r="V86" s="253">
        <f t="shared" si="63"/>
        <v>0</v>
      </c>
      <c r="W86" s="253">
        <f t="shared" si="63"/>
        <v>0</v>
      </c>
      <c r="X86" s="253">
        <f t="shared" si="63"/>
        <v>78236</v>
      </c>
      <c r="Y86" s="317">
        <f t="shared" si="63"/>
        <v>0</v>
      </c>
      <c r="Z86" s="253">
        <f t="shared" si="63"/>
        <v>26114</v>
      </c>
      <c r="AA86" s="253">
        <f t="shared" si="63"/>
        <v>0</v>
      </c>
      <c r="AB86" s="253">
        <f t="shared" si="63"/>
        <v>0</v>
      </c>
      <c r="AC86" s="253">
        <f t="shared" si="63"/>
        <v>26114</v>
      </c>
      <c r="AD86" s="4"/>
      <c r="AE86" s="4"/>
    </row>
    <row r="87" spans="1:31" s="2" customFormat="1" ht="31.9" customHeight="1" x14ac:dyDescent="0.2">
      <c r="A87" s="434" t="s">
        <v>1344</v>
      </c>
      <c r="B87" s="434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434"/>
      <c r="O87" s="434"/>
      <c r="P87" s="434"/>
      <c r="Q87" s="434"/>
      <c r="R87" s="434"/>
      <c r="S87" s="434"/>
      <c r="T87" s="434"/>
      <c r="U87" s="434"/>
      <c r="V87" s="434"/>
      <c r="W87" s="434"/>
      <c r="X87" s="434"/>
      <c r="Y87" s="434"/>
      <c r="Z87" s="434"/>
      <c r="AA87" s="434"/>
      <c r="AB87" s="434"/>
      <c r="AC87" s="434"/>
      <c r="AD87" s="4"/>
    </row>
    <row r="88" spans="1:31" s="2" customFormat="1" ht="84.6" customHeight="1" outlineLevel="1" x14ac:dyDescent="0.2">
      <c r="A88" s="294" t="s">
        <v>152</v>
      </c>
      <c r="B88" s="310" t="s">
        <v>14</v>
      </c>
      <c r="C88" s="311">
        <f t="shared" ref="C88:C89" si="64">E88+J88+O88+T88+Y88</f>
        <v>0</v>
      </c>
      <c r="D88" s="249">
        <f t="shared" ref="D88:D96" si="65">F88+K88+P88+U88+Z88</f>
        <v>2679</v>
      </c>
      <c r="E88" s="296">
        <v>0</v>
      </c>
      <c r="F88" s="249">
        <v>0</v>
      </c>
      <c r="G88" s="249">
        <v>0</v>
      </c>
      <c r="H88" s="249">
        <v>0</v>
      </c>
      <c r="I88" s="249">
        <v>0</v>
      </c>
      <c r="J88" s="311">
        <v>0</v>
      </c>
      <c r="K88" s="255">
        <f>SUM(L88:N88)</f>
        <v>0</v>
      </c>
      <c r="L88" s="263">
        <v>0</v>
      </c>
      <c r="M88" s="263">
        <v>0</v>
      </c>
      <c r="N88" s="263">
        <v>0</v>
      </c>
      <c r="O88" s="311">
        <v>0</v>
      </c>
      <c r="P88" s="263">
        <v>0</v>
      </c>
      <c r="Q88" s="263">
        <v>0</v>
      </c>
      <c r="R88" s="263">
        <v>0</v>
      </c>
      <c r="S88" s="263">
        <v>0</v>
      </c>
      <c r="T88" s="313">
        <v>0</v>
      </c>
      <c r="U88" s="312">
        <f>V88+W88+X88</f>
        <v>2679</v>
      </c>
      <c r="V88" s="312">
        <v>0</v>
      </c>
      <c r="W88" s="312">
        <v>0</v>
      </c>
      <c r="X88" s="312">
        <v>2679</v>
      </c>
      <c r="Y88" s="313">
        <v>0</v>
      </c>
      <c r="Z88" s="263">
        <v>0</v>
      </c>
      <c r="AA88" s="263">
        <v>0</v>
      </c>
      <c r="AB88" s="263">
        <v>0</v>
      </c>
      <c r="AC88" s="263">
        <v>0</v>
      </c>
    </row>
    <row r="89" spans="1:31" s="2" customFormat="1" ht="65.45" customHeight="1" outlineLevel="1" x14ac:dyDescent="0.2">
      <c r="A89" s="294" t="s">
        <v>4</v>
      </c>
      <c r="B89" s="310" t="s">
        <v>159</v>
      </c>
      <c r="C89" s="311">
        <f t="shared" si="64"/>
        <v>35.46</v>
      </c>
      <c r="D89" s="249">
        <f t="shared" ref="D89:D94" si="66">F89+K89+P89+U89+Z89</f>
        <v>131202</v>
      </c>
      <c r="E89" s="296">
        <v>0</v>
      </c>
      <c r="F89" s="249">
        <v>0</v>
      </c>
      <c r="G89" s="249">
        <v>0</v>
      </c>
      <c r="H89" s="249">
        <v>0</v>
      </c>
      <c r="I89" s="249">
        <v>0</v>
      </c>
      <c r="J89" s="311">
        <v>0</v>
      </c>
      <c r="K89" s="255">
        <f t="shared" ref="K89:K95" si="67">SUM(L89:N89)</f>
        <v>0</v>
      </c>
      <c r="L89" s="263">
        <v>0</v>
      </c>
      <c r="M89" s="263">
        <v>0</v>
      </c>
      <c r="N89" s="263">
        <v>0</v>
      </c>
      <c r="O89" s="311">
        <v>0</v>
      </c>
      <c r="P89" s="263">
        <v>0</v>
      </c>
      <c r="Q89" s="263">
        <v>0</v>
      </c>
      <c r="R89" s="263">
        <v>0</v>
      </c>
      <c r="S89" s="263">
        <v>0</v>
      </c>
      <c r="T89" s="313">
        <v>35.46</v>
      </c>
      <c r="U89" s="312">
        <f>V89+W89+X89</f>
        <v>131202</v>
      </c>
      <c r="V89" s="312">
        <v>0</v>
      </c>
      <c r="W89" s="312">
        <v>125823</v>
      </c>
      <c r="X89" s="312">
        <v>5379</v>
      </c>
      <c r="Y89" s="313">
        <v>0</v>
      </c>
      <c r="Z89" s="312">
        <v>0</v>
      </c>
      <c r="AA89" s="312">
        <v>0</v>
      </c>
      <c r="AB89" s="263">
        <v>0</v>
      </c>
      <c r="AC89" s="312">
        <v>0</v>
      </c>
    </row>
    <row r="90" spans="1:31" s="2" customFormat="1" ht="90.6" customHeight="1" outlineLevel="1" x14ac:dyDescent="0.2">
      <c r="A90" s="294" t="s">
        <v>153</v>
      </c>
      <c r="B90" s="310" t="s">
        <v>160</v>
      </c>
      <c r="C90" s="311">
        <v>0</v>
      </c>
      <c r="D90" s="249">
        <f t="shared" si="66"/>
        <v>5490</v>
      </c>
      <c r="E90" s="296">
        <v>0</v>
      </c>
      <c r="F90" s="249">
        <v>0</v>
      </c>
      <c r="G90" s="249">
        <v>0</v>
      </c>
      <c r="H90" s="249">
        <v>0</v>
      </c>
      <c r="I90" s="249">
        <v>0</v>
      </c>
      <c r="J90" s="311">
        <v>0</v>
      </c>
      <c r="K90" s="255">
        <v>0</v>
      </c>
      <c r="L90" s="263">
        <v>0</v>
      </c>
      <c r="M90" s="263">
        <v>0</v>
      </c>
      <c r="N90" s="263">
        <v>0</v>
      </c>
      <c r="O90" s="311">
        <v>0</v>
      </c>
      <c r="P90" s="263">
        <v>0</v>
      </c>
      <c r="Q90" s="263">
        <v>0</v>
      </c>
      <c r="R90" s="263">
        <v>0</v>
      </c>
      <c r="S90" s="263">
        <v>0</v>
      </c>
      <c r="T90" s="313">
        <v>0</v>
      </c>
      <c r="U90" s="312">
        <f>X90</f>
        <v>5490</v>
      </c>
      <c r="V90" s="312">
        <v>0</v>
      </c>
      <c r="W90" s="312">
        <v>0</v>
      </c>
      <c r="X90" s="312">
        <v>5490</v>
      </c>
      <c r="Y90" s="313">
        <v>0</v>
      </c>
      <c r="Z90" s="312">
        <v>0</v>
      </c>
      <c r="AA90" s="312">
        <v>0</v>
      </c>
      <c r="AB90" s="263">
        <v>0</v>
      </c>
      <c r="AC90" s="312">
        <v>0</v>
      </c>
    </row>
    <row r="91" spans="1:31" s="2" customFormat="1" ht="60" customHeight="1" outlineLevel="1" x14ac:dyDescent="0.2">
      <c r="A91" s="294" t="s">
        <v>154</v>
      </c>
      <c r="B91" s="310" t="s">
        <v>863</v>
      </c>
      <c r="C91" s="311">
        <f t="shared" ref="C91:C96" si="68">E91+J91+O91+T91+Y91</f>
        <v>6.5</v>
      </c>
      <c r="D91" s="249">
        <f t="shared" si="66"/>
        <v>106786</v>
      </c>
      <c r="E91" s="296">
        <v>0</v>
      </c>
      <c r="F91" s="249">
        <v>0</v>
      </c>
      <c r="G91" s="249">
        <v>0</v>
      </c>
      <c r="H91" s="249">
        <v>0</v>
      </c>
      <c r="I91" s="249">
        <v>0</v>
      </c>
      <c r="J91" s="311">
        <v>0</v>
      </c>
      <c r="K91" s="255">
        <v>0</v>
      </c>
      <c r="L91" s="263">
        <v>0</v>
      </c>
      <c r="M91" s="263">
        <v>0</v>
      </c>
      <c r="N91" s="263">
        <v>0</v>
      </c>
      <c r="O91" s="311">
        <v>0</v>
      </c>
      <c r="P91" s="263">
        <v>0</v>
      </c>
      <c r="Q91" s="263">
        <v>0</v>
      </c>
      <c r="R91" s="263">
        <v>0</v>
      </c>
      <c r="S91" s="263">
        <v>0</v>
      </c>
      <c r="T91" s="313">
        <v>0</v>
      </c>
      <c r="U91" s="312">
        <v>0</v>
      </c>
      <c r="V91" s="312">
        <v>0</v>
      </c>
      <c r="W91" s="312">
        <v>0</v>
      </c>
      <c r="X91" s="312">
        <v>0</v>
      </c>
      <c r="Y91" s="313">
        <v>6.5</v>
      </c>
      <c r="Z91" s="312">
        <v>106786</v>
      </c>
      <c r="AA91" s="312">
        <v>0</v>
      </c>
      <c r="AB91" s="263">
        <v>101660</v>
      </c>
      <c r="AC91" s="312">
        <v>5126</v>
      </c>
    </row>
    <row r="92" spans="1:31" s="2" customFormat="1" ht="98.45" customHeight="1" outlineLevel="1" x14ac:dyDescent="0.2">
      <c r="A92" s="294" t="s">
        <v>155</v>
      </c>
      <c r="B92" s="310" t="s">
        <v>864</v>
      </c>
      <c r="C92" s="311">
        <f t="shared" si="68"/>
        <v>0</v>
      </c>
      <c r="D92" s="249">
        <f t="shared" si="66"/>
        <v>3631</v>
      </c>
      <c r="E92" s="296">
        <v>0</v>
      </c>
      <c r="F92" s="249">
        <v>0</v>
      </c>
      <c r="G92" s="249">
        <v>0</v>
      </c>
      <c r="H92" s="249">
        <v>0</v>
      </c>
      <c r="I92" s="249">
        <v>0</v>
      </c>
      <c r="J92" s="311">
        <v>0</v>
      </c>
      <c r="K92" s="255">
        <f t="shared" si="67"/>
        <v>0</v>
      </c>
      <c r="L92" s="263">
        <v>0</v>
      </c>
      <c r="M92" s="263">
        <v>0</v>
      </c>
      <c r="N92" s="263">
        <v>0</v>
      </c>
      <c r="O92" s="311">
        <v>0</v>
      </c>
      <c r="P92" s="263">
        <v>0</v>
      </c>
      <c r="Q92" s="263">
        <v>0</v>
      </c>
      <c r="R92" s="263">
        <v>0</v>
      </c>
      <c r="S92" s="263">
        <v>0</v>
      </c>
      <c r="T92" s="313">
        <v>0</v>
      </c>
      <c r="U92" s="312">
        <v>0</v>
      </c>
      <c r="V92" s="312">
        <v>0</v>
      </c>
      <c r="W92" s="312">
        <v>0</v>
      </c>
      <c r="X92" s="312">
        <v>0</v>
      </c>
      <c r="Y92" s="313">
        <v>0</v>
      </c>
      <c r="Z92" s="312">
        <f>AA92+AB92+AC92</f>
        <v>3631</v>
      </c>
      <c r="AA92" s="312">
        <v>0</v>
      </c>
      <c r="AB92" s="263">
        <v>0</v>
      </c>
      <c r="AC92" s="312">
        <v>3631</v>
      </c>
    </row>
    <row r="93" spans="1:31" s="2" customFormat="1" ht="60" customHeight="1" outlineLevel="1" x14ac:dyDescent="0.2">
      <c r="A93" s="294" t="s">
        <v>156</v>
      </c>
      <c r="B93" s="310" t="s">
        <v>865</v>
      </c>
      <c r="C93" s="311">
        <f t="shared" si="68"/>
        <v>12.04</v>
      </c>
      <c r="D93" s="249">
        <f t="shared" si="66"/>
        <v>203887</v>
      </c>
      <c r="E93" s="296">
        <v>0</v>
      </c>
      <c r="F93" s="249">
        <v>0</v>
      </c>
      <c r="G93" s="249">
        <v>0</v>
      </c>
      <c r="H93" s="249">
        <v>0</v>
      </c>
      <c r="I93" s="249">
        <v>0</v>
      </c>
      <c r="J93" s="311">
        <v>0</v>
      </c>
      <c r="K93" s="255">
        <f t="shared" si="67"/>
        <v>0</v>
      </c>
      <c r="L93" s="263">
        <v>0</v>
      </c>
      <c r="M93" s="263">
        <v>0</v>
      </c>
      <c r="N93" s="263">
        <v>0</v>
      </c>
      <c r="O93" s="311">
        <v>0</v>
      </c>
      <c r="P93" s="263">
        <v>0</v>
      </c>
      <c r="Q93" s="263">
        <v>0</v>
      </c>
      <c r="R93" s="263">
        <v>0</v>
      </c>
      <c r="S93" s="263">
        <v>0</v>
      </c>
      <c r="T93" s="313">
        <v>0</v>
      </c>
      <c r="U93" s="312">
        <v>0</v>
      </c>
      <c r="V93" s="312">
        <v>0</v>
      </c>
      <c r="W93" s="312">
        <f>U93*0.952</f>
        <v>0</v>
      </c>
      <c r="X93" s="312">
        <f>U93*0.048</f>
        <v>0</v>
      </c>
      <c r="Y93" s="313">
        <v>12.04</v>
      </c>
      <c r="Z93" s="312">
        <v>203887</v>
      </c>
      <c r="AA93" s="312">
        <v>0</v>
      </c>
      <c r="AB93" s="263">
        <v>194100</v>
      </c>
      <c r="AC93" s="312">
        <v>9787</v>
      </c>
    </row>
    <row r="94" spans="1:31" s="2" customFormat="1" ht="82.9" customHeight="1" outlineLevel="1" x14ac:dyDescent="0.2">
      <c r="A94" s="294" t="s">
        <v>157</v>
      </c>
      <c r="B94" s="310" t="s">
        <v>760</v>
      </c>
      <c r="C94" s="311">
        <f t="shared" si="68"/>
        <v>0</v>
      </c>
      <c r="D94" s="249">
        <f t="shared" si="66"/>
        <v>0</v>
      </c>
      <c r="E94" s="296">
        <v>0</v>
      </c>
      <c r="F94" s="249">
        <v>0</v>
      </c>
      <c r="G94" s="249">
        <v>0</v>
      </c>
      <c r="H94" s="249">
        <v>0</v>
      </c>
      <c r="I94" s="249">
        <v>0</v>
      </c>
      <c r="J94" s="311">
        <v>0</v>
      </c>
      <c r="K94" s="255">
        <f t="shared" si="67"/>
        <v>0</v>
      </c>
      <c r="L94" s="263">
        <v>0</v>
      </c>
      <c r="M94" s="263">
        <v>0</v>
      </c>
      <c r="N94" s="263">
        <v>0</v>
      </c>
      <c r="O94" s="311">
        <v>0</v>
      </c>
      <c r="P94" s="263">
        <v>0</v>
      </c>
      <c r="Q94" s="263">
        <v>0</v>
      </c>
      <c r="R94" s="263">
        <v>0</v>
      </c>
      <c r="S94" s="263">
        <v>0</v>
      </c>
      <c r="T94" s="313">
        <v>0</v>
      </c>
      <c r="U94" s="312">
        <f>V94+W94+X94</f>
        <v>0</v>
      </c>
      <c r="V94" s="312">
        <v>0</v>
      </c>
      <c r="W94" s="312">
        <v>0</v>
      </c>
      <c r="X94" s="312">
        <v>0</v>
      </c>
      <c r="Y94" s="313">
        <v>0</v>
      </c>
      <c r="Z94" s="312">
        <v>0</v>
      </c>
      <c r="AA94" s="312">
        <v>0</v>
      </c>
      <c r="AB94" s="263">
        <v>0</v>
      </c>
      <c r="AC94" s="312">
        <v>0</v>
      </c>
    </row>
    <row r="95" spans="1:31" s="2" customFormat="1" ht="96.6" customHeight="1" outlineLevel="1" x14ac:dyDescent="0.2">
      <c r="A95" s="294" t="s">
        <v>832</v>
      </c>
      <c r="B95" s="310" t="s">
        <v>160</v>
      </c>
      <c r="C95" s="311">
        <f t="shared" si="68"/>
        <v>0</v>
      </c>
      <c r="D95" s="249">
        <f t="shared" si="65"/>
        <v>4648</v>
      </c>
      <c r="E95" s="296">
        <v>0</v>
      </c>
      <c r="F95" s="249">
        <v>0</v>
      </c>
      <c r="G95" s="249">
        <v>0</v>
      </c>
      <c r="H95" s="249">
        <v>0</v>
      </c>
      <c r="I95" s="249">
        <v>0</v>
      </c>
      <c r="J95" s="311">
        <v>0</v>
      </c>
      <c r="K95" s="263">
        <f t="shared" si="67"/>
        <v>0</v>
      </c>
      <c r="L95" s="263">
        <v>0</v>
      </c>
      <c r="M95" s="263">
        <v>0</v>
      </c>
      <c r="N95" s="263">
        <v>0</v>
      </c>
      <c r="O95" s="311">
        <v>0</v>
      </c>
      <c r="P95" s="263">
        <v>0</v>
      </c>
      <c r="Q95" s="263">
        <v>0</v>
      </c>
      <c r="R95" s="263">
        <v>0</v>
      </c>
      <c r="S95" s="263">
        <v>0</v>
      </c>
      <c r="T95" s="313">
        <v>0</v>
      </c>
      <c r="U95" s="312">
        <f>V95+W95+X95</f>
        <v>4648</v>
      </c>
      <c r="V95" s="312">
        <v>0</v>
      </c>
      <c r="W95" s="312">
        <v>0</v>
      </c>
      <c r="X95" s="312">
        <v>4648</v>
      </c>
      <c r="Y95" s="313">
        <v>0</v>
      </c>
      <c r="Z95" s="312">
        <v>0</v>
      </c>
      <c r="AA95" s="312">
        <v>0</v>
      </c>
      <c r="AB95" s="312">
        <v>0</v>
      </c>
      <c r="AC95" s="312">
        <v>0</v>
      </c>
    </row>
    <row r="96" spans="1:31" s="2" customFormat="1" ht="144.6" customHeight="1" outlineLevel="1" x14ac:dyDescent="0.2">
      <c r="A96" s="294" t="s">
        <v>158</v>
      </c>
      <c r="B96" s="310" t="s">
        <v>1257</v>
      </c>
      <c r="C96" s="311">
        <f t="shared" si="68"/>
        <v>0</v>
      </c>
      <c r="D96" s="249">
        <f t="shared" si="65"/>
        <v>90</v>
      </c>
      <c r="E96" s="296">
        <v>0</v>
      </c>
      <c r="F96" s="249">
        <f>G96+H96+I96</f>
        <v>90</v>
      </c>
      <c r="G96" s="249">
        <v>0</v>
      </c>
      <c r="H96" s="249">
        <v>0</v>
      </c>
      <c r="I96" s="249">
        <v>90</v>
      </c>
      <c r="J96" s="311">
        <v>0</v>
      </c>
      <c r="K96" s="263">
        <f t="shared" ref="K96" si="69">SUM(L96:N96)</f>
        <v>0</v>
      </c>
      <c r="L96" s="263">
        <v>0</v>
      </c>
      <c r="M96" s="263">
        <v>0</v>
      </c>
      <c r="N96" s="263">
        <v>0</v>
      </c>
      <c r="O96" s="311">
        <v>0</v>
      </c>
      <c r="P96" s="263">
        <v>0</v>
      </c>
      <c r="Q96" s="263">
        <v>0</v>
      </c>
      <c r="R96" s="263">
        <v>0</v>
      </c>
      <c r="S96" s="263">
        <v>0</v>
      </c>
      <c r="T96" s="313">
        <v>0</v>
      </c>
      <c r="U96" s="312">
        <v>0</v>
      </c>
      <c r="V96" s="312">
        <v>0</v>
      </c>
      <c r="W96" s="312">
        <v>0</v>
      </c>
      <c r="X96" s="312">
        <v>0</v>
      </c>
      <c r="Y96" s="313">
        <v>0</v>
      </c>
      <c r="Z96" s="312">
        <v>0</v>
      </c>
      <c r="AA96" s="312">
        <v>0</v>
      </c>
      <c r="AB96" s="312">
        <v>0</v>
      </c>
      <c r="AC96" s="312">
        <v>0</v>
      </c>
    </row>
    <row r="97" spans="1:29" s="2" customFormat="1" ht="174.75" customHeight="1" outlineLevel="1" x14ac:dyDescent="0.2">
      <c r="A97" s="294" t="s">
        <v>754</v>
      </c>
      <c r="B97" s="310" t="s">
        <v>1357</v>
      </c>
      <c r="C97" s="311">
        <f t="shared" ref="C97" si="70">E97+J97+O97+T97+Y97</f>
        <v>0</v>
      </c>
      <c r="D97" s="249">
        <f t="shared" ref="D97" si="71">F97+K97+P97+U97+Z97</f>
        <v>426</v>
      </c>
      <c r="E97" s="296">
        <v>0</v>
      </c>
      <c r="F97" s="249">
        <f>G97+H97+I97</f>
        <v>426</v>
      </c>
      <c r="G97" s="249">
        <v>0</v>
      </c>
      <c r="H97" s="249">
        <v>0</v>
      </c>
      <c r="I97" s="249">
        <v>426</v>
      </c>
      <c r="J97" s="311">
        <v>0</v>
      </c>
      <c r="K97" s="263">
        <f t="shared" ref="K97" si="72">SUM(L97:N97)</f>
        <v>0</v>
      </c>
      <c r="L97" s="263">
        <v>0</v>
      </c>
      <c r="M97" s="263">
        <v>0</v>
      </c>
      <c r="N97" s="263">
        <v>0</v>
      </c>
      <c r="O97" s="311">
        <v>0</v>
      </c>
      <c r="P97" s="263">
        <v>0</v>
      </c>
      <c r="Q97" s="263">
        <v>0</v>
      </c>
      <c r="R97" s="263">
        <v>0</v>
      </c>
      <c r="S97" s="263">
        <v>0</v>
      </c>
      <c r="T97" s="313">
        <v>0</v>
      </c>
      <c r="U97" s="312">
        <v>0</v>
      </c>
      <c r="V97" s="312">
        <v>0</v>
      </c>
      <c r="W97" s="312">
        <v>0</v>
      </c>
      <c r="X97" s="312">
        <v>0</v>
      </c>
      <c r="Y97" s="313">
        <v>0</v>
      </c>
      <c r="Z97" s="312">
        <v>0</v>
      </c>
      <c r="AA97" s="312">
        <v>0</v>
      </c>
      <c r="AB97" s="312">
        <v>0</v>
      </c>
      <c r="AC97" s="312">
        <v>0</v>
      </c>
    </row>
    <row r="98" spans="1:29" s="2" customFormat="1" ht="90" customHeight="1" outlineLevel="1" x14ac:dyDescent="0.2">
      <c r="A98" s="294" t="s">
        <v>23</v>
      </c>
      <c r="B98" s="310" t="s">
        <v>136</v>
      </c>
      <c r="C98" s="311">
        <f>E98+J98+O98+T98+Y98</f>
        <v>0</v>
      </c>
      <c r="D98" s="249">
        <f>F98+K98+P98+U98+Z98</f>
        <v>5241</v>
      </c>
      <c r="E98" s="296">
        <v>0</v>
      </c>
      <c r="F98" s="249">
        <v>0</v>
      </c>
      <c r="G98" s="249">
        <v>0</v>
      </c>
      <c r="H98" s="249">
        <v>0</v>
      </c>
      <c r="I98" s="249">
        <v>0</v>
      </c>
      <c r="J98" s="311">
        <v>0</v>
      </c>
      <c r="K98" s="255">
        <f>SUM(L98:N98)</f>
        <v>0</v>
      </c>
      <c r="L98" s="263">
        <v>0</v>
      </c>
      <c r="M98" s="263">
        <v>0</v>
      </c>
      <c r="N98" s="263">
        <v>0</v>
      </c>
      <c r="O98" s="311">
        <v>0</v>
      </c>
      <c r="P98" s="263">
        <f>Q98+R98+S98</f>
        <v>0</v>
      </c>
      <c r="Q98" s="263">
        <v>0</v>
      </c>
      <c r="R98" s="263">
        <v>0</v>
      </c>
      <c r="S98" s="263">
        <v>0</v>
      </c>
      <c r="T98" s="313">
        <v>0</v>
      </c>
      <c r="U98" s="312">
        <f>V98+W98+X98</f>
        <v>5241</v>
      </c>
      <c r="V98" s="312">
        <v>0</v>
      </c>
      <c r="W98" s="312">
        <v>0</v>
      </c>
      <c r="X98" s="312">
        <v>5241</v>
      </c>
      <c r="Y98" s="313">
        <v>0</v>
      </c>
      <c r="Z98" s="263">
        <v>0</v>
      </c>
      <c r="AA98" s="263">
        <v>0</v>
      </c>
      <c r="AB98" s="263">
        <v>0</v>
      </c>
      <c r="AC98" s="263">
        <v>0</v>
      </c>
    </row>
    <row r="99" spans="1:29" s="2" customFormat="1" ht="25.15" customHeight="1" outlineLevel="1" x14ac:dyDescent="0.2">
      <c r="A99" s="294"/>
      <c r="B99" s="310" t="s">
        <v>1009</v>
      </c>
      <c r="C99" s="311">
        <f>E99+J99+O99+T99+Y99</f>
        <v>0</v>
      </c>
      <c r="D99" s="249">
        <f t="shared" ref="D99" si="73">F99+K99+P99+U99+Z99</f>
        <v>0</v>
      </c>
      <c r="E99" s="296">
        <v>0</v>
      </c>
      <c r="F99" s="249">
        <v>0</v>
      </c>
      <c r="G99" s="249">
        <v>0</v>
      </c>
      <c r="H99" s="249">
        <v>0</v>
      </c>
      <c r="I99" s="249">
        <v>0</v>
      </c>
      <c r="J99" s="311">
        <v>0</v>
      </c>
      <c r="K99" s="263">
        <f t="shared" ref="K99" si="74">SUM(L99:N99)</f>
        <v>0</v>
      </c>
      <c r="L99" s="263">
        <v>0</v>
      </c>
      <c r="M99" s="263">
        <v>0</v>
      </c>
      <c r="N99" s="263">
        <v>0</v>
      </c>
      <c r="O99" s="311">
        <v>0</v>
      </c>
      <c r="P99" s="263">
        <f>Q99+R99+S99</f>
        <v>0</v>
      </c>
      <c r="Q99" s="263">
        <v>0</v>
      </c>
      <c r="R99" s="263">
        <v>0</v>
      </c>
      <c r="S99" s="263">
        <v>0</v>
      </c>
      <c r="T99" s="313">
        <v>0</v>
      </c>
      <c r="U99" s="312">
        <f>V99+W99+X99</f>
        <v>0</v>
      </c>
      <c r="V99" s="312">
        <v>0</v>
      </c>
      <c r="W99" s="312">
        <v>0</v>
      </c>
      <c r="X99" s="312">
        <v>0</v>
      </c>
      <c r="Y99" s="313">
        <v>0</v>
      </c>
      <c r="Z99" s="312">
        <v>0</v>
      </c>
      <c r="AA99" s="312">
        <v>0</v>
      </c>
      <c r="AB99" s="312">
        <v>0</v>
      </c>
      <c r="AC99" s="312">
        <v>0</v>
      </c>
    </row>
    <row r="100" spans="1:29" s="2" customFormat="1" ht="15.75" outlineLevel="1" x14ac:dyDescent="0.2">
      <c r="A100" s="434" t="s">
        <v>1202</v>
      </c>
      <c r="B100" s="434"/>
      <c r="C100" s="434"/>
      <c r="D100" s="434"/>
      <c r="E100" s="434"/>
      <c r="F100" s="434"/>
      <c r="G100" s="434"/>
      <c r="H100" s="434"/>
      <c r="I100" s="434"/>
      <c r="J100" s="434"/>
      <c r="K100" s="434"/>
      <c r="L100" s="434"/>
      <c r="M100" s="434"/>
      <c r="N100" s="434"/>
      <c r="O100" s="434"/>
      <c r="P100" s="434"/>
      <c r="Q100" s="434"/>
      <c r="R100" s="434"/>
      <c r="S100" s="434"/>
      <c r="T100" s="434"/>
      <c r="U100" s="434"/>
      <c r="V100" s="434"/>
      <c r="W100" s="434"/>
      <c r="X100" s="434"/>
      <c r="Y100" s="434"/>
      <c r="Z100" s="434"/>
      <c r="AA100" s="434"/>
      <c r="AB100" s="434"/>
      <c r="AC100" s="434"/>
    </row>
    <row r="101" spans="1:29" s="2" customFormat="1" ht="117.6" customHeight="1" outlineLevel="1" x14ac:dyDescent="0.2">
      <c r="A101" s="294" t="s">
        <v>749</v>
      </c>
      <c r="B101" s="310" t="s">
        <v>1017</v>
      </c>
      <c r="C101" s="311">
        <f t="shared" ref="C101:D107" si="75">E101+J101+O101+T101+Y101</f>
        <v>5.54</v>
      </c>
      <c r="D101" s="249">
        <f t="shared" si="75"/>
        <v>41382</v>
      </c>
      <c r="E101" s="296">
        <v>5.54</v>
      </c>
      <c r="F101" s="249">
        <f>H101+I101</f>
        <v>41382</v>
      </c>
      <c r="G101" s="249">
        <v>0</v>
      </c>
      <c r="H101" s="249">
        <v>39396</v>
      </c>
      <c r="I101" s="249">
        <f>1986</f>
        <v>1986</v>
      </c>
      <c r="J101" s="311">
        <v>0</v>
      </c>
      <c r="K101" s="255">
        <f t="shared" ref="K101:K107" si="76">SUM(L101:N101)</f>
        <v>0</v>
      </c>
      <c r="L101" s="263">
        <v>0</v>
      </c>
      <c r="M101" s="263">
        <v>0</v>
      </c>
      <c r="N101" s="263">
        <v>0</v>
      </c>
      <c r="O101" s="311">
        <v>0</v>
      </c>
      <c r="P101" s="263">
        <v>0</v>
      </c>
      <c r="Q101" s="263">
        <v>0</v>
      </c>
      <c r="R101" s="263">
        <v>0</v>
      </c>
      <c r="S101" s="263">
        <v>0</v>
      </c>
      <c r="T101" s="313">
        <v>0</v>
      </c>
      <c r="U101" s="312">
        <v>0</v>
      </c>
      <c r="V101" s="312">
        <v>0</v>
      </c>
      <c r="W101" s="312">
        <v>0</v>
      </c>
      <c r="X101" s="312">
        <v>0</v>
      </c>
      <c r="Y101" s="313">
        <v>0</v>
      </c>
      <c r="Z101" s="312">
        <v>0</v>
      </c>
      <c r="AA101" s="312">
        <v>0</v>
      </c>
      <c r="AB101" s="263">
        <v>0</v>
      </c>
      <c r="AC101" s="318">
        <v>0</v>
      </c>
    </row>
    <row r="102" spans="1:29" s="2" customFormat="1" ht="71.45" customHeight="1" outlineLevel="1" x14ac:dyDescent="0.2">
      <c r="A102" s="294" t="s">
        <v>750</v>
      </c>
      <c r="B102" s="310" t="s">
        <v>134</v>
      </c>
      <c r="C102" s="311">
        <f t="shared" si="75"/>
        <v>4.21</v>
      </c>
      <c r="D102" s="249">
        <f t="shared" si="75"/>
        <v>214595</v>
      </c>
      <c r="E102" s="296">
        <v>0</v>
      </c>
      <c r="F102" s="249">
        <v>0</v>
      </c>
      <c r="G102" s="249">
        <v>0</v>
      </c>
      <c r="H102" s="249">
        <v>0</v>
      </c>
      <c r="I102" s="249">
        <v>0</v>
      </c>
      <c r="J102" s="311" t="s">
        <v>1260</v>
      </c>
      <c r="K102" s="255">
        <f t="shared" si="76"/>
        <v>214595</v>
      </c>
      <c r="L102" s="263">
        <v>0</v>
      </c>
      <c r="M102" s="263">
        <v>202149</v>
      </c>
      <c r="N102" s="263">
        <v>12446</v>
      </c>
      <c r="O102" s="311">
        <v>0</v>
      </c>
      <c r="P102" s="263">
        <v>0</v>
      </c>
      <c r="Q102" s="263">
        <v>0</v>
      </c>
      <c r="R102" s="263">
        <v>0</v>
      </c>
      <c r="S102" s="263">
        <v>0</v>
      </c>
      <c r="T102" s="313">
        <v>0</v>
      </c>
      <c r="U102" s="312">
        <v>0</v>
      </c>
      <c r="V102" s="312">
        <v>0</v>
      </c>
      <c r="W102" s="312">
        <v>0</v>
      </c>
      <c r="X102" s="312">
        <v>0</v>
      </c>
      <c r="Y102" s="311">
        <v>0</v>
      </c>
      <c r="Z102" s="263">
        <f>AA102+AC102</f>
        <v>0</v>
      </c>
      <c r="AA102" s="263">
        <v>0</v>
      </c>
      <c r="AB102" s="263">
        <v>0</v>
      </c>
      <c r="AC102" s="263">
        <v>0</v>
      </c>
    </row>
    <row r="103" spans="1:29" s="2" customFormat="1" ht="95.45" customHeight="1" outlineLevel="1" x14ac:dyDescent="0.2">
      <c r="A103" s="294" t="s">
        <v>755</v>
      </c>
      <c r="B103" s="310" t="s">
        <v>133</v>
      </c>
      <c r="C103" s="311">
        <f t="shared" si="75"/>
        <v>0</v>
      </c>
      <c r="D103" s="249">
        <f t="shared" si="75"/>
        <v>0</v>
      </c>
      <c r="E103" s="296">
        <v>0</v>
      </c>
      <c r="F103" s="249">
        <v>0</v>
      </c>
      <c r="G103" s="249">
        <v>0</v>
      </c>
      <c r="H103" s="249">
        <v>0</v>
      </c>
      <c r="I103" s="249">
        <v>0</v>
      </c>
      <c r="J103" s="319">
        <v>0</v>
      </c>
      <c r="K103" s="255">
        <f t="shared" si="76"/>
        <v>0</v>
      </c>
      <c r="L103" s="255">
        <v>0</v>
      </c>
      <c r="M103" s="255">
        <v>0</v>
      </c>
      <c r="N103" s="255">
        <f>4021-4021</f>
        <v>0</v>
      </c>
      <c r="O103" s="311">
        <v>0</v>
      </c>
      <c r="P103" s="263">
        <v>0</v>
      </c>
      <c r="Q103" s="263">
        <v>0</v>
      </c>
      <c r="R103" s="263">
        <v>0</v>
      </c>
      <c r="S103" s="263">
        <v>0</v>
      </c>
      <c r="T103" s="313">
        <v>0</v>
      </c>
      <c r="U103" s="312">
        <v>0</v>
      </c>
      <c r="V103" s="312">
        <v>0</v>
      </c>
      <c r="W103" s="312">
        <v>0</v>
      </c>
      <c r="X103" s="312">
        <v>0</v>
      </c>
      <c r="Y103" s="313">
        <v>0</v>
      </c>
      <c r="Z103" s="263">
        <v>0</v>
      </c>
      <c r="AA103" s="263">
        <v>0</v>
      </c>
      <c r="AB103" s="263">
        <v>0</v>
      </c>
      <c r="AC103" s="263">
        <v>0</v>
      </c>
    </row>
    <row r="104" spans="1:29" s="2" customFormat="1" ht="85.9" customHeight="1" outlineLevel="1" x14ac:dyDescent="0.2">
      <c r="A104" s="294" t="s">
        <v>833</v>
      </c>
      <c r="B104" s="310" t="s">
        <v>124</v>
      </c>
      <c r="C104" s="311">
        <f>E104+T104+O104+J104+Y104</f>
        <v>1.99</v>
      </c>
      <c r="D104" s="249">
        <f>F104+U104+P104+K104+Z104</f>
        <v>187096</v>
      </c>
      <c r="E104" s="296">
        <v>0</v>
      </c>
      <c r="F104" s="249">
        <v>0</v>
      </c>
      <c r="G104" s="249">
        <v>0</v>
      </c>
      <c r="H104" s="249">
        <f>F104*0.952</f>
        <v>0</v>
      </c>
      <c r="I104" s="249">
        <f>F104*0.048</f>
        <v>0</v>
      </c>
      <c r="J104" s="319">
        <v>0</v>
      </c>
      <c r="K104" s="255">
        <f t="shared" ref="K104" si="77">SUM(L104:N104)</f>
        <v>0</v>
      </c>
      <c r="L104" s="255">
        <v>0</v>
      </c>
      <c r="M104" s="255">
        <v>0</v>
      </c>
      <c r="N104" s="255">
        <f>4021-4021</f>
        <v>0</v>
      </c>
      <c r="O104" s="311">
        <v>1</v>
      </c>
      <c r="P104" s="263">
        <f>Q104+R104+S104</f>
        <v>94334</v>
      </c>
      <c r="Q104" s="263">
        <v>0</v>
      </c>
      <c r="R104" s="263">
        <v>88863</v>
      </c>
      <c r="S104" s="263">
        <v>5471</v>
      </c>
      <c r="T104" s="311">
        <v>0.99</v>
      </c>
      <c r="U104" s="255">
        <f>SUM(V104:X104)</f>
        <v>92762</v>
      </c>
      <c r="V104" s="263">
        <v>0</v>
      </c>
      <c r="W104" s="263">
        <v>87382</v>
      </c>
      <c r="X104" s="263">
        <v>5380</v>
      </c>
      <c r="Y104" s="311">
        <v>0</v>
      </c>
      <c r="Z104" s="263">
        <f>AA104+AC104</f>
        <v>0</v>
      </c>
      <c r="AA104" s="263">
        <v>0</v>
      </c>
      <c r="AB104" s="263">
        <v>0</v>
      </c>
      <c r="AC104" s="263">
        <v>0</v>
      </c>
    </row>
    <row r="105" spans="1:29" s="2" customFormat="1" ht="108.6" customHeight="1" outlineLevel="1" x14ac:dyDescent="0.2">
      <c r="A105" s="294" t="s">
        <v>1222</v>
      </c>
      <c r="B105" s="310" t="s">
        <v>125</v>
      </c>
      <c r="C105" s="311">
        <f t="shared" si="75"/>
        <v>13.33</v>
      </c>
      <c r="D105" s="249">
        <f t="shared" si="75"/>
        <v>0</v>
      </c>
      <c r="E105" s="296">
        <v>13.33</v>
      </c>
      <c r="F105" s="249">
        <f>H105+I105</f>
        <v>0</v>
      </c>
      <c r="G105" s="249">
        <v>0</v>
      </c>
      <c r="H105" s="249">
        <v>0</v>
      </c>
      <c r="I105" s="249">
        <v>0</v>
      </c>
      <c r="J105" s="311">
        <v>0</v>
      </c>
      <c r="K105" s="255">
        <f t="shared" si="76"/>
        <v>0</v>
      </c>
      <c r="L105" s="263">
        <v>0</v>
      </c>
      <c r="M105" s="263">
        <v>0</v>
      </c>
      <c r="N105" s="263">
        <v>0</v>
      </c>
      <c r="O105" s="311">
        <v>0</v>
      </c>
      <c r="P105" s="263">
        <v>0</v>
      </c>
      <c r="Q105" s="263">
        <v>0</v>
      </c>
      <c r="R105" s="263">
        <v>0</v>
      </c>
      <c r="S105" s="263">
        <v>0</v>
      </c>
      <c r="T105" s="313">
        <v>0</v>
      </c>
      <c r="U105" s="312">
        <f>V105+W105+X105</f>
        <v>0</v>
      </c>
      <c r="V105" s="312">
        <v>0</v>
      </c>
      <c r="W105" s="312">
        <v>0</v>
      </c>
      <c r="X105" s="312">
        <v>0</v>
      </c>
      <c r="Y105" s="313">
        <v>0</v>
      </c>
      <c r="Z105" s="263">
        <v>0</v>
      </c>
      <c r="AA105" s="263">
        <v>0</v>
      </c>
      <c r="AB105" s="263">
        <v>0</v>
      </c>
      <c r="AC105" s="263">
        <v>0</v>
      </c>
    </row>
    <row r="106" spans="1:29" s="2" customFormat="1" ht="66" customHeight="1" outlineLevel="1" x14ac:dyDescent="0.2">
      <c r="A106" s="294" t="s">
        <v>1010</v>
      </c>
      <c r="B106" s="310" t="s">
        <v>135</v>
      </c>
      <c r="C106" s="311">
        <f t="shared" si="75"/>
        <v>39.4</v>
      </c>
      <c r="D106" s="249">
        <f t="shared" si="75"/>
        <v>542282</v>
      </c>
      <c r="E106" s="296">
        <v>0</v>
      </c>
      <c r="F106" s="249">
        <v>0</v>
      </c>
      <c r="G106" s="249">
        <v>0</v>
      </c>
      <c r="H106" s="249">
        <v>0</v>
      </c>
      <c r="I106" s="249">
        <v>0</v>
      </c>
      <c r="J106" s="311">
        <v>0</v>
      </c>
      <c r="K106" s="255">
        <f t="shared" si="76"/>
        <v>0</v>
      </c>
      <c r="L106" s="263">
        <v>0</v>
      </c>
      <c r="M106" s="263">
        <v>0</v>
      </c>
      <c r="N106" s="263">
        <v>0</v>
      </c>
      <c r="O106" s="311">
        <v>4</v>
      </c>
      <c r="P106" s="263">
        <f>Q106+R106+S106</f>
        <v>280383</v>
      </c>
      <c r="Q106" s="263">
        <v>0</v>
      </c>
      <c r="R106" s="263">
        <v>264121</v>
      </c>
      <c r="S106" s="263">
        <v>16262</v>
      </c>
      <c r="T106" s="313">
        <v>35.4</v>
      </c>
      <c r="U106" s="312">
        <f t="shared" ref="U106" si="78">V106+W106+X106</f>
        <v>261899</v>
      </c>
      <c r="V106" s="312">
        <v>0</v>
      </c>
      <c r="W106" s="312">
        <v>249328</v>
      </c>
      <c r="X106" s="312">
        <v>12571</v>
      </c>
      <c r="Y106" s="313">
        <v>0</v>
      </c>
      <c r="Z106" s="263">
        <v>0</v>
      </c>
      <c r="AA106" s="263">
        <v>0</v>
      </c>
      <c r="AB106" s="263">
        <v>0</v>
      </c>
      <c r="AC106" s="263">
        <v>0</v>
      </c>
    </row>
    <row r="107" spans="1:29" s="2" customFormat="1" ht="63" customHeight="1" outlineLevel="1" x14ac:dyDescent="0.2">
      <c r="A107" s="294" t="s">
        <v>1258</v>
      </c>
      <c r="B107" s="310" t="s">
        <v>11</v>
      </c>
      <c r="C107" s="311">
        <f t="shared" si="75"/>
        <v>4.7699999999999996</v>
      </c>
      <c r="D107" s="249">
        <f t="shared" si="75"/>
        <v>77380</v>
      </c>
      <c r="E107" s="296">
        <v>0</v>
      </c>
      <c r="F107" s="249">
        <v>0</v>
      </c>
      <c r="G107" s="249">
        <v>0</v>
      </c>
      <c r="H107" s="249">
        <v>0</v>
      </c>
      <c r="I107" s="249">
        <v>0</v>
      </c>
      <c r="J107" s="311">
        <v>0</v>
      </c>
      <c r="K107" s="255">
        <f t="shared" si="76"/>
        <v>0</v>
      </c>
      <c r="L107" s="263">
        <v>0</v>
      </c>
      <c r="M107" s="263">
        <v>0</v>
      </c>
      <c r="N107" s="263">
        <v>0</v>
      </c>
      <c r="O107" s="311">
        <v>0</v>
      </c>
      <c r="P107" s="263">
        <v>0</v>
      </c>
      <c r="Q107" s="263">
        <v>0</v>
      </c>
      <c r="R107" s="263">
        <v>0</v>
      </c>
      <c r="S107" s="263">
        <v>0</v>
      </c>
      <c r="T107" s="313">
        <v>4.7699999999999996</v>
      </c>
      <c r="U107" s="312">
        <f>V107+W107+X107</f>
        <v>77380</v>
      </c>
      <c r="V107" s="312">
        <v>0</v>
      </c>
      <c r="W107" s="312">
        <v>74207</v>
      </c>
      <c r="X107" s="312">
        <v>3173</v>
      </c>
      <c r="Y107" s="313">
        <v>0</v>
      </c>
      <c r="Z107" s="263">
        <v>0</v>
      </c>
      <c r="AA107" s="263">
        <v>0</v>
      </c>
      <c r="AB107" s="263">
        <v>0</v>
      </c>
      <c r="AC107" s="263">
        <v>0</v>
      </c>
    </row>
    <row r="108" spans="1:29" s="7" customFormat="1" ht="46.9" customHeight="1" x14ac:dyDescent="0.2">
      <c r="A108" s="320"/>
      <c r="B108" s="321" t="s">
        <v>17</v>
      </c>
      <c r="C108" s="322">
        <f>SUM(C88:C107)</f>
        <v>123.24</v>
      </c>
      <c r="D108" s="254">
        <f>SUM(D88:D107)</f>
        <v>1526815</v>
      </c>
      <c r="E108" s="322">
        <f>SUM(E88:E107)</f>
        <v>18.87</v>
      </c>
      <c r="F108" s="254">
        <f>SUM(F88:F107)</f>
        <v>41898</v>
      </c>
      <c r="G108" s="254">
        <f t="shared" ref="G108:I108" si="79">SUM(G88:G107)</f>
        <v>0</v>
      </c>
      <c r="H108" s="254">
        <f t="shared" si="79"/>
        <v>39396</v>
      </c>
      <c r="I108" s="254">
        <f t="shared" si="79"/>
        <v>2502</v>
      </c>
      <c r="J108" s="322">
        <f>SUM(J88:J107)</f>
        <v>0</v>
      </c>
      <c r="K108" s="254">
        <f>SUM(K88:K107)</f>
        <v>214595</v>
      </c>
      <c r="L108" s="254">
        <f t="shared" ref="L108:N108" si="80">SUM(L88:L107)</f>
        <v>0</v>
      </c>
      <c r="M108" s="254">
        <f t="shared" si="80"/>
        <v>202149</v>
      </c>
      <c r="N108" s="254">
        <f t="shared" si="80"/>
        <v>12446</v>
      </c>
      <c r="O108" s="322">
        <f>SUM(O88:O107)</f>
        <v>5</v>
      </c>
      <c r="P108" s="254">
        <f>SUM(P88:P107)</f>
        <v>374717</v>
      </c>
      <c r="Q108" s="254">
        <f t="shared" ref="Q108:S108" si="81">SUM(Q88:Q107)</f>
        <v>0</v>
      </c>
      <c r="R108" s="254">
        <f t="shared" si="81"/>
        <v>352984</v>
      </c>
      <c r="S108" s="254">
        <f t="shared" si="81"/>
        <v>21733</v>
      </c>
      <c r="T108" s="322">
        <f>SUM(T88:T107)</f>
        <v>76.61999999999999</v>
      </c>
      <c r="U108" s="254">
        <f>SUM(U88:U107)</f>
        <v>581301</v>
      </c>
      <c r="V108" s="254">
        <f t="shared" ref="V108:W108" si="82">SUM(V88:V107)</f>
        <v>0</v>
      </c>
      <c r="W108" s="254">
        <f t="shared" si="82"/>
        <v>536740</v>
      </c>
      <c r="X108" s="254">
        <f>SUM(X88:X107)</f>
        <v>44561</v>
      </c>
      <c r="Y108" s="322">
        <f>SUM(Y88:Y107)</f>
        <v>18.54</v>
      </c>
      <c r="Z108" s="254">
        <f>SUM(Z88:Z107)</f>
        <v>314304</v>
      </c>
      <c r="AA108" s="254">
        <f t="shared" ref="AA108:AB108" si="83">SUM(AA88:AA107)</f>
        <v>0</v>
      </c>
      <c r="AB108" s="254">
        <f t="shared" si="83"/>
        <v>295760</v>
      </c>
      <c r="AC108" s="254">
        <f>SUM(AC88:AC107)</f>
        <v>18544</v>
      </c>
    </row>
    <row r="109" spans="1:29" s="2" customFormat="1" ht="30" customHeight="1" x14ac:dyDescent="0.2">
      <c r="A109" s="434" t="s">
        <v>79</v>
      </c>
      <c r="B109" s="434"/>
      <c r="C109" s="434"/>
      <c r="D109" s="434"/>
      <c r="E109" s="434"/>
      <c r="F109" s="434"/>
      <c r="G109" s="434"/>
      <c r="H109" s="434"/>
      <c r="I109" s="434"/>
      <c r="J109" s="434"/>
      <c r="K109" s="434"/>
      <c r="L109" s="434"/>
      <c r="M109" s="434"/>
      <c r="N109" s="434"/>
      <c r="O109" s="434"/>
      <c r="P109" s="434"/>
      <c r="Q109" s="434"/>
      <c r="R109" s="434"/>
      <c r="S109" s="434"/>
      <c r="T109" s="434"/>
      <c r="U109" s="434"/>
      <c r="V109" s="434"/>
      <c r="W109" s="434"/>
      <c r="X109" s="434"/>
      <c r="Y109" s="434"/>
      <c r="Z109" s="434"/>
      <c r="AA109" s="434"/>
      <c r="AB109" s="434"/>
      <c r="AC109" s="434"/>
    </row>
    <row r="110" spans="1:29" s="2" customFormat="1" ht="41.45" customHeight="1" outlineLevel="1" x14ac:dyDescent="0.2">
      <c r="A110" s="323" t="s">
        <v>5</v>
      </c>
      <c r="B110" s="324" t="s">
        <v>126</v>
      </c>
      <c r="C110" s="286">
        <f t="shared" ref="C110:C150" si="84">E110+J110+O110+T110+Y110</f>
        <v>1.98</v>
      </c>
      <c r="D110" s="298">
        <f t="shared" ref="D110:D147" si="85">F110+K110+P110+U110+Z110</f>
        <v>0</v>
      </c>
      <c r="E110" s="325">
        <v>1.98</v>
      </c>
      <c r="F110" s="255">
        <f t="shared" ref="F110:F150" si="86">G110+H110+I110</f>
        <v>0</v>
      </c>
      <c r="G110" s="255">
        <v>0</v>
      </c>
      <c r="H110" s="249">
        <v>0</v>
      </c>
      <c r="I110" s="249">
        <v>0</v>
      </c>
      <c r="J110" s="286">
        <v>0</v>
      </c>
      <c r="K110" s="263">
        <f t="shared" ref="K110:K150" si="87">SUM(L110:N110)</f>
        <v>0</v>
      </c>
      <c r="L110" s="263">
        <v>0</v>
      </c>
      <c r="M110" s="263">
        <v>0</v>
      </c>
      <c r="N110" s="263">
        <v>0</v>
      </c>
      <c r="O110" s="311">
        <v>0</v>
      </c>
      <c r="P110" s="263">
        <f t="shared" ref="P110:P147" si="88">Q110+R110+S110</f>
        <v>0</v>
      </c>
      <c r="Q110" s="263">
        <v>0</v>
      </c>
      <c r="R110" s="263">
        <v>0</v>
      </c>
      <c r="S110" s="263">
        <v>0</v>
      </c>
      <c r="T110" s="311">
        <v>0</v>
      </c>
      <c r="U110" s="263">
        <f t="shared" ref="U110:U150" si="89">V110+W110+X110</f>
        <v>0</v>
      </c>
      <c r="V110" s="263">
        <v>0</v>
      </c>
      <c r="W110" s="263">
        <v>0</v>
      </c>
      <c r="X110" s="263">
        <v>0</v>
      </c>
      <c r="Y110" s="311">
        <v>0</v>
      </c>
      <c r="Z110" s="263">
        <f t="shared" ref="Z110:Z150" si="90">AA110+AB110+AC110</f>
        <v>0</v>
      </c>
      <c r="AA110" s="263">
        <v>0</v>
      </c>
      <c r="AB110" s="263">
        <v>0</v>
      </c>
      <c r="AC110" s="263">
        <v>0</v>
      </c>
    </row>
    <row r="111" spans="1:29" s="2" customFormat="1" ht="42.6" customHeight="1" outlineLevel="1" x14ac:dyDescent="0.2">
      <c r="A111" s="326" t="s">
        <v>6</v>
      </c>
      <c r="B111" s="324" t="s">
        <v>123</v>
      </c>
      <c r="C111" s="286">
        <f t="shared" ref="C111:C117" si="91">E111+J111+O111+T111+Y111</f>
        <v>15.5</v>
      </c>
      <c r="D111" s="298">
        <f t="shared" si="85"/>
        <v>0</v>
      </c>
      <c r="E111" s="325">
        <v>15.5</v>
      </c>
      <c r="F111" s="255">
        <f t="shared" si="86"/>
        <v>0</v>
      </c>
      <c r="G111" s="255">
        <v>0</v>
      </c>
      <c r="H111" s="249">
        <v>0</v>
      </c>
      <c r="I111" s="249">
        <v>0</v>
      </c>
      <c r="J111" s="286">
        <v>0</v>
      </c>
      <c r="K111" s="263">
        <f t="shared" si="87"/>
        <v>0</v>
      </c>
      <c r="L111" s="263">
        <v>0</v>
      </c>
      <c r="M111" s="263">
        <v>0</v>
      </c>
      <c r="N111" s="263">
        <v>0</v>
      </c>
      <c r="O111" s="311">
        <v>0</v>
      </c>
      <c r="P111" s="263">
        <f t="shared" si="88"/>
        <v>0</v>
      </c>
      <c r="Q111" s="263">
        <v>0</v>
      </c>
      <c r="R111" s="263">
        <v>0</v>
      </c>
      <c r="S111" s="263">
        <v>0</v>
      </c>
      <c r="T111" s="311">
        <v>0</v>
      </c>
      <c r="U111" s="263">
        <f t="shared" si="89"/>
        <v>0</v>
      </c>
      <c r="V111" s="263">
        <v>0</v>
      </c>
      <c r="W111" s="263">
        <v>0</v>
      </c>
      <c r="X111" s="263">
        <v>0</v>
      </c>
      <c r="Y111" s="311">
        <v>0</v>
      </c>
      <c r="Z111" s="263">
        <f t="shared" si="90"/>
        <v>0</v>
      </c>
      <c r="AA111" s="263">
        <v>0</v>
      </c>
      <c r="AB111" s="263">
        <v>0</v>
      </c>
      <c r="AC111" s="263">
        <v>0</v>
      </c>
    </row>
    <row r="112" spans="1:29" s="2" customFormat="1" ht="39.6" customHeight="1" outlineLevel="1" x14ac:dyDescent="0.2">
      <c r="A112" s="326" t="s">
        <v>7</v>
      </c>
      <c r="B112" s="324" t="s">
        <v>128</v>
      </c>
      <c r="C112" s="286">
        <f t="shared" si="91"/>
        <v>131.96</v>
      </c>
      <c r="D112" s="298">
        <f t="shared" ref="D112:D117" si="92">F112+K112+P112+U112+Z112</f>
        <v>127341</v>
      </c>
      <c r="E112" s="325">
        <v>0</v>
      </c>
      <c r="F112" s="255">
        <f t="shared" si="86"/>
        <v>0</v>
      </c>
      <c r="G112" s="255">
        <v>0</v>
      </c>
      <c r="H112" s="255">
        <v>0</v>
      </c>
      <c r="I112" s="255">
        <v>0</v>
      </c>
      <c r="J112" s="286">
        <v>0</v>
      </c>
      <c r="K112" s="263">
        <v>0</v>
      </c>
      <c r="L112" s="263">
        <v>0</v>
      </c>
      <c r="M112" s="263">
        <v>0</v>
      </c>
      <c r="N112" s="263">
        <v>0</v>
      </c>
      <c r="O112" s="311">
        <v>0</v>
      </c>
      <c r="P112" s="263">
        <f t="shared" si="88"/>
        <v>0</v>
      </c>
      <c r="Q112" s="263">
        <v>0</v>
      </c>
      <c r="R112" s="263">
        <v>0</v>
      </c>
      <c r="S112" s="263">
        <v>0</v>
      </c>
      <c r="T112" s="311">
        <v>131.96</v>
      </c>
      <c r="U112" s="263">
        <v>127341</v>
      </c>
      <c r="V112" s="263">
        <v>0</v>
      </c>
      <c r="W112" s="263">
        <v>121229</v>
      </c>
      <c r="X112" s="263">
        <v>6112</v>
      </c>
      <c r="Y112" s="311">
        <v>0</v>
      </c>
      <c r="Z112" s="263">
        <f t="shared" si="90"/>
        <v>0</v>
      </c>
      <c r="AA112" s="263">
        <v>0</v>
      </c>
      <c r="AB112" s="263">
        <v>0</v>
      </c>
      <c r="AC112" s="263">
        <v>0</v>
      </c>
    </row>
    <row r="113" spans="1:29" s="2" customFormat="1" ht="41.45" customHeight="1" outlineLevel="1" x14ac:dyDescent="0.2">
      <c r="A113" s="326" t="s">
        <v>10</v>
      </c>
      <c r="B113" s="324" t="s">
        <v>127</v>
      </c>
      <c r="C113" s="286">
        <f t="shared" si="91"/>
        <v>13.47</v>
      </c>
      <c r="D113" s="298">
        <f t="shared" si="92"/>
        <v>31074</v>
      </c>
      <c r="E113" s="325">
        <v>0</v>
      </c>
      <c r="F113" s="255">
        <f t="shared" si="86"/>
        <v>0</v>
      </c>
      <c r="G113" s="255">
        <v>0</v>
      </c>
      <c r="H113" s="327">
        <v>0</v>
      </c>
      <c r="I113" s="255">
        <v>0</v>
      </c>
      <c r="J113" s="286">
        <v>0</v>
      </c>
      <c r="K113" s="263">
        <v>0</v>
      </c>
      <c r="L113" s="263">
        <v>0</v>
      </c>
      <c r="M113" s="263">
        <v>0</v>
      </c>
      <c r="N113" s="263">
        <v>0</v>
      </c>
      <c r="O113" s="311">
        <v>0</v>
      </c>
      <c r="P113" s="263">
        <f t="shared" si="88"/>
        <v>0</v>
      </c>
      <c r="Q113" s="263">
        <v>0</v>
      </c>
      <c r="R113" s="263">
        <v>0</v>
      </c>
      <c r="S113" s="263">
        <v>0</v>
      </c>
      <c r="T113" s="311">
        <v>13.47</v>
      </c>
      <c r="U113" s="263">
        <v>31074</v>
      </c>
      <c r="V113" s="263">
        <v>0</v>
      </c>
      <c r="W113" s="263">
        <v>29582</v>
      </c>
      <c r="X113" s="263">
        <v>1492</v>
      </c>
      <c r="Y113" s="311">
        <v>0</v>
      </c>
      <c r="Z113" s="263">
        <f t="shared" si="90"/>
        <v>0</v>
      </c>
      <c r="AA113" s="263">
        <v>0</v>
      </c>
      <c r="AB113" s="263">
        <v>0</v>
      </c>
      <c r="AC113" s="263">
        <v>0</v>
      </c>
    </row>
    <row r="114" spans="1:29" s="2" customFormat="1" ht="40.15" customHeight="1" outlineLevel="1" x14ac:dyDescent="0.2">
      <c r="A114" s="326" t="s">
        <v>24</v>
      </c>
      <c r="B114" s="324" t="s">
        <v>129</v>
      </c>
      <c r="C114" s="286">
        <f t="shared" si="91"/>
        <v>92.14</v>
      </c>
      <c r="D114" s="298">
        <f t="shared" si="92"/>
        <v>221701</v>
      </c>
      <c r="E114" s="325">
        <v>0</v>
      </c>
      <c r="F114" s="255">
        <f t="shared" si="86"/>
        <v>0</v>
      </c>
      <c r="G114" s="255">
        <v>0</v>
      </c>
      <c r="H114" s="255">
        <v>0</v>
      </c>
      <c r="I114" s="255">
        <v>0</v>
      </c>
      <c r="J114" s="286">
        <v>0</v>
      </c>
      <c r="K114" s="263">
        <v>0</v>
      </c>
      <c r="L114" s="263">
        <v>0</v>
      </c>
      <c r="M114" s="263">
        <v>0</v>
      </c>
      <c r="N114" s="263">
        <v>0</v>
      </c>
      <c r="O114" s="311">
        <v>0</v>
      </c>
      <c r="P114" s="263">
        <f t="shared" si="88"/>
        <v>0</v>
      </c>
      <c r="Q114" s="263">
        <v>0</v>
      </c>
      <c r="R114" s="263">
        <v>0</v>
      </c>
      <c r="S114" s="263">
        <v>0</v>
      </c>
      <c r="T114" s="311">
        <v>92.14</v>
      </c>
      <c r="U114" s="263">
        <v>221701</v>
      </c>
      <c r="V114" s="263">
        <v>0</v>
      </c>
      <c r="W114" s="263">
        <v>211059</v>
      </c>
      <c r="X114" s="263">
        <v>10642</v>
      </c>
      <c r="Y114" s="311">
        <v>0</v>
      </c>
      <c r="Z114" s="263">
        <f t="shared" si="90"/>
        <v>0</v>
      </c>
      <c r="AA114" s="263">
        <v>0</v>
      </c>
      <c r="AB114" s="263">
        <v>0</v>
      </c>
      <c r="AC114" s="263">
        <v>0</v>
      </c>
    </row>
    <row r="115" spans="1:29" s="2" customFormat="1" ht="40.5" customHeight="1" outlineLevel="1" x14ac:dyDescent="0.2">
      <c r="A115" s="326" t="s">
        <v>25</v>
      </c>
      <c r="B115" s="324" t="s">
        <v>130</v>
      </c>
      <c r="C115" s="286">
        <f t="shared" si="91"/>
        <v>2.42</v>
      </c>
      <c r="D115" s="298">
        <f t="shared" si="92"/>
        <v>5866</v>
      </c>
      <c r="E115" s="325">
        <v>0</v>
      </c>
      <c r="F115" s="255">
        <f t="shared" si="86"/>
        <v>0</v>
      </c>
      <c r="G115" s="255">
        <v>0</v>
      </c>
      <c r="H115" s="255">
        <v>0</v>
      </c>
      <c r="I115" s="255">
        <v>0</v>
      </c>
      <c r="J115" s="286">
        <v>0</v>
      </c>
      <c r="K115" s="263">
        <v>0</v>
      </c>
      <c r="L115" s="263">
        <v>0</v>
      </c>
      <c r="M115" s="263">
        <v>0</v>
      </c>
      <c r="N115" s="263">
        <v>0</v>
      </c>
      <c r="O115" s="311">
        <v>0</v>
      </c>
      <c r="P115" s="263">
        <f t="shared" si="88"/>
        <v>0</v>
      </c>
      <c r="Q115" s="263">
        <v>0</v>
      </c>
      <c r="R115" s="263">
        <v>0</v>
      </c>
      <c r="S115" s="263">
        <v>0</v>
      </c>
      <c r="T115" s="311">
        <v>1.21</v>
      </c>
      <c r="U115" s="263">
        <v>2933</v>
      </c>
      <c r="V115" s="263">
        <v>0</v>
      </c>
      <c r="W115" s="263">
        <v>2792</v>
      </c>
      <c r="X115" s="263">
        <v>141</v>
      </c>
      <c r="Y115" s="311">
        <v>1.21</v>
      </c>
      <c r="Z115" s="263">
        <f t="shared" si="90"/>
        <v>2933</v>
      </c>
      <c r="AA115" s="263">
        <v>0</v>
      </c>
      <c r="AB115" s="263">
        <v>2792</v>
      </c>
      <c r="AC115" s="263">
        <v>141</v>
      </c>
    </row>
    <row r="116" spans="1:29" s="2" customFormat="1" ht="52.9" customHeight="1" outlineLevel="1" x14ac:dyDescent="0.2">
      <c r="A116" s="326" t="s">
        <v>26</v>
      </c>
      <c r="B116" s="324" t="s">
        <v>131</v>
      </c>
      <c r="C116" s="286">
        <f t="shared" si="91"/>
        <v>1.2</v>
      </c>
      <c r="D116" s="298">
        <f t="shared" si="92"/>
        <v>2909</v>
      </c>
      <c r="E116" s="325">
        <v>0</v>
      </c>
      <c r="F116" s="255">
        <f t="shared" si="86"/>
        <v>0</v>
      </c>
      <c r="G116" s="255">
        <v>0</v>
      </c>
      <c r="H116" s="255">
        <v>0</v>
      </c>
      <c r="I116" s="255">
        <v>0</v>
      </c>
      <c r="J116" s="286">
        <v>0</v>
      </c>
      <c r="K116" s="263">
        <v>0</v>
      </c>
      <c r="L116" s="263">
        <v>0</v>
      </c>
      <c r="M116" s="263">
        <v>0</v>
      </c>
      <c r="N116" s="263">
        <v>0</v>
      </c>
      <c r="O116" s="311">
        <v>0</v>
      </c>
      <c r="P116" s="263">
        <f t="shared" si="88"/>
        <v>0</v>
      </c>
      <c r="Q116" s="263">
        <v>0</v>
      </c>
      <c r="R116" s="263">
        <v>0</v>
      </c>
      <c r="S116" s="263">
        <v>0</v>
      </c>
      <c r="T116" s="311">
        <v>1.2</v>
      </c>
      <c r="U116" s="263">
        <v>2909</v>
      </c>
      <c r="V116" s="263">
        <v>0</v>
      </c>
      <c r="W116" s="263">
        <v>2769</v>
      </c>
      <c r="X116" s="263">
        <v>140</v>
      </c>
      <c r="Y116" s="311">
        <v>0</v>
      </c>
      <c r="Z116" s="263">
        <f t="shared" si="90"/>
        <v>0</v>
      </c>
      <c r="AA116" s="263">
        <v>0</v>
      </c>
      <c r="AB116" s="263">
        <v>0</v>
      </c>
      <c r="AC116" s="263">
        <v>0</v>
      </c>
    </row>
    <row r="117" spans="1:29" s="2" customFormat="1" ht="52.15" customHeight="1" outlineLevel="1" x14ac:dyDescent="0.2">
      <c r="A117" s="326" t="s">
        <v>27</v>
      </c>
      <c r="B117" s="324" t="s">
        <v>132</v>
      </c>
      <c r="C117" s="286">
        <f t="shared" si="91"/>
        <v>2.8</v>
      </c>
      <c r="D117" s="298">
        <f t="shared" si="92"/>
        <v>6787</v>
      </c>
      <c r="E117" s="325">
        <v>0</v>
      </c>
      <c r="F117" s="255">
        <f t="shared" si="86"/>
        <v>0</v>
      </c>
      <c r="G117" s="255">
        <v>0</v>
      </c>
      <c r="H117" s="298">
        <v>0</v>
      </c>
      <c r="I117" s="255">
        <v>0</v>
      </c>
      <c r="J117" s="286">
        <v>0</v>
      </c>
      <c r="K117" s="263">
        <v>0</v>
      </c>
      <c r="L117" s="263">
        <v>0</v>
      </c>
      <c r="M117" s="263">
        <v>0</v>
      </c>
      <c r="N117" s="263">
        <v>0</v>
      </c>
      <c r="O117" s="311">
        <v>0</v>
      </c>
      <c r="P117" s="263">
        <v>0</v>
      </c>
      <c r="Q117" s="263">
        <v>0</v>
      </c>
      <c r="R117" s="263">
        <f>P117*0.952</f>
        <v>0</v>
      </c>
      <c r="S117" s="263">
        <f>P117*0.048</f>
        <v>0</v>
      </c>
      <c r="T117" s="311">
        <v>2.8</v>
      </c>
      <c r="U117" s="263">
        <v>6787</v>
      </c>
      <c r="V117" s="263">
        <v>0</v>
      </c>
      <c r="W117" s="263">
        <v>6461</v>
      </c>
      <c r="X117" s="263">
        <v>326</v>
      </c>
      <c r="Y117" s="311">
        <v>0</v>
      </c>
      <c r="Z117" s="263">
        <f t="shared" si="90"/>
        <v>0</v>
      </c>
      <c r="AA117" s="263">
        <v>0</v>
      </c>
      <c r="AB117" s="263">
        <v>0</v>
      </c>
      <c r="AC117" s="263">
        <v>0</v>
      </c>
    </row>
    <row r="118" spans="1:29" s="2" customFormat="1" ht="48" customHeight="1" outlineLevel="1" x14ac:dyDescent="0.2">
      <c r="A118" s="326" t="s">
        <v>28</v>
      </c>
      <c r="B118" s="324" t="s">
        <v>782</v>
      </c>
      <c r="C118" s="286">
        <f t="shared" si="84"/>
        <v>35.82</v>
      </c>
      <c r="D118" s="298">
        <f t="shared" si="85"/>
        <v>100801</v>
      </c>
      <c r="E118" s="325">
        <v>0</v>
      </c>
      <c r="F118" s="255">
        <f t="shared" si="86"/>
        <v>0</v>
      </c>
      <c r="G118" s="255">
        <v>0</v>
      </c>
      <c r="H118" s="298">
        <v>0</v>
      </c>
      <c r="I118" s="255">
        <v>0</v>
      </c>
      <c r="J118" s="286">
        <v>0</v>
      </c>
      <c r="K118" s="263">
        <f t="shared" si="87"/>
        <v>0</v>
      </c>
      <c r="L118" s="263">
        <v>0</v>
      </c>
      <c r="M118" s="263">
        <v>0</v>
      </c>
      <c r="N118" s="263">
        <v>0</v>
      </c>
      <c r="O118" s="311">
        <v>0</v>
      </c>
      <c r="P118" s="263">
        <f t="shared" si="88"/>
        <v>0</v>
      </c>
      <c r="Q118" s="263">
        <v>0</v>
      </c>
      <c r="R118" s="263">
        <v>0</v>
      </c>
      <c r="S118" s="263">
        <v>0</v>
      </c>
      <c r="T118" s="311">
        <v>0</v>
      </c>
      <c r="U118" s="263">
        <f t="shared" si="89"/>
        <v>0</v>
      </c>
      <c r="V118" s="263">
        <v>0</v>
      </c>
      <c r="W118" s="263">
        <v>0</v>
      </c>
      <c r="X118" s="263">
        <v>0</v>
      </c>
      <c r="Y118" s="311">
        <v>35.82</v>
      </c>
      <c r="Z118" s="263">
        <f t="shared" si="90"/>
        <v>100801</v>
      </c>
      <c r="AA118" s="263">
        <v>0</v>
      </c>
      <c r="AB118" s="263">
        <v>96668</v>
      </c>
      <c r="AC118" s="263">
        <v>4133</v>
      </c>
    </row>
    <row r="119" spans="1:29" s="2" customFormat="1" ht="43.9" customHeight="1" outlineLevel="1" x14ac:dyDescent="0.2">
      <c r="A119" s="326" t="s">
        <v>29</v>
      </c>
      <c r="B119" s="324" t="s">
        <v>866</v>
      </c>
      <c r="C119" s="286">
        <f t="shared" si="84"/>
        <v>6.37</v>
      </c>
      <c r="D119" s="298">
        <f t="shared" si="85"/>
        <v>17926</v>
      </c>
      <c r="E119" s="325">
        <v>0</v>
      </c>
      <c r="F119" s="255">
        <f t="shared" si="86"/>
        <v>0</v>
      </c>
      <c r="G119" s="255">
        <v>0</v>
      </c>
      <c r="H119" s="298">
        <v>0</v>
      </c>
      <c r="I119" s="255">
        <v>0</v>
      </c>
      <c r="J119" s="286">
        <v>0</v>
      </c>
      <c r="K119" s="263">
        <f t="shared" si="87"/>
        <v>0</v>
      </c>
      <c r="L119" s="263">
        <v>0</v>
      </c>
      <c r="M119" s="263">
        <v>0</v>
      </c>
      <c r="N119" s="263">
        <v>0</v>
      </c>
      <c r="O119" s="311">
        <v>0</v>
      </c>
      <c r="P119" s="263">
        <f t="shared" si="88"/>
        <v>0</v>
      </c>
      <c r="Q119" s="263">
        <v>0</v>
      </c>
      <c r="R119" s="263">
        <v>0</v>
      </c>
      <c r="S119" s="263">
        <v>0</v>
      </c>
      <c r="T119" s="311">
        <v>0</v>
      </c>
      <c r="U119" s="263">
        <f t="shared" si="89"/>
        <v>0</v>
      </c>
      <c r="V119" s="263">
        <v>0</v>
      </c>
      <c r="W119" s="263">
        <v>0</v>
      </c>
      <c r="X119" s="263">
        <v>0</v>
      </c>
      <c r="Y119" s="311">
        <v>6.37</v>
      </c>
      <c r="Z119" s="263">
        <f t="shared" si="90"/>
        <v>17926</v>
      </c>
      <c r="AA119" s="263">
        <v>0</v>
      </c>
      <c r="AB119" s="263">
        <v>17191</v>
      </c>
      <c r="AC119" s="263">
        <v>735</v>
      </c>
    </row>
    <row r="120" spans="1:29" s="2" customFormat="1" ht="50.45" customHeight="1" outlineLevel="1" x14ac:dyDescent="0.2">
      <c r="A120" s="326" t="s">
        <v>30</v>
      </c>
      <c r="B120" s="324" t="s">
        <v>137</v>
      </c>
      <c r="C120" s="286">
        <f t="shared" si="84"/>
        <v>80.625</v>
      </c>
      <c r="D120" s="298">
        <f t="shared" si="85"/>
        <v>225942</v>
      </c>
      <c r="E120" s="325">
        <v>0</v>
      </c>
      <c r="F120" s="255">
        <f t="shared" si="86"/>
        <v>0</v>
      </c>
      <c r="G120" s="255">
        <v>0</v>
      </c>
      <c r="H120" s="298">
        <v>0</v>
      </c>
      <c r="I120" s="255">
        <v>0</v>
      </c>
      <c r="J120" s="286">
        <v>0</v>
      </c>
      <c r="K120" s="263">
        <f t="shared" si="87"/>
        <v>0</v>
      </c>
      <c r="L120" s="263">
        <v>0</v>
      </c>
      <c r="M120" s="263">
        <v>0</v>
      </c>
      <c r="N120" s="263">
        <v>0</v>
      </c>
      <c r="O120" s="311">
        <v>0</v>
      </c>
      <c r="P120" s="263">
        <f t="shared" si="88"/>
        <v>0</v>
      </c>
      <c r="Q120" s="263">
        <v>0</v>
      </c>
      <c r="R120" s="263">
        <v>0</v>
      </c>
      <c r="S120" s="263">
        <v>0</v>
      </c>
      <c r="T120" s="311">
        <v>0</v>
      </c>
      <c r="U120" s="263">
        <f t="shared" si="89"/>
        <v>0</v>
      </c>
      <c r="V120" s="263">
        <v>0</v>
      </c>
      <c r="W120" s="263">
        <v>0</v>
      </c>
      <c r="X120" s="263">
        <v>0</v>
      </c>
      <c r="Y120" s="311">
        <v>80.625</v>
      </c>
      <c r="Z120" s="263">
        <f t="shared" si="90"/>
        <v>225942</v>
      </c>
      <c r="AA120" s="263">
        <v>0</v>
      </c>
      <c r="AB120" s="263">
        <v>216678</v>
      </c>
      <c r="AC120" s="263">
        <v>9264</v>
      </c>
    </row>
    <row r="121" spans="1:29" s="2" customFormat="1" ht="51.75" customHeight="1" outlineLevel="1" x14ac:dyDescent="0.2">
      <c r="A121" s="326" t="s">
        <v>31</v>
      </c>
      <c r="B121" s="324" t="s">
        <v>138</v>
      </c>
      <c r="C121" s="286">
        <f t="shared" si="84"/>
        <v>6.22</v>
      </c>
      <c r="D121" s="298">
        <f t="shared" si="85"/>
        <v>17853</v>
      </c>
      <c r="E121" s="325">
        <v>0</v>
      </c>
      <c r="F121" s="255">
        <f t="shared" si="86"/>
        <v>0</v>
      </c>
      <c r="G121" s="255">
        <v>0</v>
      </c>
      <c r="H121" s="298">
        <v>0</v>
      </c>
      <c r="I121" s="255">
        <v>0</v>
      </c>
      <c r="J121" s="286">
        <v>0</v>
      </c>
      <c r="K121" s="263">
        <f t="shared" si="87"/>
        <v>0</v>
      </c>
      <c r="L121" s="263">
        <v>0</v>
      </c>
      <c r="M121" s="263">
        <v>0</v>
      </c>
      <c r="N121" s="263">
        <v>0</v>
      </c>
      <c r="O121" s="311">
        <v>0</v>
      </c>
      <c r="P121" s="263">
        <f t="shared" si="88"/>
        <v>0</v>
      </c>
      <c r="Q121" s="263">
        <v>0</v>
      </c>
      <c r="R121" s="263">
        <v>0</v>
      </c>
      <c r="S121" s="263">
        <v>0</v>
      </c>
      <c r="T121" s="311">
        <v>0</v>
      </c>
      <c r="U121" s="263">
        <f t="shared" si="89"/>
        <v>0</v>
      </c>
      <c r="V121" s="263">
        <v>0</v>
      </c>
      <c r="W121" s="263">
        <v>0</v>
      </c>
      <c r="X121" s="263">
        <v>0</v>
      </c>
      <c r="Y121" s="311">
        <v>6.22</v>
      </c>
      <c r="Z121" s="263">
        <f t="shared" si="90"/>
        <v>17853</v>
      </c>
      <c r="AA121" s="263">
        <v>0</v>
      </c>
      <c r="AB121" s="263">
        <v>17121</v>
      </c>
      <c r="AC121" s="263">
        <v>732</v>
      </c>
    </row>
    <row r="122" spans="1:29" s="2" customFormat="1" ht="37.9" customHeight="1" outlineLevel="1" x14ac:dyDescent="0.2">
      <c r="A122" s="326" t="s">
        <v>32</v>
      </c>
      <c r="B122" s="324" t="s">
        <v>139</v>
      </c>
      <c r="C122" s="286">
        <f t="shared" si="84"/>
        <v>4.5</v>
      </c>
      <c r="D122" s="298">
        <f t="shared" si="85"/>
        <v>12663</v>
      </c>
      <c r="E122" s="325">
        <v>0</v>
      </c>
      <c r="F122" s="255">
        <f t="shared" si="86"/>
        <v>0</v>
      </c>
      <c r="G122" s="255">
        <v>0</v>
      </c>
      <c r="H122" s="298">
        <v>0</v>
      </c>
      <c r="I122" s="255">
        <v>0</v>
      </c>
      <c r="J122" s="286">
        <v>0</v>
      </c>
      <c r="K122" s="263">
        <f t="shared" si="87"/>
        <v>0</v>
      </c>
      <c r="L122" s="263">
        <v>0</v>
      </c>
      <c r="M122" s="263">
        <v>0</v>
      </c>
      <c r="N122" s="263">
        <v>0</v>
      </c>
      <c r="O122" s="311">
        <v>0</v>
      </c>
      <c r="P122" s="263">
        <f t="shared" si="88"/>
        <v>0</v>
      </c>
      <c r="Q122" s="263">
        <v>0</v>
      </c>
      <c r="R122" s="263">
        <v>0</v>
      </c>
      <c r="S122" s="263">
        <v>0</v>
      </c>
      <c r="T122" s="311">
        <v>0</v>
      </c>
      <c r="U122" s="263">
        <f t="shared" si="89"/>
        <v>0</v>
      </c>
      <c r="V122" s="263">
        <v>0</v>
      </c>
      <c r="W122" s="263">
        <v>0</v>
      </c>
      <c r="X122" s="263">
        <v>0</v>
      </c>
      <c r="Y122" s="311">
        <v>4.5</v>
      </c>
      <c r="Z122" s="263">
        <f t="shared" si="90"/>
        <v>12663</v>
      </c>
      <c r="AA122" s="263">
        <v>0</v>
      </c>
      <c r="AB122" s="263">
        <v>12144</v>
      </c>
      <c r="AC122" s="263">
        <v>519</v>
      </c>
    </row>
    <row r="123" spans="1:29" s="2" customFormat="1" ht="51.6" customHeight="1" outlineLevel="1" x14ac:dyDescent="0.2">
      <c r="A123" s="326" t="s">
        <v>33</v>
      </c>
      <c r="B123" s="324" t="s">
        <v>140</v>
      </c>
      <c r="C123" s="286">
        <f t="shared" si="84"/>
        <v>2.4</v>
      </c>
      <c r="D123" s="298">
        <f t="shared" si="85"/>
        <v>6754</v>
      </c>
      <c r="E123" s="325">
        <v>0</v>
      </c>
      <c r="F123" s="255">
        <f t="shared" si="86"/>
        <v>0</v>
      </c>
      <c r="G123" s="255">
        <v>0</v>
      </c>
      <c r="H123" s="298">
        <v>0</v>
      </c>
      <c r="I123" s="255">
        <v>0</v>
      </c>
      <c r="J123" s="286">
        <v>0</v>
      </c>
      <c r="K123" s="263">
        <f t="shared" si="87"/>
        <v>0</v>
      </c>
      <c r="L123" s="263">
        <v>0</v>
      </c>
      <c r="M123" s="263">
        <v>0</v>
      </c>
      <c r="N123" s="263">
        <v>0</v>
      </c>
      <c r="O123" s="311">
        <v>0</v>
      </c>
      <c r="P123" s="263">
        <f t="shared" si="88"/>
        <v>0</v>
      </c>
      <c r="Q123" s="263">
        <v>0</v>
      </c>
      <c r="R123" s="263">
        <v>0</v>
      </c>
      <c r="S123" s="263">
        <v>0</v>
      </c>
      <c r="T123" s="311">
        <v>0</v>
      </c>
      <c r="U123" s="263">
        <f t="shared" si="89"/>
        <v>0</v>
      </c>
      <c r="V123" s="263">
        <v>0</v>
      </c>
      <c r="W123" s="263">
        <v>0</v>
      </c>
      <c r="X123" s="263">
        <v>0</v>
      </c>
      <c r="Y123" s="311">
        <v>2.4</v>
      </c>
      <c r="Z123" s="263">
        <f t="shared" si="90"/>
        <v>6754</v>
      </c>
      <c r="AA123" s="263">
        <v>0</v>
      </c>
      <c r="AB123" s="263">
        <v>6477</v>
      </c>
      <c r="AC123" s="263">
        <v>277</v>
      </c>
    </row>
    <row r="124" spans="1:29" s="2" customFormat="1" ht="46.15" customHeight="1" outlineLevel="1" x14ac:dyDescent="0.2">
      <c r="A124" s="326" t="s">
        <v>34</v>
      </c>
      <c r="B124" s="324" t="s">
        <v>867</v>
      </c>
      <c r="C124" s="286">
        <f t="shared" si="84"/>
        <v>1.8</v>
      </c>
      <c r="D124" s="298">
        <f t="shared" si="85"/>
        <v>5066</v>
      </c>
      <c r="E124" s="325">
        <v>0</v>
      </c>
      <c r="F124" s="255">
        <f t="shared" si="86"/>
        <v>0</v>
      </c>
      <c r="G124" s="255">
        <v>0</v>
      </c>
      <c r="H124" s="298">
        <v>0</v>
      </c>
      <c r="I124" s="255">
        <v>0</v>
      </c>
      <c r="J124" s="286">
        <v>0</v>
      </c>
      <c r="K124" s="263">
        <f t="shared" si="87"/>
        <v>0</v>
      </c>
      <c r="L124" s="263">
        <v>0</v>
      </c>
      <c r="M124" s="263">
        <v>0</v>
      </c>
      <c r="N124" s="263">
        <v>0</v>
      </c>
      <c r="O124" s="311">
        <v>0</v>
      </c>
      <c r="P124" s="263">
        <f t="shared" si="88"/>
        <v>0</v>
      </c>
      <c r="Q124" s="263">
        <v>0</v>
      </c>
      <c r="R124" s="263">
        <v>0</v>
      </c>
      <c r="S124" s="263">
        <v>0</v>
      </c>
      <c r="T124" s="311">
        <v>0</v>
      </c>
      <c r="U124" s="263">
        <f t="shared" si="89"/>
        <v>0</v>
      </c>
      <c r="V124" s="263">
        <v>0</v>
      </c>
      <c r="W124" s="263">
        <v>0</v>
      </c>
      <c r="X124" s="263">
        <v>0</v>
      </c>
      <c r="Y124" s="311">
        <v>1.8</v>
      </c>
      <c r="Z124" s="263">
        <f t="shared" si="90"/>
        <v>5066</v>
      </c>
      <c r="AA124" s="263">
        <v>0</v>
      </c>
      <c r="AB124" s="263">
        <v>4858</v>
      </c>
      <c r="AC124" s="263">
        <v>208</v>
      </c>
    </row>
    <row r="125" spans="1:29" s="2" customFormat="1" ht="38.450000000000003" customHeight="1" outlineLevel="1" x14ac:dyDescent="0.2">
      <c r="A125" s="326" t="s">
        <v>39</v>
      </c>
      <c r="B125" s="324" t="s">
        <v>141</v>
      </c>
      <c r="C125" s="286">
        <f t="shared" si="84"/>
        <v>1.8</v>
      </c>
      <c r="D125" s="298">
        <f t="shared" si="85"/>
        <v>5065</v>
      </c>
      <c r="E125" s="325">
        <v>0</v>
      </c>
      <c r="F125" s="255">
        <f t="shared" si="86"/>
        <v>0</v>
      </c>
      <c r="G125" s="255">
        <v>0</v>
      </c>
      <c r="H125" s="298">
        <v>0</v>
      </c>
      <c r="I125" s="255">
        <v>0</v>
      </c>
      <c r="J125" s="286">
        <v>0</v>
      </c>
      <c r="K125" s="263">
        <f t="shared" si="87"/>
        <v>0</v>
      </c>
      <c r="L125" s="263">
        <v>0</v>
      </c>
      <c r="M125" s="263">
        <v>0</v>
      </c>
      <c r="N125" s="263">
        <v>0</v>
      </c>
      <c r="O125" s="311">
        <v>0</v>
      </c>
      <c r="P125" s="263">
        <f t="shared" si="88"/>
        <v>0</v>
      </c>
      <c r="Q125" s="263">
        <v>0</v>
      </c>
      <c r="R125" s="263">
        <v>0</v>
      </c>
      <c r="S125" s="263">
        <v>0</v>
      </c>
      <c r="T125" s="311">
        <v>0</v>
      </c>
      <c r="U125" s="263">
        <f t="shared" si="89"/>
        <v>0</v>
      </c>
      <c r="V125" s="263">
        <v>0</v>
      </c>
      <c r="W125" s="263">
        <v>0</v>
      </c>
      <c r="X125" s="263">
        <v>0</v>
      </c>
      <c r="Y125" s="311">
        <v>1.8</v>
      </c>
      <c r="Z125" s="263">
        <f t="shared" si="90"/>
        <v>5065</v>
      </c>
      <c r="AA125" s="263">
        <v>0</v>
      </c>
      <c r="AB125" s="263">
        <v>4857</v>
      </c>
      <c r="AC125" s="263">
        <v>208</v>
      </c>
    </row>
    <row r="126" spans="1:29" s="2" customFormat="1" ht="43.15" customHeight="1" outlineLevel="1" x14ac:dyDescent="0.2">
      <c r="A126" s="328" t="s">
        <v>35</v>
      </c>
      <c r="B126" s="329" t="s">
        <v>142</v>
      </c>
      <c r="C126" s="286">
        <f t="shared" si="84"/>
        <v>1</v>
      </c>
      <c r="D126" s="298">
        <f t="shared" si="85"/>
        <v>2814</v>
      </c>
      <c r="E126" s="325">
        <v>0</v>
      </c>
      <c r="F126" s="255">
        <f t="shared" si="86"/>
        <v>0</v>
      </c>
      <c r="G126" s="255">
        <v>0</v>
      </c>
      <c r="H126" s="298">
        <v>0</v>
      </c>
      <c r="I126" s="255">
        <v>0</v>
      </c>
      <c r="J126" s="286">
        <v>0</v>
      </c>
      <c r="K126" s="263">
        <f t="shared" si="87"/>
        <v>0</v>
      </c>
      <c r="L126" s="263">
        <v>0</v>
      </c>
      <c r="M126" s="263">
        <v>0</v>
      </c>
      <c r="N126" s="263">
        <v>0</v>
      </c>
      <c r="O126" s="311">
        <v>0</v>
      </c>
      <c r="P126" s="263">
        <f t="shared" si="88"/>
        <v>0</v>
      </c>
      <c r="Q126" s="263">
        <v>0</v>
      </c>
      <c r="R126" s="263">
        <v>0</v>
      </c>
      <c r="S126" s="263">
        <v>0</v>
      </c>
      <c r="T126" s="311">
        <v>0</v>
      </c>
      <c r="U126" s="263">
        <f t="shared" si="89"/>
        <v>0</v>
      </c>
      <c r="V126" s="263">
        <v>0</v>
      </c>
      <c r="W126" s="263">
        <v>0</v>
      </c>
      <c r="X126" s="263">
        <v>0</v>
      </c>
      <c r="Y126" s="311">
        <v>1</v>
      </c>
      <c r="Z126" s="263">
        <f t="shared" si="90"/>
        <v>2814</v>
      </c>
      <c r="AA126" s="263">
        <v>0</v>
      </c>
      <c r="AB126" s="263">
        <v>2699</v>
      </c>
      <c r="AC126" s="263">
        <v>115</v>
      </c>
    </row>
    <row r="127" spans="1:29" s="2" customFormat="1" ht="41.45" customHeight="1" outlineLevel="1" x14ac:dyDescent="0.2">
      <c r="A127" s="326" t="s">
        <v>36</v>
      </c>
      <c r="B127" s="324" t="s">
        <v>868</v>
      </c>
      <c r="C127" s="286">
        <f t="shared" si="84"/>
        <v>1.2</v>
      </c>
      <c r="D127" s="298">
        <f t="shared" si="85"/>
        <v>3376</v>
      </c>
      <c r="E127" s="325">
        <v>0</v>
      </c>
      <c r="F127" s="255">
        <f t="shared" si="86"/>
        <v>0</v>
      </c>
      <c r="G127" s="255">
        <v>0</v>
      </c>
      <c r="H127" s="298">
        <v>0</v>
      </c>
      <c r="I127" s="255">
        <v>0</v>
      </c>
      <c r="J127" s="286">
        <v>0</v>
      </c>
      <c r="K127" s="263">
        <f t="shared" si="87"/>
        <v>0</v>
      </c>
      <c r="L127" s="263">
        <v>0</v>
      </c>
      <c r="M127" s="263">
        <v>0</v>
      </c>
      <c r="N127" s="263">
        <v>0</v>
      </c>
      <c r="O127" s="311">
        <v>0</v>
      </c>
      <c r="P127" s="263">
        <f t="shared" si="88"/>
        <v>0</v>
      </c>
      <c r="Q127" s="263">
        <v>0</v>
      </c>
      <c r="R127" s="263">
        <v>0</v>
      </c>
      <c r="S127" s="263">
        <v>0</v>
      </c>
      <c r="T127" s="311">
        <v>0</v>
      </c>
      <c r="U127" s="263">
        <f t="shared" si="89"/>
        <v>0</v>
      </c>
      <c r="V127" s="263">
        <v>0</v>
      </c>
      <c r="W127" s="263">
        <v>0</v>
      </c>
      <c r="X127" s="263">
        <v>0</v>
      </c>
      <c r="Y127" s="311">
        <v>1.2</v>
      </c>
      <c r="Z127" s="263">
        <f t="shared" si="90"/>
        <v>3376</v>
      </c>
      <c r="AA127" s="263">
        <v>0</v>
      </c>
      <c r="AB127" s="263">
        <v>3238</v>
      </c>
      <c r="AC127" s="263">
        <v>138</v>
      </c>
    </row>
    <row r="128" spans="1:29" s="2" customFormat="1" ht="40.15" customHeight="1" outlineLevel="1" x14ac:dyDescent="0.2">
      <c r="A128" s="326" t="s">
        <v>37</v>
      </c>
      <c r="B128" s="324" t="s">
        <v>143</v>
      </c>
      <c r="C128" s="286">
        <f t="shared" si="84"/>
        <v>24.79</v>
      </c>
      <c r="D128" s="298">
        <f t="shared" si="85"/>
        <v>69767</v>
      </c>
      <c r="E128" s="325">
        <v>0</v>
      </c>
      <c r="F128" s="255">
        <f t="shared" si="86"/>
        <v>0</v>
      </c>
      <c r="G128" s="255">
        <v>0</v>
      </c>
      <c r="H128" s="298">
        <v>0</v>
      </c>
      <c r="I128" s="255">
        <v>0</v>
      </c>
      <c r="J128" s="286">
        <v>0</v>
      </c>
      <c r="K128" s="263">
        <f t="shared" si="87"/>
        <v>0</v>
      </c>
      <c r="L128" s="263">
        <v>0</v>
      </c>
      <c r="M128" s="263">
        <v>0</v>
      </c>
      <c r="N128" s="263">
        <v>0</v>
      </c>
      <c r="O128" s="311">
        <v>0</v>
      </c>
      <c r="P128" s="263">
        <f t="shared" si="88"/>
        <v>0</v>
      </c>
      <c r="Q128" s="263">
        <v>0</v>
      </c>
      <c r="R128" s="263">
        <v>0</v>
      </c>
      <c r="S128" s="263">
        <v>0</v>
      </c>
      <c r="T128" s="311">
        <v>0</v>
      </c>
      <c r="U128" s="263">
        <f t="shared" si="89"/>
        <v>0</v>
      </c>
      <c r="V128" s="263">
        <v>0</v>
      </c>
      <c r="W128" s="263">
        <v>0</v>
      </c>
      <c r="X128" s="263">
        <v>0</v>
      </c>
      <c r="Y128" s="311">
        <v>24.79</v>
      </c>
      <c r="Z128" s="263">
        <f t="shared" si="90"/>
        <v>69767</v>
      </c>
      <c r="AA128" s="263">
        <v>0</v>
      </c>
      <c r="AB128" s="263">
        <v>66907</v>
      </c>
      <c r="AC128" s="263">
        <v>2860</v>
      </c>
    </row>
    <row r="129" spans="1:30" s="2" customFormat="1" ht="39" customHeight="1" outlineLevel="1" x14ac:dyDescent="0.2">
      <c r="A129" s="326" t="s">
        <v>38</v>
      </c>
      <c r="B129" s="324" t="s">
        <v>144</v>
      </c>
      <c r="C129" s="286">
        <f t="shared" si="84"/>
        <v>87.6</v>
      </c>
      <c r="D129" s="298">
        <f t="shared" si="85"/>
        <v>378119</v>
      </c>
      <c r="E129" s="325">
        <v>0</v>
      </c>
      <c r="F129" s="255">
        <f t="shared" si="86"/>
        <v>0</v>
      </c>
      <c r="G129" s="255">
        <v>0</v>
      </c>
      <c r="H129" s="298">
        <v>0</v>
      </c>
      <c r="I129" s="255">
        <v>0</v>
      </c>
      <c r="J129" s="286">
        <v>0</v>
      </c>
      <c r="K129" s="263">
        <f t="shared" si="87"/>
        <v>0</v>
      </c>
      <c r="L129" s="263">
        <v>0</v>
      </c>
      <c r="M129" s="263">
        <v>0</v>
      </c>
      <c r="N129" s="263">
        <v>0</v>
      </c>
      <c r="O129" s="311">
        <v>0</v>
      </c>
      <c r="P129" s="263">
        <f t="shared" si="88"/>
        <v>0</v>
      </c>
      <c r="Q129" s="263">
        <v>0</v>
      </c>
      <c r="R129" s="263">
        <v>0</v>
      </c>
      <c r="S129" s="263">
        <v>0</v>
      </c>
      <c r="T129" s="311">
        <v>87.6</v>
      </c>
      <c r="U129" s="263">
        <f t="shared" si="89"/>
        <v>378119</v>
      </c>
      <c r="V129" s="263">
        <v>0</v>
      </c>
      <c r="W129" s="263">
        <v>362616</v>
      </c>
      <c r="X129" s="263">
        <v>15503</v>
      </c>
      <c r="Y129" s="311">
        <v>0</v>
      </c>
      <c r="Z129" s="263">
        <f t="shared" si="90"/>
        <v>0</v>
      </c>
      <c r="AA129" s="263">
        <v>0</v>
      </c>
      <c r="AB129" s="263">
        <v>0</v>
      </c>
      <c r="AC129" s="263">
        <v>0</v>
      </c>
    </row>
    <row r="130" spans="1:30" s="2" customFormat="1" ht="33" customHeight="1" outlineLevel="1" x14ac:dyDescent="0.2">
      <c r="A130" s="330" t="s">
        <v>40</v>
      </c>
      <c r="B130" s="324" t="s">
        <v>145</v>
      </c>
      <c r="C130" s="286">
        <f t="shared" si="84"/>
        <v>0.93</v>
      </c>
      <c r="D130" s="298">
        <f t="shared" si="85"/>
        <v>4036</v>
      </c>
      <c r="E130" s="325">
        <v>0</v>
      </c>
      <c r="F130" s="255">
        <f t="shared" si="86"/>
        <v>0</v>
      </c>
      <c r="G130" s="255">
        <v>0</v>
      </c>
      <c r="H130" s="298">
        <v>0</v>
      </c>
      <c r="I130" s="255">
        <v>0</v>
      </c>
      <c r="J130" s="286">
        <v>0</v>
      </c>
      <c r="K130" s="263">
        <f t="shared" si="87"/>
        <v>0</v>
      </c>
      <c r="L130" s="263">
        <v>0</v>
      </c>
      <c r="M130" s="263">
        <v>0</v>
      </c>
      <c r="N130" s="263">
        <v>0</v>
      </c>
      <c r="O130" s="311">
        <v>0</v>
      </c>
      <c r="P130" s="263">
        <f t="shared" si="88"/>
        <v>0</v>
      </c>
      <c r="Q130" s="263">
        <v>0</v>
      </c>
      <c r="R130" s="263">
        <v>0</v>
      </c>
      <c r="S130" s="263">
        <v>0</v>
      </c>
      <c r="T130" s="311">
        <v>0.93</v>
      </c>
      <c r="U130" s="263">
        <f t="shared" si="89"/>
        <v>4036</v>
      </c>
      <c r="V130" s="263">
        <v>0</v>
      </c>
      <c r="W130" s="263">
        <v>3870</v>
      </c>
      <c r="X130" s="263">
        <v>166</v>
      </c>
      <c r="Y130" s="311">
        <v>0</v>
      </c>
      <c r="Z130" s="263">
        <f t="shared" si="90"/>
        <v>0</v>
      </c>
      <c r="AA130" s="263">
        <v>0</v>
      </c>
      <c r="AB130" s="263">
        <v>0</v>
      </c>
      <c r="AC130" s="263">
        <v>0</v>
      </c>
    </row>
    <row r="131" spans="1:30" s="2" customFormat="1" ht="47.45" customHeight="1" outlineLevel="1" x14ac:dyDescent="0.2">
      <c r="A131" s="330" t="s">
        <v>41</v>
      </c>
      <c r="B131" s="324" t="s">
        <v>146</v>
      </c>
      <c r="C131" s="286">
        <f t="shared" si="84"/>
        <v>0.75</v>
      </c>
      <c r="D131" s="298">
        <f t="shared" si="85"/>
        <v>3254</v>
      </c>
      <c r="E131" s="325">
        <v>0</v>
      </c>
      <c r="F131" s="255">
        <f t="shared" si="86"/>
        <v>0</v>
      </c>
      <c r="G131" s="255">
        <v>0</v>
      </c>
      <c r="H131" s="298">
        <v>0</v>
      </c>
      <c r="I131" s="255">
        <v>0</v>
      </c>
      <c r="J131" s="286">
        <v>0</v>
      </c>
      <c r="K131" s="263">
        <f t="shared" si="87"/>
        <v>0</v>
      </c>
      <c r="L131" s="263">
        <v>0</v>
      </c>
      <c r="M131" s="263">
        <v>0</v>
      </c>
      <c r="N131" s="263">
        <v>0</v>
      </c>
      <c r="O131" s="311">
        <v>0</v>
      </c>
      <c r="P131" s="263">
        <f t="shared" si="88"/>
        <v>0</v>
      </c>
      <c r="Q131" s="263">
        <v>0</v>
      </c>
      <c r="R131" s="263">
        <v>0</v>
      </c>
      <c r="S131" s="263">
        <v>0</v>
      </c>
      <c r="T131" s="311">
        <v>0.75</v>
      </c>
      <c r="U131" s="263">
        <f t="shared" si="89"/>
        <v>3254</v>
      </c>
      <c r="V131" s="263">
        <v>0</v>
      </c>
      <c r="W131" s="263">
        <v>3121</v>
      </c>
      <c r="X131" s="263">
        <v>133</v>
      </c>
      <c r="Y131" s="311">
        <v>0</v>
      </c>
      <c r="Z131" s="263">
        <f t="shared" si="90"/>
        <v>0</v>
      </c>
      <c r="AA131" s="263">
        <v>0</v>
      </c>
      <c r="AB131" s="263">
        <v>0</v>
      </c>
      <c r="AC131" s="263">
        <v>0</v>
      </c>
    </row>
    <row r="132" spans="1:30" s="2" customFormat="1" ht="32.450000000000003" customHeight="1" outlineLevel="1" x14ac:dyDescent="0.2">
      <c r="A132" s="330" t="s">
        <v>42</v>
      </c>
      <c r="B132" s="324" t="s">
        <v>147</v>
      </c>
      <c r="C132" s="286">
        <f t="shared" si="84"/>
        <v>3.04</v>
      </c>
      <c r="D132" s="298">
        <f t="shared" si="85"/>
        <v>13192</v>
      </c>
      <c r="E132" s="325">
        <v>0</v>
      </c>
      <c r="F132" s="255">
        <f t="shared" si="86"/>
        <v>0</v>
      </c>
      <c r="G132" s="255">
        <v>0</v>
      </c>
      <c r="H132" s="298">
        <v>0</v>
      </c>
      <c r="I132" s="255">
        <v>0</v>
      </c>
      <c r="J132" s="286">
        <v>0</v>
      </c>
      <c r="K132" s="263">
        <f t="shared" si="87"/>
        <v>0</v>
      </c>
      <c r="L132" s="263">
        <v>0</v>
      </c>
      <c r="M132" s="263">
        <v>0</v>
      </c>
      <c r="N132" s="263">
        <v>0</v>
      </c>
      <c r="O132" s="311">
        <v>0</v>
      </c>
      <c r="P132" s="263">
        <f t="shared" si="88"/>
        <v>0</v>
      </c>
      <c r="Q132" s="263">
        <v>0</v>
      </c>
      <c r="R132" s="263">
        <v>0</v>
      </c>
      <c r="S132" s="263">
        <v>0</v>
      </c>
      <c r="T132" s="311">
        <v>3.04</v>
      </c>
      <c r="U132" s="263">
        <f t="shared" si="89"/>
        <v>13192</v>
      </c>
      <c r="V132" s="263">
        <v>0</v>
      </c>
      <c r="W132" s="263">
        <v>12651</v>
      </c>
      <c r="X132" s="263">
        <v>541</v>
      </c>
      <c r="Y132" s="311">
        <v>0</v>
      </c>
      <c r="Z132" s="263">
        <f t="shared" si="90"/>
        <v>0</v>
      </c>
      <c r="AA132" s="263">
        <v>0</v>
      </c>
      <c r="AB132" s="263">
        <v>0</v>
      </c>
      <c r="AC132" s="263">
        <v>0</v>
      </c>
      <c r="AD132" s="4"/>
    </row>
    <row r="133" spans="1:30" s="2" customFormat="1" ht="27" customHeight="1" outlineLevel="1" x14ac:dyDescent="0.2">
      <c r="A133" s="330" t="s">
        <v>43</v>
      </c>
      <c r="B133" s="324" t="s">
        <v>148</v>
      </c>
      <c r="C133" s="286">
        <f t="shared" si="84"/>
        <v>11</v>
      </c>
      <c r="D133" s="298">
        <f t="shared" si="85"/>
        <v>48092</v>
      </c>
      <c r="E133" s="325">
        <v>0</v>
      </c>
      <c r="F133" s="255">
        <f t="shared" si="86"/>
        <v>0</v>
      </c>
      <c r="G133" s="255">
        <v>0</v>
      </c>
      <c r="H133" s="298">
        <v>0</v>
      </c>
      <c r="I133" s="255">
        <v>0</v>
      </c>
      <c r="J133" s="286">
        <v>0</v>
      </c>
      <c r="K133" s="263">
        <f t="shared" si="87"/>
        <v>0</v>
      </c>
      <c r="L133" s="263">
        <v>0</v>
      </c>
      <c r="M133" s="263">
        <v>0</v>
      </c>
      <c r="N133" s="263">
        <v>0</v>
      </c>
      <c r="O133" s="311">
        <v>0</v>
      </c>
      <c r="P133" s="263">
        <f t="shared" si="88"/>
        <v>0</v>
      </c>
      <c r="Q133" s="263">
        <v>0</v>
      </c>
      <c r="R133" s="263">
        <v>0</v>
      </c>
      <c r="S133" s="263">
        <v>0</v>
      </c>
      <c r="T133" s="311">
        <v>11</v>
      </c>
      <c r="U133" s="263">
        <f t="shared" si="89"/>
        <v>48092</v>
      </c>
      <c r="V133" s="263">
        <v>0</v>
      </c>
      <c r="W133" s="263">
        <v>46120</v>
      </c>
      <c r="X133" s="263">
        <v>1972</v>
      </c>
      <c r="Y133" s="311">
        <v>0</v>
      </c>
      <c r="Z133" s="263">
        <f t="shared" si="90"/>
        <v>0</v>
      </c>
      <c r="AA133" s="263">
        <v>0</v>
      </c>
      <c r="AB133" s="263">
        <v>0</v>
      </c>
      <c r="AC133" s="263">
        <v>0</v>
      </c>
      <c r="AD133" s="4"/>
    </row>
    <row r="134" spans="1:30" s="4" customFormat="1" ht="34.15" customHeight="1" outlineLevel="1" x14ac:dyDescent="0.2">
      <c r="A134" s="330" t="s">
        <v>44</v>
      </c>
      <c r="B134" s="324" t="s">
        <v>149</v>
      </c>
      <c r="C134" s="286">
        <f t="shared" si="84"/>
        <v>2.75</v>
      </c>
      <c r="D134" s="298">
        <f t="shared" si="85"/>
        <v>11933</v>
      </c>
      <c r="E134" s="325">
        <v>0</v>
      </c>
      <c r="F134" s="255">
        <f t="shared" si="86"/>
        <v>0</v>
      </c>
      <c r="G134" s="255">
        <v>0</v>
      </c>
      <c r="H134" s="298">
        <v>0</v>
      </c>
      <c r="I134" s="255">
        <v>0</v>
      </c>
      <c r="J134" s="286">
        <v>0</v>
      </c>
      <c r="K134" s="263">
        <f t="shared" si="87"/>
        <v>0</v>
      </c>
      <c r="L134" s="263">
        <v>0</v>
      </c>
      <c r="M134" s="263">
        <v>0</v>
      </c>
      <c r="N134" s="263">
        <v>0</v>
      </c>
      <c r="O134" s="311">
        <v>0</v>
      </c>
      <c r="P134" s="263">
        <f t="shared" si="88"/>
        <v>0</v>
      </c>
      <c r="Q134" s="263">
        <v>0</v>
      </c>
      <c r="R134" s="263">
        <v>0</v>
      </c>
      <c r="S134" s="263">
        <v>0</v>
      </c>
      <c r="T134" s="313">
        <v>2.75</v>
      </c>
      <c r="U134" s="263">
        <f t="shared" si="89"/>
        <v>11933</v>
      </c>
      <c r="V134" s="312">
        <v>0</v>
      </c>
      <c r="W134" s="263">
        <v>11444</v>
      </c>
      <c r="X134" s="263">
        <v>489</v>
      </c>
      <c r="Y134" s="311">
        <v>0</v>
      </c>
      <c r="Z134" s="263">
        <f t="shared" si="90"/>
        <v>0</v>
      </c>
      <c r="AA134" s="263">
        <v>0</v>
      </c>
      <c r="AB134" s="263">
        <v>0</v>
      </c>
      <c r="AC134" s="263">
        <v>0</v>
      </c>
    </row>
    <row r="135" spans="1:30" s="4" customFormat="1" ht="30.6" customHeight="1" outlineLevel="1" x14ac:dyDescent="0.2">
      <c r="A135" s="331" t="s">
        <v>45</v>
      </c>
      <c r="B135" s="332" t="s">
        <v>150</v>
      </c>
      <c r="C135" s="333">
        <f t="shared" si="84"/>
        <v>3.26</v>
      </c>
      <c r="D135" s="334">
        <f t="shared" si="85"/>
        <v>14147</v>
      </c>
      <c r="E135" s="335">
        <v>0</v>
      </c>
      <c r="F135" s="256">
        <f t="shared" si="86"/>
        <v>0</v>
      </c>
      <c r="G135" s="256">
        <v>0</v>
      </c>
      <c r="H135" s="334">
        <v>0</v>
      </c>
      <c r="I135" s="256">
        <v>0</v>
      </c>
      <c r="J135" s="333">
        <v>0</v>
      </c>
      <c r="K135" s="336">
        <f t="shared" si="87"/>
        <v>0</v>
      </c>
      <c r="L135" s="336">
        <v>0</v>
      </c>
      <c r="M135" s="336">
        <v>0</v>
      </c>
      <c r="N135" s="336">
        <v>0</v>
      </c>
      <c r="O135" s="337">
        <v>0</v>
      </c>
      <c r="P135" s="336">
        <f t="shared" si="88"/>
        <v>0</v>
      </c>
      <c r="Q135" s="336">
        <v>0</v>
      </c>
      <c r="R135" s="336">
        <v>0</v>
      </c>
      <c r="S135" s="336">
        <v>0</v>
      </c>
      <c r="T135" s="338">
        <v>3.26</v>
      </c>
      <c r="U135" s="336">
        <f t="shared" si="89"/>
        <v>14147</v>
      </c>
      <c r="V135" s="339">
        <v>0</v>
      </c>
      <c r="W135" s="336">
        <v>13567</v>
      </c>
      <c r="X135" s="336">
        <v>580</v>
      </c>
      <c r="Y135" s="337">
        <v>0</v>
      </c>
      <c r="Z135" s="336">
        <f t="shared" si="90"/>
        <v>0</v>
      </c>
      <c r="AA135" s="336">
        <v>0</v>
      </c>
      <c r="AB135" s="336">
        <v>0</v>
      </c>
      <c r="AC135" s="336">
        <v>0</v>
      </c>
    </row>
    <row r="136" spans="1:30" s="87" customFormat="1" ht="30" customHeight="1" outlineLevel="1" x14ac:dyDescent="0.2">
      <c r="A136" s="309" t="s">
        <v>46</v>
      </c>
      <c r="B136" s="340" t="s">
        <v>70</v>
      </c>
      <c r="C136" s="286">
        <f t="shared" si="84"/>
        <v>46.18</v>
      </c>
      <c r="D136" s="298">
        <f t="shared" si="85"/>
        <v>74802</v>
      </c>
      <c r="E136" s="296">
        <v>0</v>
      </c>
      <c r="F136" s="255">
        <f t="shared" si="86"/>
        <v>0</v>
      </c>
      <c r="G136" s="255">
        <v>0</v>
      </c>
      <c r="H136" s="249">
        <v>0</v>
      </c>
      <c r="I136" s="255">
        <v>0</v>
      </c>
      <c r="J136" s="286">
        <v>0</v>
      </c>
      <c r="K136" s="263">
        <f t="shared" si="87"/>
        <v>0</v>
      </c>
      <c r="L136" s="263">
        <v>0</v>
      </c>
      <c r="M136" s="263">
        <v>0</v>
      </c>
      <c r="N136" s="263">
        <v>0</v>
      </c>
      <c r="O136" s="311">
        <v>0</v>
      </c>
      <c r="P136" s="263">
        <f t="shared" si="88"/>
        <v>0</v>
      </c>
      <c r="Q136" s="263">
        <v>0</v>
      </c>
      <c r="R136" s="263">
        <v>0</v>
      </c>
      <c r="S136" s="263">
        <v>0</v>
      </c>
      <c r="T136" s="311">
        <v>0</v>
      </c>
      <c r="U136" s="263">
        <f t="shared" si="89"/>
        <v>0</v>
      </c>
      <c r="V136" s="263">
        <v>0</v>
      </c>
      <c r="W136" s="263">
        <v>0</v>
      </c>
      <c r="X136" s="263">
        <v>0</v>
      </c>
      <c r="Y136" s="311">
        <v>46.18</v>
      </c>
      <c r="Z136" s="263">
        <f t="shared" si="90"/>
        <v>74802</v>
      </c>
      <c r="AA136" s="263">
        <v>0</v>
      </c>
      <c r="AB136" s="263">
        <v>71735</v>
      </c>
      <c r="AC136" s="263">
        <v>3067</v>
      </c>
    </row>
    <row r="137" spans="1:30" s="4" customFormat="1" ht="30.6" customHeight="1" outlineLevel="1" x14ac:dyDescent="0.2">
      <c r="A137" s="341" t="s">
        <v>47</v>
      </c>
      <c r="B137" s="342" t="s">
        <v>71</v>
      </c>
      <c r="C137" s="343">
        <f t="shared" si="84"/>
        <v>58.08</v>
      </c>
      <c r="D137" s="344">
        <f t="shared" si="85"/>
        <v>96300</v>
      </c>
      <c r="E137" s="345">
        <v>0</v>
      </c>
      <c r="F137" s="257">
        <f t="shared" si="86"/>
        <v>0</v>
      </c>
      <c r="G137" s="257">
        <v>0</v>
      </c>
      <c r="H137" s="346">
        <v>0</v>
      </c>
      <c r="I137" s="257">
        <v>0</v>
      </c>
      <c r="J137" s="343">
        <v>0</v>
      </c>
      <c r="K137" s="347">
        <f t="shared" si="87"/>
        <v>0</v>
      </c>
      <c r="L137" s="347">
        <v>0</v>
      </c>
      <c r="M137" s="347">
        <v>0</v>
      </c>
      <c r="N137" s="347">
        <v>0</v>
      </c>
      <c r="O137" s="348">
        <v>0</v>
      </c>
      <c r="P137" s="347">
        <f t="shared" si="88"/>
        <v>0</v>
      </c>
      <c r="Q137" s="347">
        <v>0</v>
      </c>
      <c r="R137" s="347">
        <v>0</v>
      </c>
      <c r="S137" s="347">
        <v>0</v>
      </c>
      <c r="T137" s="348">
        <v>0</v>
      </c>
      <c r="U137" s="347">
        <f t="shared" si="89"/>
        <v>0</v>
      </c>
      <c r="V137" s="347">
        <v>0</v>
      </c>
      <c r="W137" s="347">
        <v>0</v>
      </c>
      <c r="X137" s="347">
        <v>0</v>
      </c>
      <c r="Y137" s="348">
        <v>58.08</v>
      </c>
      <c r="Z137" s="347">
        <f t="shared" si="90"/>
        <v>96300</v>
      </c>
      <c r="AA137" s="347">
        <v>0</v>
      </c>
      <c r="AB137" s="347">
        <v>92352</v>
      </c>
      <c r="AC137" s="347">
        <v>3948</v>
      </c>
    </row>
    <row r="138" spans="1:30" s="4" customFormat="1" ht="43.15" customHeight="1" outlineLevel="1" x14ac:dyDescent="0.2">
      <c r="A138" s="309" t="s">
        <v>48</v>
      </c>
      <c r="B138" s="340" t="s">
        <v>869</v>
      </c>
      <c r="C138" s="286">
        <f t="shared" si="84"/>
        <v>66.3</v>
      </c>
      <c r="D138" s="298">
        <f t="shared" si="85"/>
        <v>135316</v>
      </c>
      <c r="E138" s="296">
        <v>0</v>
      </c>
      <c r="F138" s="255">
        <f t="shared" si="86"/>
        <v>0</v>
      </c>
      <c r="G138" s="255">
        <v>0</v>
      </c>
      <c r="H138" s="249">
        <v>0</v>
      </c>
      <c r="I138" s="255">
        <v>0</v>
      </c>
      <c r="J138" s="286">
        <v>0</v>
      </c>
      <c r="K138" s="263">
        <f t="shared" si="87"/>
        <v>0</v>
      </c>
      <c r="L138" s="263">
        <v>0</v>
      </c>
      <c r="M138" s="263">
        <v>0</v>
      </c>
      <c r="N138" s="263">
        <v>0</v>
      </c>
      <c r="O138" s="311">
        <v>0</v>
      </c>
      <c r="P138" s="263">
        <f t="shared" si="88"/>
        <v>0</v>
      </c>
      <c r="Q138" s="263">
        <v>0</v>
      </c>
      <c r="R138" s="263">
        <v>0</v>
      </c>
      <c r="S138" s="263">
        <v>0</v>
      </c>
      <c r="T138" s="311">
        <v>0</v>
      </c>
      <c r="U138" s="263">
        <f t="shared" si="89"/>
        <v>0</v>
      </c>
      <c r="V138" s="263">
        <v>0</v>
      </c>
      <c r="W138" s="263">
        <v>0</v>
      </c>
      <c r="X138" s="263">
        <v>0</v>
      </c>
      <c r="Y138" s="311">
        <v>66.3</v>
      </c>
      <c r="Z138" s="263">
        <f t="shared" si="90"/>
        <v>135316</v>
      </c>
      <c r="AA138" s="263">
        <v>0</v>
      </c>
      <c r="AB138" s="263">
        <v>129768</v>
      </c>
      <c r="AC138" s="263">
        <v>5548</v>
      </c>
    </row>
    <row r="139" spans="1:30" s="4" customFormat="1" ht="72.599999999999994" customHeight="1" outlineLevel="1" x14ac:dyDescent="0.2">
      <c r="A139" s="309" t="s">
        <v>49</v>
      </c>
      <c r="B139" s="340" t="s">
        <v>72</v>
      </c>
      <c r="C139" s="286">
        <f t="shared" si="84"/>
        <v>57.76</v>
      </c>
      <c r="D139" s="298">
        <f t="shared" si="85"/>
        <v>113175</v>
      </c>
      <c r="E139" s="296">
        <v>0</v>
      </c>
      <c r="F139" s="255">
        <f t="shared" si="86"/>
        <v>0</v>
      </c>
      <c r="G139" s="255">
        <v>0</v>
      </c>
      <c r="H139" s="249">
        <v>0</v>
      </c>
      <c r="I139" s="255">
        <v>0</v>
      </c>
      <c r="J139" s="286">
        <v>0</v>
      </c>
      <c r="K139" s="263">
        <f t="shared" si="87"/>
        <v>0</v>
      </c>
      <c r="L139" s="263">
        <v>0</v>
      </c>
      <c r="M139" s="263">
        <v>0</v>
      </c>
      <c r="N139" s="263">
        <v>0</v>
      </c>
      <c r="O139" s="311">
        <v>0</v>
      </c>
      <c r="P139" s="263">
        <f t="shared" si="88"/>
        <v>0</v>
      </c>
      <c r="Q139" s="263">
        <v>0</v>
      </c>
      <c r="R139" s="263">
        <v>0</v>
      </c>
      <c r="S139" s="263">
        <v>0</v>
      </c>
      <c r="T139" s="311">
        <v>0</v>
      </c>
      <c r="U139" s="263">
        <f t="shared" si="89"/>
        <v>0</v>
      </c>
      <c r="V139" s="263">
        <v>0</v>
      </c>
      <c r="W139" s="263">
        <v>0</v>
      </c>
      <c r="X139" s="263">
        <v>0</v>
      </c>
      <c r="Y139" s="311">
        <v>57.76</v>
      </c>
      <c r="Z139" s="263">
        <f t="shared" si="90"/>
        <v>113175</v>
      </c>
      <c r="AA139" s="263">
        <v>0</v>
      </c>
      <c r="AB139" s="263">
        <v>108535</v>
      </c>
      <c r="AC139" s="263">
        <v>4640</v>
      </c>
    </row>
    <row r="140" spans="1:30" s="4" customFormat="1" ht="30.6" customHeight="1" outlineLevel="1" x14ac:dyDescent="0.2">
      <c r="A140" s="309" t="s">
        <v>50</v>
      </c>
      <c r="B140" s="340" t="s">
        <v>73</v>
      </c>
      <c r="C140" s="286">
        <f t="shared" si="84"/>
        <v>31.08</v>
      </c>
      <c r="D140" s="298">
        <f t="shared" si="85"/>
        <v>64515</v>
      </c>
      <c r="E140" s="296">
        <v>0</v>
      </c>
      <c r="F140" s="255">
        <f t="shared" si="86"/>
        <v>0</v>
      </c>
      <c r="G140" s="255">
        <v>0</v>
      </c>
      <c r="H140" s="249">
        <v>0</v>
      </c>
      <c r="I140" s="255">
        <v>0</v>
      </c>
      <c r="J140" s="286">
        <v>0</v>
      </c>
      <c r="K140" s="263">
        <f t="shared" si="87"/>
        <v>0</v>
      </c>
      <c r="L140" s="263">
        <v>0</v>
      </c>
      <c r="M140" s="263">
        <v>0</v>
      </c>
      <c r="N140" s="263">
        <v>0</v>
      </c>
      <c r="O140" s="311">
        <v>0</v>
      </c>
      <c r="P140" s="263">
        <f t="shared" si="88"/>
        <v>0</v>
      </c>
      <c r="Q140" s="263">
        <v>0</v>
      </c>
      <c r="R140" s="263">
        <v>0</v>
      </c>
      <c r="S140" s="263">
        <v>0</v>
      </c>
      <c r="T140" s="311">
        <v>0</v>
      </c>
      <c r="U140" s="263">
        <f t="shared" si="89"/>
        <v>0</v>
      </c>
      <c r="V140" s="263">
        <v>0</v>
      </c>
      <c r="W140" s="263">
        <v>0</v>
      </c>
      <c r="X140" s="263">
        <v>0</v>
      </c>
      <c r="Y140" s="311">
        <v>31.08</v>
      </c>
      <c r="Z140" s="263">
        <f t="shared" si="90"/>
        <v>64515</v>
      </c>
      <c r="AA140" s="263">
        <v>0</v>
      </c>
      <c r="AB140" s="263">
        <v>61870</v>
      </c>
      <c r="AC140" s="263">
        <v>2645</v>
      </c>
    </row>
    <row r="141" spans="1:30" s="4" customFormat="1" ht="42" customHeight="1" outlineLevel="1" x14ac:dyDescent="0.2">
      <c r="A141" s="309" t="s">
        <v>105</v>
      </c>
      <c r="B141" s="340" t="s">
        <v>74</v>
      </c>
      <c r="C141" s="286">
        <f t="shared" si="84"/>
        <v>52.71</v>
      </c>
      <c r="D141" s="298">
        <f t="shared" si="85"/>
        <v>121435</v>
      </c>
      <c r="E141" s="296">
        <v>0</v>
      </c>
      <c r="F141" s="255">
        <f t="shared" si="86"/>
        <v>0</v>
      </c>
      <c r="G141" s="255">
        <v>0</v>
      </c>
      <c r="H141" s="249">
        <v>0</v>
      </c>
      <c r="I141" s="255">
        <v>0</v>
      </c>
      <c r="J141" s="286">
        <v>0</v>
      </c>
      <c r="K141" s="263">
        <f t="shared" si="87"/>
        <v>0</v>
      </c>
      <c r="L141" s="263">
        <v>0</v>
      </c>
      <c r="M141" s="263">
        <v>0</v>
      </c>
      <c r="N141" s="263">
        <v>0</v>
      </c>
      <c r="O141" s="311">
        <v>0</v>
      </c>
      <c r="P141" s="263">
        <f t="shared" si="88"/>
        <v>0</v>
      </c>
      <c r="Q141" s="263">
        <v>0</v>
      </c>
      <c r="R141" s="263">
        <v>0</v>
      </c>
      <c r="S141" s="263">
        <v>0</v>
      </c>
      <c r="T141" s="311">
        <v>0</v>
      </c>
      <c r="U141" s="263">
        <f t="shared" si="89"/>
        <v>0</v>
      </c>
      <c r="V141" s="263">
        <v>0</v>
      </c>
      <c r="W141" s="263">
        <v>0</v>
      </c>
      <c r="X141" s="263">
        <v>0</v>
      </c>
      <c r="Y141" s="311">
        <v>52.71</v>
      </c>
      <c r="Z141" s="263">
        <f t="shared" si="90"/>
        <v>121435</v>
      </c>
      <c r="AA141" s="263">
        <v>0</v>
      </c>
      <c r="AB141" s="263">
        <v>116456</v>
      </c>
      <c r="AC141" s="263">
        <v>4979</v>
      </c>
    </row>
    <row r="142" spans="1:30" s="4" customFormat="1" ht="43.15" customHeight="1" outlineLevel="1" x14ac:dyDescent="0.2">
      <c r="A142" s="309" t="s">
        <v>51</v>
      </c>
      <c r="B142" s="340" t="s">
        <v>75</v>
      </c>
      <c r="C142" s="286">
        <f t="shared" si="84"/>
        <v>19.04</v>
      </c>
      <c r="D142" s="298">
        <f t="shared" si="85"/>
        <v>31839</v>
      </c>
      <c r="E142" s="296">
        <v>0</v>
      </c>
      <c r="F142" s="255">
        <f t="shared" si="86"/>
        <v>0</v>
      </c>
      <c r="G142" s="255">
        <v>0</v>
      </c>
      <c r="H142" s="249">
        <v>0</v>
      </c>
      <c r="I142" s="255">
        <v>0</v>
      </c>
      <c r="J142" s="286">
        <v>0</v>
      </c>
      <c r="K142" s="263">
        <f t="shared" si="87"/>
        <v>0</v>
      </c>
      <c r="L142" s="263">
        <v>0</v>
      </c>
      <c r="M142" s="263">
        <v>0</v>
      </c>
      <c r="N142" s="263">
        <v>0</v>
      </c>
      <c r="O142" s="311">
        <v>0</v>
      </c>
      <c r="P142" s="263">
        <f t="shared" si="88"/>
        <v>0</v>
      </c>
      <c r="Q142" s="263">
        <v>0</v>
      </c>
      <c r="R142" s="263">
        <v>0</v>
      </c>
      <c r="S142" s="263">
        <v>0</v>
      </c>
      <c r="T142" s="311">
        <v>0</v>
      </c>
      <c r="U142" s="263">
        <f t="shared" si="89"/>
        <v>0</v>
      </c>
      <c r="V142" s="263">
        <v>0</v>
      </c>
      <c r="W142" s="263">
        <v>0</v>
      </c>
      <c r="X142" s="263">
        <v>0</v>
      </c>
      <c r="Y142" s="311">
        <v>19.04</v>
      </c>
      <c r="Z142" s="263">
        <f t="shared" si="90"/>
        <v>31839</v>
      </c>
      <c r="AA142" s="263">
        <v>0</v>
      </c>
      <c r="AB142" s="263">
        <v>30534</v>
      </c>
      <c r="AC142" s="263">
        <v>1305</v>
      </c>
    </row>
    <row r="143" spans="1:30" s="4" customFormat="1" ht="30.6" customHeight="1" outlineLevel="1" x14ac:dyDescent="0.2">
      <c r="A143" s="309" t="s">
        <v>52</v>
      </c>
      <c r="B143" s="340" t="s">
        <v>76</v>
      </c>
      <c r="C143" s="286">
        <f t="shared" si="84"/>
        <v>17.489999999999998</v>
      </c>
      <c r="D143" s="298">
        <f t="shared" si="85"/>
        <v>29944</v>
      </c>
      <c r="E143" s="296">
        <v>0</v>
      </c>
      <c r="F143" s="255">
        <f t="shared" si="86"/>
        <v>0</v>
      </c>
      <c r="G143" s="255">
        <v>0</v>
      </c>
      <c r="H143" s="249">
        <v>0</v>
      </c>
      <c r="I143" s="255">
        <v>0</v>
      </c>
      <c r="J143" s="286">
        <v>0</v>
      </c>
      <c r="K143" s="263">
        <f t="shared" si="87"/>
        <v>0</v>
      </c>
      <c r="L143" s="263">
        <v>0</v>
      </c>
      <c r="M143" s="263">
        <v>0</v>
      </c>
      <c r="N143" s="263">
        <v>0</v>
      </c>
      <c r="O143" s="311">
        <v>0</v>
      </c>
      <c r="P143" s="263">
        <f t="shared" si="88"/>
        <v>0</v>
      </c>
      <c r="Q143" s="263">
        <v>0</v>
      </c>
      <c r="R143" s="263">
        <v>0</v>
      </c>
      <c r="S143" s="263">
        <v>0</v>
      </c>
      <c r="T143" s="311">
        <v>0</v>
      </c>
      <c r="U143" s="263">
        <f t="shared" si="89"/>
        <v>0</v>
      </c>
      <c r="V143" s="263">
        <v>0</v>
      </c>
      <c r="W143" s="263">
        <v>0</v>
      </c>
      <c r="X143" s="263">
        <v>0</v>
      </c>
      <c r="Y143" s="311">
        <v>17.489999999999998</v>
      </c>
      <c r="Z143" s="263">
        <f t="shared" si="90"/>
        <v>29944</v>
      </c>
      <c r="AA143" s="263">
        <v>0</v>
      </c>
      <c r="AB143" s="263">
        <v>28716</v>
      </c>
      <c r="AC143" s="263">
        <v>1228</v>
      </c>
    </row>
    <row r="144" spans="1:30" s="4" customFormat="1" ht="30" customHeight="1" outlineLevel="1" x14ac:dyDescent="0.2">
      <c r="A144" s="309" t="s">
        <v>53</v>
      </c>
      <c r="B144" s="340" t="s">
        <v>81</v>
      </c>
      <c r="C144" s="286">
        <f t="shared" si="84"/>
        <v>7.45</v>
      </c>
      <c r="D144" s="298">
        <f t="shared" si="85"/>
        <v>14597</v>
      </c>
      <c r="E144" s="296">
        <v>0</v>
      </c>
      <c r="F144" s="255">
        <f t="shared" si="86"/>
        <v>0</v>
      </c>
      <c r="G144" s="255">
        <v>0</v>
      </c>
      <c r="H144" s="249">
        <v>0</v>
      </c>
      <c r="I144" s="255">
        <v>0</v>
      </c>
      <c r="J144" s="286">
        <v>0</v>
      </c>
      <c r="K144" s="263">
        <f t="shared" si="87"/>
        <v>0</v>
      </c>
      <c r="L144" s="263">
        <v>0</v>
      </c>
      <c r="M144" s="263">
        <v>0</v>
      </c>
      <c r="N144" s="263">
        <v>0</v>
      </c>
      <c r="O144" s="311">
        <v>0</v>
      </c>
      <c r="P144" s="263">
        <f t="shared" si="88"/>
        <v>0</v>
      </c>
      <c r="Q144" s="263">
        <v>0</v>
      </c>
      <c r="R144" s="263">
        <v>0</v>
      </c>
      <c r="S144" s="263">
        <v>0</v>
      </c>
      <c r="T144" s="311">
        <v>7.45</v>
      </c>
      <c r="U144" s="263">
        <f t="shared" si="89"/>
        <v>9303</v>
      </c>
      <c r="V144" s="255">
        <v>0</v>
      </c>
      <c r="W144" s="263">
        <v>8652</v>
      </c>
      <c r="X144" s="263">
        <v>651</v>
      </c>
      <c r="Y144" s="311">
        <v>0</v>
      </c>
      <c r="Z144" s="263">
        <f t="shared" si="90"/>
        <v>5294</v>
      </c>
      <c r="AA144" s="263">
        <v>0</v>
      </c>
      <c r="AB144" s="263">
        <v>5077</v>
      </c>
      <c r="AC144" s="263">
        <v>217</v>
      </c>
    </row>
    <row r="145" spans="1:29" s="4" customFormat="1" ht="22.15" customHeight="1" outlineLevel="1" x14ac:dyDescent="0.2">
      <c r="A145" s="309" t="s">
        <v>54</v>
      </c>
      <c r="B145" s="340" t="s">
        <v>82</v>
      </c>
      <c r="C145" s="286">
        <f t="shared" si="84"/>
        <v>45.43</v>
      </c>
      <c r="D145" s="298">
        <f t="shared" si="85"/>
        <v>79983</v>
      </c>
      <c r="E145" s="296">
        <v>0</v>
      </c>
      <c r="F145" s="255">
        <f t="shared" si="86"/>
        <v>0</v>
      </c>
      <c r="G145" s="255">
        <v>0</v>
      </c>
      <c r="H145" s="249">
        <v>0</v>
      </c>
      <c r="I145" s="255">
        <v>0</v>
      </c>
      <c r="J145" s="286">
        <v>0</v>
      </c>
      <c r="K145" s="263">
        <f t="shared" si="87"/>
        <v>0</v>
      </c>
      <c r="L145" s="263">
        <v>0</v>
      </c>
      <c r="M145" s="263">
        <v>0</v>
      </c>
      <c r="N145" s="263">
        <v>0</v>
      </c>
      <c r="O145" s="311">
        <v>0</v>
      </c>
      <c r="P145" s="263">
        <f t="shared" si="88"/>
        <v>0</v>
      </c>
      <c r="Q145" s="263">
        <v>0</v>
      </c>
      <c r="R145" s="263">
        <v>0</v>
      </c>
      <c r="S145" s="263">
        <v>0</v>
      </c>
      <c r="T145" s="311">
        <v>45.43</v>
      </c>
      <c r="U145" s="263">
        <f t="shared" si="89"/>
        <v>46857</v>
      </c>
      <c r="V145" s="263">
        <v>0</v>
      </c>
      <c r="W145" s="263">
        <v>43577</v>
      </c>
      <c r="X145" s="263">
        <v>3280</v>
      </c>
      <c r="Y145" s="311">
        <v>0</v>
      </c>
      <c r="Z145" s="263">
        <f t="shared" si="90"/>
        <v>33126</v>
      </c>
      <c r="AA145" s="263">
        <v>0</v>
      </c>
      <c r="AB145" s="263">
        <v>31768</v>
      </c>
      <c r="AC145" s="263">
        <v>1358</v>
      </c>
    </row>
    <row r="146" spans="1:29" s="4" customFormat="1" ht="25.15" customHeight="1" outlineLevel="1" x14ac:dyDescent="0.2">
      <c r="A146" s="309" t="s">
        <v>55</v>
      </c>
      <c r="B146" s="340" t="s">
        <v>870</v>
      </c>
      <c r="C146" s="286">
        <f t="shared" si="84"/>
        <v>16.760000000000002</v>
      </c>
      <c r="D146" s="298">
        <f t="shared" si="85"/>
        <v>33793</v>
      </c>
      <c r="E146" s="296">
        <v>0</v>
      </c>
      <c r="F146" s="255">
        <f t="shared" si="86"/>
        <v>0</v>
      </c>
      <c r="G146" s="255">
        <v>0</v>
      </c>
      <c r="H146" s="249">
        <v>0</v>
      </c>
      <c r="I146" s="255">
        <v>0</v>
      </c>
      <c r="J146" s="286">
        <v>0</v>
      </c>
      <c r="K146" s="263">
        <f t="shared" si="87"/>
        <v>0</v>
      </c>
      <c r="L146" s="263">
        <v>0</v>
      </c>
      <c r="M146" s="263">
        <v>0</v>
      </c>
      <c r="N146" s="263">
        <v>0</v>
      </c>
      <c r="O146" s="311">
        <v>0</v>
      </c>
      <c r="P146" s="263">
        <f t="shared" si="88"/>
        <v>0</v>
      </c>
      <c r="Q146" s="263">
        <v>0</v>
      </c>
      <c r="R146" s="263">
        <v>0</v>
      </c>
      <c r="S146" s="263">
        <v>0</v>
      </c>
      <c r="T146" s="311">
        <v>16.760000000000002</v>
      </c>
      <c r="U146" s="263">
        <f t="shared" si="89"/>
        <v>21682</v>
      </c>
      <c r="V146" s="263">
        <v>0</v>
      </c>
      <c r="W146" s="263">
        <v>20164</v>
      </c>
      <c r="X146" s="263">
        <v>1518</v>
      </c>
      <c r="Y146" s="311">
        <v>0</v>
      </c>
      <c r="Z146" s="263">
        <f t="shared" si="90"/>
        <v>12111</v>
      </c>
      <c r="AA146" s="263">
        <v>0</v>
      </c>
      <c r="AB146" s="263">
        <v>11614</v>
      </c>
      <c r="AC146" s="263">
        <v>497</v>
      </c>
    </row>
    <row r="147" spans="1:29" s="4" customFormat="1" ht="30" customHeight="1" outlineLevel="1" x14ac:dyDescent="0.2">
      <c r="A147" s="309" t="s">
        <v>56</v>
      </c>
      <c r="B147" s="340" t="s">
        <v>83</v>
      </c>
      <c r="C147" s="286">
        <f t="shared" si="84"/>
        <v>126.12</v>
      </c>
      <c r="D147" s="298">
        <f t="shared" si="85"/>
        <v>227224</v>
      </c>
      <c r="E147" s="296">
        <v>0</v>
      </c>
      <c r="F147" s="255">
        <f t="shared" si="86"/>
        <v>0</v>
      </c>
      <c r="G147" s="255">
        <v>0</v>
      </c>
      <c r="H147" s="249">
        <v>0</v>
      </c>
      <c r="I147" s="255">
        <v>0</v>
      </c>
      <c r="J147" s="286">
        <v>0</v>
      </c>
      <c r="K147" s="263">
        <f t="shared" si="87"/>
        <v>0</v>
      </c>
      <c r="L147" s="263">
        <v>0</v>
      </c>
      <c r="M147" s="263">
        <v>0</v>
      </c>
      <c r="N147" s="263">
        <v>0</v>
      </c>
      <c r="O147" s="311">
        <v>0</v>
      </c>
      <c r="P147" s="263">
        <f t="shared" si="88"/>
        <v>0</v>
      </c>
      <c r="Q147" s="263">
        <v>0</v>
      </c>
      <c r="R147" s="263">
        <v>0</v>
      </c>
      <c r="S147" s="263">
        <v>0</v>
      </c>
      <c r="T147" s="311">
        <v>126.12</v>
      </c>
      <c r="U147" s="263">
        <f t="shared" si="89"/>
        <v>137899</v>
      </c>
      <c r="V147" s="263">
        <v>0</v>
      </c>
      <c r="W147" s="263">
        <v>128246</v>
      </c>
      <c r="X147" s="263">
        <v>9653</v>
      </c>
      <c r="Y147" s="311">
        <v>0</v>
      </c>
      <c r="Z147" s="263">
        <f t="shared" si="90"/>
        <v>89325</v>
      </c>
      <c r="AA147" s="263">
        <v>0</v>
      </c>
      <c r="AB147" s="263">
        <v>85663</v>
      </c>
      <c r="AC147" s="263">
        <v>3662</v>
      </c>
    </row>
    <row r="148" spans="1:29" s="4" customFormat="1" ht="48" outlineLevel="1" x14ac:dyDescent="0.2">
      <c r="A148" s="309" t="s">
        <v>57</v>
      </c>
      <c r="B148" s="340" t="s">
        <v>1412</v>
      </c>
      <c r="C148" s="286">
        <f t="shared" ref="C148:C149" si="93">E148+J148+O148+T148+Y148</f>
        <v>1.2</v>
      </c>
      <c r="D148" s="298">
        <f t="shared" ref="D148:D149" si="94">F148+K148+P148+U148+Z148</f>
        <v>8874</v>
      </c>
      <c r="E148" s="296">
        <v>1.2</v>
      </c>
      <c r="F148" s="255">
        <f t="shared" ref="F148:F149" si="95">G148+H148+I148</f>
        <v>8874</v>
      </c>
      <c r="G148" s="255">
        <v>0</v>
      </c>
      <c r="H148" s="249">
        <v>8448</v>
      </c>
      <c r="I148" s="255">
        <v>426</v>
      </c>
      <c r="J148" s="286">
        <v>0</v>
      </c>
      <c r="K148" s="263">
        <f t="shared" ref="K148:K149" si="96">SUM(L148:N148)</f>
        <v>0</v>
      </c>
      <c r="L148" s="263">
        <v>0</v>
      </c>
      <c r="M148" s="263">
        <v>0</v>
      </c>
      <c r="N148" s="263">
        <v>0</v>
      </c>
      <c r="O148" s="311">
        <v>0</v>
      </c>
      <c r="P148" s="263">
        <f t="shared" ref="P148:P149" si="97">Q148+R148+S148</f>
        <v>0</v>
      </c>
      <c r="Q148" s="263">
        <v>0</v>
      </c>
      <c r="R148" s="263">
        <v>0</v>
      </c>
      <c r="S148" s="263">
        <v>0</v>
      </c>
      <c r="T148" s="311">
        <v>0</v>
      </c>
      <c r="U148" s="263">
        <f t="shared" ref="U148:U149" si="98">V148+W148+X148</f>
        <v>0</v>
      </c>
      <c r="V148" s="263">
        <v>0</v>
      </c>
      <c r="W148" s="263">
        <v>0</v>
      </c>
      <c r="X148" s="263">
        <v>0</v>
      </c>
      <c r="Y148" s="311">
        <v>0</v>
      </c>
      <c r="Z148" s="263">
        <f t="shared" ref="Z148:Z149" si="99">AA148+AB148+AC148</f>
        <v>0</v>
      </c>
      <c r="AA148" s="263">
        <v>0</v>
      </c>
      <c r="AB148" s="263">
        <v>0</v>
      </c>
      <c r="AC148" s="263">
        <v>0</v>
      </c>
    </row>
    <row r="149" spans="1:29" s="4" customFormat="1" ht="36" outlineLevel="1" x14ac:dyDescent="0.2">
      <c r="A149" s="309" t="s">
        <v>58</v>
      </c>
      <c r="B149" s="340" t="s">
        <v>1413</v>
      </c>
      <c r="C149" s="286">
        <f t="shared" si="93"/>
        <v>0.85</v>
      </c>
      <c r="D149" s="298">
        <f t="shared" si="94"/>
        <v>18437</v>
      </c>
      <c r="E149" s="296">
        <v>0.85</v>
      </c>
      <c r="F149" s="255">
        <f t="shared" si="95"/>
        <v>18437</v>
      </c>
      <c r="G149" s="255">
        <v>0</v>
      </c>
      <c r="H149" s="249">
        <v>17552</v>
      </c>
      <c r="I149" s="255">
        <v>885</v>
      </c>
      <c r="J149" s="286">
        <v>0</v>
      </c>
      <c r="K149" s="263">
        <f t="shared" si="96"/>
        <v>0</v>
      </c>
      <c r="L149" s="263">
        <v>0</v>
      </c>
      <c r="M149" s="263">
        <v>0</v>
      </c>
      <c r="N149" s="263">
        <v>0</v>
      </c>
      <c r="O149" s="311">
        <v>0</v>
      </c>
      <c r="P149" s="263">
        <f t="shared" si="97"/>
        <v>0</v>
      </c>
      <c r="Q149" s="263">
        <v>0</v>
      </c>
      <c r="R149" s="263">
        <v>0</v>
      </c>
      <c r="S149" s="263">
        <v>0</v>
      </c>
      <c r="T149" s="311">
        <v>0</v>
      </c>
      <c r="U149" s="263">
        <f t="shared" si="98"/>
        <v>0</v>
      </c>
      <c r="V149" s="263">
        <v>0</v>
      </c>
      <c r="W149" s="263">
        <v>0</v>
      </c>
      <c r="X149" s="263">
        <v>0</v>
      </c>
      <c r="Y149" s="311">
        <v>0</v>
      </c>
      <c r="Z149" s="263">
        <f t="shared" si="99"/>
        <v>0</v>
      </c>
      <c r="AA149" s="263">
        <v>0</v>
      </c>
      <c r="AB149" s="263">
        <v>0</v>
      </c>
      <c r="AC149" s="263">
        <v>0</v>
      </c>
    </row>
    <row r="150" spans="1:29" s="4" customFormat="1" ht="104.45" customHeight="1" outlineLevel="1" x14ac:dyDescent="0.2">
      <c r="A150" s="309" t="s">
        <v>59</v>
      </c>
      <c r="B150" s="340" t="s">
        <v>78</v>
      </c>
      <c r="C150" s="286">
        <f t="shared" si="84"/>
        <v>0</v>
      </c>
      <c r="D150" s="298">
        <f>F150+K150+P150+U150+Z150</f>
        <v>9489</v>
      </c>
      <c r="E150" s="296">
        <v>0</v>
      </c>
      <c r="F150" s="255">
        <f t="shared" si="86"/>
        <v>628</v>
      </c>
      <c r="G150" s="255">
        <v>0</v>
      </c>
      <c r="H150" s="249">
        <v>0</v>
      </c>
      <c r="I150" s="249">
        <v>628</v>
      </c>
      <c r="J150" s="286">
        <v>0</v>
      </c>
      <c r="K150" s="263">
        <f t="shared" si="87"/>
        <v>0</v>
      </c>
      <c r="L150" s="263">
        <v>0</v>
      </c>
      <c r="M150" s="263">
        <v>0</v>
      </c>
      <c r="N150" s="263">
        <v>0</v>
      </c>
      <c r="O150" s="311">
        <v>0</v>
      </c>
      <c r="P150" s="263">
        <f t="shared" ref="P150" si="100">Q150+R150+S150</f>
        <v>0</v>
      </c>
      <c r="Q150" s="263">
        <v>0</v>
      </c>
      <c r="R150" s="263">
        <v>0</v>
      </c>
      <c r="S150" s="263">
        <v>0</v>
      </c>
      <c r="T150" s="311">
        <v>0</v>
      </c>
      <c r="U150" s="263">
        <f t="shared" si="89"/>
        <v>3965</v>
      </c>
      <c r="V150" s="263">
        <v>0</v>
      </c>
      <c r="W150" s="263">
        <v>0</v>
      </c>
      <c r="X150" s="263">
        <v>3965</v>
      </c>
      <c r="Y150" s="311">
        <v>0</v>
      </c>
      <c r="Z150" s="263">
        <f t="shared" si="90"/>
        <v>4896</v>
      </c>
      <c r="AA150" s="263">
        <v>0</v>
      </c>
      <c r="AB150" s="263">
        <v>0</v>
      </c>
      <c r="AC150" s="263">
        <v>4896</v>
      </c>
    </row>
    <row r="151" spans="1:29" s="4" customFormat="1" ht="37.5" customHeight="1" outlineLevel="1" x14ac:dyDescent="0.2">
      <c r="A151" s="309" t="s">
        <v>60</v>
      </c>
      <c r="B151" s="340" t="s">
        <v>1005</v>
      </c>
      <c r="C151" s="286">
        <f t="shared" ref="C151" si="101">E151+J151+O151+T151+Y151</f>
        <v>0</v>
      </c>
      <c r="D151" s="298">
        <f>F151+K151+P151+U151+Z151</f>
        <v>7088</v>
      </c>
      <c r="E151" s="296">
        <v>0</v>
      </c>
      <c r="F151" s="255">
        <f t="shared" ref="F151" si="102">G151+H151+I151</f>
        <v>2748</v>
      </c>
      <c r="G151" s="255">
        <v>0</v>
      </c>
      <c r="H151" s="249">
        <v>0</v>
      </c>
      <c r="I151" s="249">
        <v>2748</v>
      </c>
      <c r="J151" s="286">
        <v>0</v>
      </c>
      <c r="K151" s="263">
        <f t="shared" ref="K151" si="103">SUM(L151:N151)</f>
        <v>2170</v>
      </c>
      <c r="L151" s="263">
        <v>0</v>
      </c>
      <c r="M151" s="263">
        <v>0</v>
      </c>
      <c r="N151" s="263">
        <v>2170</v>
      </c>
      <c r="O151" s="311">
        <v>0</v>
      </c>
      <c r="P151" s="263">
        <f t="shared" ref="P151" si="104">Q151+R151+S151</f>
        <v>2170</v>
      </c>
      <c r="Q151" s="263">
        <v>0</v>
      </c>
      <c r="R151" s="263">
        <v>0</v>
      </c>
      <c r="S151" s="263">
        <v>2170</v>
      </c>
      <c r="T151" s="311">
        <v>0</v>
      </c>
      <c r="U151" s="263">
        <f t="shared" ref="U151" si="105">V151+W151+X151</f>
        <v>0</v>
      </c>
      <c r="V151" s="263">
        <v>0</v>
      </c>
      <c r="W151" s="263">
        <v>0</v>
      </c>
      <c r="X151" s="263">
        <v>0</v>
      </c>
      <c r="Y151" s="311">
        <v>0</v>
      </c>
      <c r="Z151" s="263">
        <f t="shared" ref="Z151" si="106">AA151+AB151+AC151</f>
        <v>0</v>
      </c>
      <c r="AA151" s="263">
        <v>0</v>
      </c>
      <c r="AB151" s="263">
        <v>0</v>
      </c>
      <c r="AC151" s="263">
        <v>0</v>
      </c>
    </row>
    <row r="152" spans="1:29" s="4" customFormat="1" ht="70.900000000000006" customHeight="1" outlineLevel="1" x14ac:dyDescent="0.2">
      <c r="A152" s="309" t="s">
        <v>61</v>
      </c>
      <c r="B152" s="340" t="s">
        <v>1007</v>
      </c>
      <c r="C152" s="286">
        <f t="shared" ref="C152:C212" si="107">E152+J152+O152+T152+Y152</f>
        <v>0</v>
      </c>
      <c r="D152" s="298">
        <f>F152+K152+P152+U152+Z152</f>
        <v>2379</v>
      </c>
      <c r="E152" s="296">
        <v>0</v>
      </c>
      <c r="F152" s="255">
        <f t="shared" ref="F152:F211" si="108">G152+H152+I152</f>
        <v>709</v>
      </c>
      <c r="G152" s="255">
        <v>0</v>
      </c>
      <c r="H152" s="249">
        <v>0</v>
      </c>
      <c r="I152" s="249">
        <v>709</v>
      </c>
      <c r="J152" s="286">
        <v>0</v>
      </c>
      <c r="K152" s="263">
        <f t="shared" ref="K152" si="109">SUM(L152:N152)</f>
        <v>835</v>
      </c>
      <c r="L152" s="263">
        <v>0</v>
      </c>
      <c r="M152" s="263">
        <v>0</v>
      </c>
      <c r="N152" s="263">
        <v>835</v>
      </c>
      <c r="O152" s="311">
        <v>0</v>
      </c>
      <c r="P152" s="263">
        <f t="shared" ref="P152" si="110">Q152+R152+S152</f>
        <v>835</v>
      </c>
      <c r="Q152" s="263">
        <v>0</v>
      </c>
      <c r="R152" s="263">
        <v>0</v>
      </c>
      <c r="S152" s="263">
        <v>835</v>
      </c>
      <c r="T152" s="311">
        <v>0</v>
      </c>
      <c r="U152" s="263">
        <f t="shared" ref="U152" si="111">V152+W152+X152</f>
        <v>0</v>
      </c>
      <c r="V152" s="263">
        <v>0</v>
      </c>
      <c r="W152" s="263">
        <v>0</v>
      </c>
      <c r="X152" s="263">
        <v>0</v>
      </c>
      <c r="Y152" s="311">
        <v>0</v>
      </c>
      <c r="Z152" s="263">
        <f t="shared" ref="Z152" si="112">AA152+AB152+AC152</f>
        <v>0</v>
      </c>
      <c r="AA152" s="263">
        <v>0</v>
      </c>
      <c r="AB152" s="263">
        <v>0</v>
      </c>
      <c r="AC152" s="263">
        <v>0</v>
      </c>
    </row>
    <row r="153" spans="1:29" s="4" customFormat="1" ht="46.9" customHeight="1" outlineLevel="1" x14ac:dyDescent="0.2">
      <c r="A153" s="309" t="s">
        <v>66</v>
      </c>
      <c r="B153" s="340" t="s">
        <v>1046</v>
      </c>
      <c r="C153" s="286">
        <f t="shared" si="107"/>
        <v>0</v>
      </c>
      <c r="D153" s="298">
        <f t="shared" ref="D153:D215" si="113">F153+K153+P153+U153+Z153</f>
        <v>202</v>
      </c>
      <c r="E153" s="296">
        <v>0</v>
      </c>
      <c r="F153" s="255">
        <f t="shared" si="108"/>
        <v>202</v>
      </c>
      <c r="G153" s="255">
        <v>0</v>
      </c>
      <c r="H153" s="249">
        <v>192</v>
      </c>
      <c r="I153" s="249">
        <v>10</v>
      </c>
      <c r="J153" s="286">
        <v>0</v>
      </c>
      <c r="K153" s="263">
        <v>0</v>
      </c>
      <c r="L153" s="263">
        <v>0</v>
      </c>
      <c r="M153" s="263">
        <v>0</v>
      </c>
      <c r="N153" s="263">
        <v>0</v>
      </c>
      <c r="O153" s="311">
        <v>0</v>
      </c>
      <c r="P153" s="263">
        <f>S153</f>
        <v>0</v>
      </c>
      <c r="Q153" s="263">
        <v>0</v>
      </c>
      <c r="R153" s="263">
        <v>0</v>
      </c>
      <c r="S153" s="263">
        <v>0</v>
      </c>
      <c r="T153" s="311">
        <v>0</v>
      </c>
      <c r="U153" s="263">
        <v>0</v>
      </c>
      <c r="V153" s="263">
        <v>0</v>
      </c>
      <c r="W153" s="263">
        <v>0</v>
      </c>
      <c r="X153" s="263">
        <v>0</v>
      </c>
      <c r="Y153" s="311">
        <v>0</v>
      </c>
      <c r="Z153" s="263">
        <v>0</v>
      </c>
      <c r="AA153" s="263">
        <v>0</v>
      </c>
      <c r="AB153" s="263">
        <v>0</v>
      </c>
      <c r="AC153" s="263">
        <v>0</v>
      </c>
    </row>
    <row r="154" spans="1:29" s="4" customFormat="1" ht="66.599999999999994" customHeight="1" outlineLevel="1" x14ac:dyDescent="0.2">
      <c r="A154" s="309" t="s">
        <v>67</v>
      </c>
      <c r="B154" s="340" t="s">
        <v>1047</v>
      </c>
      <c r="C154" s="286">
        <f t="shared" si="107"/>
        <v>0</v>
      </c>
      <c r="D154" s="298">
        <f t="shared" si="113"/>
        <v>106</v>
      </c>
      <c r="E154" s="296">
        <v>0</v>
      </c>
      <c r="F154" s="255">
        <f t="shared" si="108"/>
        <v>106</v>
      </c>
      <c r="G154" s="255">
        <v>0</v>
      </c>
      <c r="H154" s="249">
        <v>101</v>
      </c>
      <c r="I154" s="249">
        <v>5</v>
      </c>
      <c r="J154" s="286">
        <v>0</v>
      </c>
      <c r="K154" s="263">
        <v>0</v>
      </c>
      <c r="L154" s="263">
        <v>0</v>
      </c>
      <c r="M154" s="263">
        <v>0</v>
      </c>
      <c r="N154" s="263">
        <v>0</v>
      </c>
      <c r="O154" s="311">
        <v>0</v>
      </c>
      <c r="P154" s="263">
        <f t="shared" ref="P154:P215" si="114">S154</f>
        <v>0</v>
      </c>
      <c r="Q154" s="263">
        <v>0</v>
      </c>
      <c r="R154" s="263">
        <v>0</v>
      </c>
      <c r="S154" s="263">
        <v>0</v>
      </c>
      <c r="T154" s="311">
        <v>0</v>
      </c>
      <c r="U154" s="263">
        <v>0</v>
      </c>
      <c r="V154" s="263">
        <v>0</v>
      </c>
      <c r="W154" s="263">
        <v>0</v>
      </c>
      <c r="X154" s="263">
        <v>0</v>
      </c>
      <c r="Y154" s="311">
        <v>0</v>
      </c>
      <c r="Z154" s="263">
        <v>0</v>
      </c>
      <c r="AA154" s="263">
        <v>0</v>
      </c>
      <c r="AB154" s="263">
        <v>0</v>
      </c>
      <c r="AC154" s="263">
        <v>0</v>
      </c>
    </row>
    <row r="155" spans="1:29" s="4" customFormat="1" ht="73.900000000000006" customHeight="1" outlineLevel="1" x14ac:dyDescent="0.2">
      <c r="A155" s="309" t="s">
        <v>68</v>
      </c>
      <c r="B155" s="340" t="s">
        <v>1048</v>
      </c>
      <c r="C155" s="286">
        <f t="shared" si="107"/>
        <v>0</v>
      </c>
      <c r="D155" s="298">
        <f t="shared" si="113"/>
        <v>1288</v>
      </c>
      <c r="E155" s="296">
        <v>0</v>
      </c>
      <c r="F155" s="255">
        <f t="shared" si="108"/>
        <v>1288</v>
      </c>
      <c r="G155" s="255">
        <v>0</v>
      </c>
      <c r="H155" s="249">
        <v>1226</v>
      </c>
      <c r="I155" s="249">
        <v>62</v>
      </c>
      <c r="J155" s="286">
        <v>0</v>
      </c>
      <c r="K155" s="263">
        <v>0</v>
      </c>
      <c r="L155" s="263">
        <v>0</v>
      </c>
      <c r="M155" s="263">
        <v>0</v>
      </c>
      <c r="N155" s="263">
        <v>0</v>
      </c>
      <c r="O155" s="311">
        <v>0</v>
      </c>
      <c r="P155" s="263">
        <f t="shared" si="114"/>
        <v>0</v>
      </c>
      <c r="Q155" s="263">
        <v>0</v>
      </c>
      <c r="R155" s="263">
        <v>0</v>
      </c>
      <c r="S155" s="263">
        <v>0</v>
      </c>
      <c r="T155" s="311">
        <v>0</v>
      </c>
      <c r="U155" s="263">
        <v>0</v>
      </c>
      <c r="V155" s="263">
        <v>0</v>
      </c>
      <c r="W155" s="263">
        <v>0</v>
      </c>
      <c r="X155" s="263">
        <v>0</v>
      </c>
      <c r="Y155" s="311">
        <v>0</v>
      </c>
      <c r="Z155" s="263">
        <v>0</v>
      </c>
      <c r="AA155" s="263">
        <v>0</v>
      </c>
      <c r="AB155" s="263">
        <v>0</v>
      </c>
      <c r="AC155" s="263">
        <v>0</v>
      </c>
    </row>
    <row r="156" spans="1:29" s="4" customFormat="1" ht="123" customHeight="1" outlineLevel="1" x14ac:dyDescent="0.2">
      <c r="A156" s="309" t="s">
        <v>69</v>
      </c>
      <c r="B156" s="340" t="s">
        <v>1049</v>
      </c>
      <c r="C156" s="286">
        <f t="shared" si="107"/>
        <v>0</v>
      </c>
      <c r="D156" s="298">
        <f t="shared" si="113"/>
        <v>628</v>
      </c>
      <c r="E156" s="296">
        <v>0</v>
      </c>
      <c r="F156" s="255">
        <f t="shared" si="108"/>
        <v>628</v>
      </c>
      <c r="G156" s="255">
        <v>0</v>
      </c>
      <c r="H156" s="249">
        <v>598</v>
      </c>
      <c r="I156" s="249">
        <v>30</v>
      </c>
      <c r="J156" s="286">
        <v>0</v>
      </c>
      <c r="K156" s="263">
        <v>0</v>
      </c>
      <c r="L156" s="263">
        <v>0</v>
      </c>
      <c r="M156" s="263">
        <v>0</v>
      </c>
      <c r="N156" s="263">
        <v>0</v>
      </c>
      <c r="O156" s="311">
        <v>0</v>
      </c>
      <c r="P156" s="263">
        <f t="shared" si="114"/>
        <v>0</v>
      </c>
      <c r="Q156" s="263">
        <v>0</v>
      </c>
      <c r="R156" s="263">
        <v>0</v>
      </c>
      <c r="S156" s="263">
        <v>0</v>
      </c>
      <c r="T156" s="311">
        <v>0</v>
      </c>
      <c r="U156" s="263">
        <v>0</v>
      </c>
      <c r="V156" s="263">
        <v>0</v>
      </c>
      <c r="W156" s="263">
        <v>0</v>
      </c>
      <c r="X156" s="263">
        <v>0</v>
      </c>
      <c r="Y156" s="311">
        <v>0</v>
      </c>
      <c r="Z156" s="263">
        <v>0</v>
      </c>
      <c r="AA156" s="263">
        <v>0</v>
      </c>
      <c r="AB156" s="263">
        <v>0</v>
      </c>
      <c r="AC156" s="263">
        <v>0</v>
      </c>
    </row>
    <row r="157" spans="1:29" s="4" customFormat="1" ht="75" customHeight="1" outlineLevel="1" x14ac:dyDescent="0.2">
      <c r="A157" s="309" t="s">
        <v>753</v>
      </c>
      <c r="B157" s="340" t="s">
        <v>1050</v>
      </c>
      <c r="C157" s="286">
        <f t="shared" si="107"/>
        <v>0</v>
      </c>
      <c r="D157" s="298">
        <f t="shared" si="113"/>
        <v>244</v>
      </c>
      <c r="E157" s="296">
        <v>0</v>
      </c>
      <c r="F157" s="255">
        <f t="shared" si="108"/>
        <v>244</v>
      </c>
      <c r="G157" s="255">
        <v>0</v>
      </c>
      <c r="H157" s="249">
        <v>232</v>
      </c>
      <c r="I157" s="249">
        <v>12</v>
      </c>
      <c r="J157" s="286">
        <v>0</v>
      </c>
      <c r="K157" s="263">
        <v>0</v>
      </c>
      <c r="L157" s="263">
        <v>0</v>
      </c>
      <c r="M157" s="263">
        <v>0</v>
      </c>
      <c r="N157" s="263">
        <v>0</v>
      </c>
      <c r="O157" s="311">
        <v>0</v>
      </c>
      <c r="P157" s="263">
        <f t="shared" si="114"/>
        <v>0</v>
      </c>
      <c r="Q157" s="263">
        <v>0</v>
      </c>
      <c r="R157" s="263">
        <v>0</v>
      </c>
      <c r="S157" s="263">
        <v>0</v>
      </c>
      <c r="T157" s="311">
        <v>0</v>
      </c>
      <c r="U157" s="263">
        <v>0</v>
      </c>
      <c r="V157" s="263">
        <v>0</v>
      </c>
      <c r="W157" s="263">
        <v>0</v>
      </c>
      <c r="X157" s="263">
        <v>0</v>
      </c>
      <c r="Y157" s="311">
        <v>0</v>
      </c>
      <c r="Z157" s="263">
        <v>0</v>
      </c>
      <c r="AA157" s="263">
        <v>0</v>
      </c>
      <c r="AB157" s="263">
        <v>0</v>
      </c>
      <c r="AC157" s="263">
        <v>0</v>
      </c>
    </row>
    <row r="158" spans="1:29" s="4" customFormat="1" ht="70.900000000000006" customHeight="1" outlineLevel="1" x14ac:dyDescent="0.2">
      <c r="A158" s="309" t="s">
        <v>967</v>
      </c>
      <c r="B158" s="340" t="s">
        <v>1051</v>
      </c>
      <c r="C158" s="286">
        <f t="shared" si="107"/>
        <v>0</v>
      </c>
      <c r="D158" s="298">
        <f t="shared" si="113"/>
        <v>427</v>
      </c>
      <c r="E158" s="296">
        <v>0</v>
      </c>
      <c r="F158" s="255">
        <f t="shared" si="108"/>
        <v>427</v>
      </c>
      <c r="G158" s="255">
        <v>0</v>
      </c>
      <c r="H158" s="249">
        <v>407</v>
      </c>
      <c r="I158" s="249">
        <v>20</v>
      </c>
      <c r="J158" s="286">
        <v>0</v>
      </c>
      <c r="K158" s="263">
        <v>0</v>
      </c>
      <c r="L158" s="263">
        <v>0</v>
      </c>
      <c r="M158" s="263">
        <v>0</v>
      </c>
      <c r="N158" s="263">
        <v>0</v>
      </c>
      <c r="O158" s="311">
        <v>0</v>
      </c>
      <c r="P158" s="263">
        <f t="shared" si="114"/>
        <v>0</v>
      </c>
      <c r="Q158" s="263">
        <v>0</v>
      </c>
      <c r="R158" s="263">
        <v>0</v>
      </c>
      <c r="S158" s="263">
        <v>0</v>
      </c>
      <c r="T158" s="311">
        <v>0</v>
      </c>
      <c r="U158" s="263">
        <v>0</v>
      </c>
      <c r="V158" s="263">
        <v>0</v>
      </c>
      <c r="W158" s="263">
        <v>0</v>
      </c>
      <c r="X158" s="263">
        <v>0</v>
      </c>
      <c r="Y158" s="311">
        <v>0</v>
      </c>
      <c r="Z158" s="263">
        <v>0</v>
      </c>
      <c r="AA158" s="263">
        <v>0</v>
      </c>
      <c r="AB158" s="263">
        <v>0</v>
      </c>
      <c r="AC158" s="263">
        <v>0</v>
      </c>
    </row>
    <row r="159" spans="1:29" s="4" customFormat="1" ht="59.45" customHeight="1" outlineLevel="1" x14ac:dyDescent="0.2">
      <c r="A159" s="309" t="s">
        <v>968</v>
      </c>
      <c r="B159" s="340" t="s">
        <v>1052</v>
      </c>
      <c r="C159" s="286">
        <f t="shared" si="107"/>
        <v>0</v>
      </c>
      <c r="D159" s="298">
        <f t="shared" si="113"/>
        <v>20</v>
      </c>
      <c r="E159" s="296">
        <v>0</v>
      </c>
      <c r="F159" s="255">
        <f t="shared" si="108"/>
        <v>20</v>
      </c>
      <c r="G159" s="255">
        <v>0</v>
      </c>
      <c r="H159" s="249">
        <v>19</v>
      </c>
      <c r="I159" s="249">
        <v>1</v>
      </c>
      <c r="J159" s="286">
        <v>0</v>
      </c>
      <c r="K159" s="263">
        <v>0</v>
      </c>
      <c r="L159" s="263">
        <v>0</v>
      </c>
      <c r="M159" s="263">
        <v>0</v>
      </c>
      <c r="N159" s="263">
        <v>0</v>
      </c>
      <c r="O159" s="311">
        <v>0</v>
      </c>
      <c r="P159" s="263">
        <f t="shared" si="114"/>
        <v>0</v>
      </c>
      <c r="Q159" s="263">
        <v>0</v>
      </c>
      <c r="R159" s="263">
        <v>0</v>
      </c>
      <c r="S159" s="263">
        <v>0</v>
      </c>
      <c r="T159" s="311">
        <v>0</v>
      </c>
      <c r="U159" s="263">
        <v>0</v>
      </c>
      <c r="V159" s="263">
        <v>0</v>
      </c>
      <c r="W159" s="263">
        <v>0</v>
      </c>
      <c r="X159" s="263">
        <v>0</v>
      </c>
      <c r="Y159" s="311">
        <v>0</v>
      </c>
      <c r="Z159" s="263">
        <v>0</v>
      </c>
      <c r="AA159" s="263">
        <v>0</v>
      </c>
      <c r="AB159" s="263">
        <v>0</v>
      </c>
      <c r="AC159" s="263">
        <v>0</v>
      </c>
    </row>
    <row r="160" spans="1:29" s="4" customFormat="1" ht="100.9" customHeight="1" outlineLevel="1" x14ac:dyDescent="0.2">
      <c r="A160" s="309" t="s">
        <v>970</v>
      </c>
      <c r="B160" s="340" t="s">
        <v>1053</v>
      </c>
      <c r="C160" s="286">
        <f t="shared" si="107"/>
        <v>0</v>
      </c>
      <c r="D160" s="298">
        <f t="shared" si="113"/>
        <v>57</v>
      </c>
      <c r="E160" s="296">
        <v>0</v>
      </c>
      <c r="F160" s="255">
        <f t="shared" si="108"/>
        <v>57</v>
      </c>
      <c r="G160" s="255">
        <v>0</v>
      </c>
      <c r="H160" s="249">
        <v>54</v>
      </c>
      <c r="I160" s="249">
        <v>3</v>
      </c>
      <c r="J160" s="286">
        <v>0</v>
      </c>
      <c r="K160" s="263">
        <v>0</v>
      </c>
      <c r="L160" s="263">
        <v>0</v>
      </c>
      <c r="M160" s="263">
        <v>0</v>
      </c>
      <c r="N160" s="263">
        <v>0</v>
      </c>
      <c r="O160" s="311">
        <v>0</v>
      </c>
      <c r="P160" s="263">
        <f t="shared" si="114"/>
        <v>0</v>
      </c>
      <c r="Q160" s="263">
        <v>0</v>
      </c>
      <c r="R160" s="263">
        <v>0</v>
      </c>
      <c r="S160" s="263">
        <v>0</v>
      </c>
      <c r="T160" s="311">
        <v>0</v>
      </c>
      <c r="U160" s="263">
        <v>0</v>
      </c>
      <c r="V160" s="263">
        <v>0</v>
      </c>
      <c r="W160" s="263">
        <v>0</v>
      </c>
      <c r="X160" s="263">
        <v>0</v>
      </c>
      <c r="Y160" s="311">
        <v>0</v>
      </c>
      <c r="Z160" s="263">
        <v>0</v>
      </c>
      <c r="AA160" s="263">
        <v>0</v>
      </c>
      <c r="AB160" s="263">
        <v>0</v>
      </c>
      <c r="AC160" s="263">
        <v>0</v>
      </c>
    </row>
    <row r="161" spans="1:29" s="4" customFormat="1" ht="51" customHeight="1" outlineLevel="1" x14ac:dyDescent="0.2">
      <c r="A161" s="309" t="s">
        <v>971</v>
      </c>
      <c r="B161" s="340" t="s">
        <v>1054</v>
      </c>
      <c r="C161" s="286">
        <f t="shared" si="107"/>
        <v>0</v>
      </c>
      <c r="D161" s="298">
        <f t="shared" si="113"/>
        <v>33</v>
      </c>
      <c r="E161" s="296">
        <v>0</v>
      </c>
      <c r="F161" s="255">
        <f t="shared" si="108"/>
        <v>33</v>
      </c>
      <c r="G161" s="255">
        <v>0</v>
      </c>
      <c r="H161" s="249">
        <v>31</v>
      </c>
      <c r="I161" s="249">
        <v>2</v>
      </c>
      <c r="J161" s="286">
        <v>0</v>
      </c>
      <c r="K161" s="263">
        <v>0</v>
      </c>
      <c r="L161" s="263">
        <v>0</v>
      </c>
      <c r="M161" s="263">
        <v>0</v>
      </c>
      <c r="N161" s="263">
        <v>0</v>
      </c>
      <c r="O161" s="311">
        <v>0</v>
      </c>
      <c r="P161" s="263">
        <f t="shared" si="114"/>
        <v>0</v>
      </c>
      <c r="Q161" s="263">
        <v>0</v>
      </c>
      <c r="R161" s="263">
        <v>0</v>
      </c>
      <c r="S161" s="263">
        <v>0</v>
      </c>
      <c r="T161" s="311">
        <v>0</v>
      </c>
      <c r="U161" s="263">
        <v>0</v>
      </c>
      <c r="V161" s="263">
        <v>0</v>
      </c>
      <c r="W161" s="263">
        <v>0</v>
      </c>
      <c r="X161" s="263">
        <v>0</v>
      </c>
      <c r="Y161" s="311">
        <v>0</v>
      </c>
      <c r="Z161" s="263">
        <v>0</v>
      </c>
      <c r="AA161" s="263">
        <v>0</v>
      </c>
      <c r="AB161" s="263">
        <v>0</v>
      </c>
      <c r="AC161" s="263">
        <v>0</v>
      </c>
    </row>
    <row r="162" spans="1:29" s="4" customFormat="1" ht="78" customHeight="1" outlineLevel="1" x14ac:dyDescent="0.2">
      <c r="A162" s="309" t="s">
        <v>1004</v>
      </c>
      <c r="B162" s="340" t="s">
        <v>1055</v>
      </c>
      <c r="C162" s="286">
        <f t="shared" si="107"/>
        <v>0</v>
      </c>
      <c r="D162" s="298">
        <f t="shared" si="113"/>
        <v>630</v>
      </c>
      <c r="E162" s="296">
        <v>0</v>
      </c>
      <c r="F162" s="255">
        <f t="shared" si="108"/>
        <v>630</v>
      </c>
      <c r="G162" s="255">
        <v>0</v>
      </c>
      <c r="H162" s="249">
        <v>600</v>
      </c>
      <c r="I162" s="249">
        <v>30</v>
      </c>
      <c r="J162" s="286">
        <v>0</v>
      </c>
      <c r="K162" s="263">
        <v>0</v>
      </c>
      <c r="L162" s="263">
        <v>0</v>
      </c>
      <c r="M162" s="263">
        <v>0</v>
      </c>
      <c r="N162" s="263">
        <v>0</v>
      </c>
      <c r="O162" s="311">
        <v>0</v>
      </c>
      <c r="P162" s="263">
        <f t="shared" si="114"/>
        <v>0</v>
      </c>
      <c r="Q162" s="263">
        <v>0</v>
      </c>
      <c r="R162" s="263">
        <v>0</v>
      </c>
      <c r="S162" s="263">
        <v>0</v>
      </c>
      <c r="T162" s="311">
        <v>0</v>
      </c>
      <c r="U162" s="263">
        <v>0</v>
      </c>
      <c r="V162" s="263">
        <v>0</v>
      </c>
      <c r="W162" s="263">
        <v>0</v>
      </c>
      <c r="X162" s="263">
        <v>0</v>
      </c>
      <c r="Y162" s="311">
        <v>0</v>
      </c>
      <c r="Z162" s="263">
        <v>0</v>
      </c>
      <c r="AA162" s="263">
        <v>0</v>
      </c>
      <c r="AB162" s="263">
        <v>0</v>
      </c>
      <c r="AC162" s="263">
        <v>0</v>
      </c>
    </row>
    <row r="163" spans="1:29" s="4" customFormat="1" ht="46.9" customHeight="1" outlineLevel="1" x14ac:dyDescent="0.2">
      <c r="A163" s="309" t="s">
        <v>1006</v>
      </c>
      <c r="B163" s="340" t="s">
        <v>1056</v>
      </c>
      <c r="C163" s="286">
        <f t="shared" si="107"/>
        <v>0</v>
      </c>
      <c r="D163" s="298">
        <f t="shared" si="113"/>
        <v>139</v>
      </c>
      <c r="E163" s="296">
        <v>0</v>
      </c>
      <c r="F163" s="255">
        <f t="shared" si="108"/>
        <v>139</v>
      </c>
      <c r="G163" s="255">
        <v>0</v>
      </c>
      <c r="H163" s="249">
        <v>132</v>
      </c>
      <c r="I163" s="249">
        <v>7</v>
      </c>
      <c r="J163" s="286">
        <v>0</v>
      </c>
      <c r="K163" s="263">
        <v>0</v>
      </c>
      <c r="L163" s="263">
        <v>0</v>
      </c>
      <c r="M163" s="263">
        <v>0</v>
      </c>
      <c r="N163" s="263">
        <v>0</v>
      </c>
      <c r="O163" s="311">
        <v>0</v>
      </c>
      <c r="P163" s="263">
        <f t="shared" si="114"/>
        <v>0</v>
      </c>
      <c r="Q163" s="263">
        <v>0</v>
      </c>
      <c r="R163" s="263">
        <v>0</v>
      </c>
      <c r="S163" s="263">
        <v>0</v>
      </c>
      <c r="T163" s="311">
        <v>0</v>
      </c>
      <c r="U163" s="263">
        <v>0</v>
      </c>
      <c r="V163" s="263">
        <v>0</v>
      </c>
      <c r="W163" s="263">
        <v>0</v>
      </c>
      <c r="X163" s="263">
        <v>0</v>
      </c>
      <c r="Y163" s="311">
        <v>0</v>
      </c>
      <c r="Z163" s="263">
        <v>0</v>
      </c>
      <c r="AA163" s="263">
        <v>0</v>
      </c>
      <c r="AB163" s="263">
        <v>0</v>
      </c>
      <c r="AC163" s="263">
        <v>0</v>
      </c>
    </row>
    <row r="164" spans="1:29" s="4" customFormat="1" ht="58.9" customHeight="1" outlineLevel="1" x14ac:dyDescent="0.2">
      <c r="A164" s="309" t="s">
        <v>1008</v>
      </c>
      <c r="B164" s="340" t="s">
        <v>1057</v>
      </c>
      <c r="C164" s="286">
        <f t="shared" si="107"/>
        <v>0</v>
      </c>
      <c r="D164" s="298">
        <f t="shared" si="113"/>
        <v>188</v>
      </c>
      <c r="E164" s="296">
        <v>0</v>
      </c>
      <c r="F164" s="255">
        <f t="shared" si="108"/>
        <v>188</v>
      </c>
      <c r="G164" s="255">
        <v>0</v>
      </c>
      <c r="H164" s="249">
        <v>179</v>
      </c>
      <c r="I164" s="249">
        <v>9</v>
      </c>
      <c r="J164" s="286">
        <v>0</v>
      </c>
      <c r="K164" s="263">
        <v>0</v>
      </c>
      <c r="L164" s="263">
        <v>0</v>
      </c>
      <c r="M164" s="263">
        <v>0</v>
      </c>
      <c r="N164" s="263">
        <v>0</v>
      </c>
      <c r="O164" s="311">
        <v>0</v>
      </c>
      <c r="P164" s="263">
        <f t="shared" si="114"/>
        <v>0</v>
      </c>
      <c r="Q164" s="263">
        <v>0</v>
      </c>
      <c r="R164" s="263">
        <v>0</v>
      </c>
      <c r="S164" s="263">
        <v>0</v>
      </c>
      <c r="T164" s="311">
        <v>0</v>
      </c>
      <c r="U164" s="263">
        <v>0</v>
      </c>
      <c r="V164" s="263">
        <v>0</v>
      </c>
      <c r="W164" s="263">
        <v>0</v>
      </c>
      <c r="X164" s="263">
        <v>0</v>
      </c>
      <c r="Y164" s="311">
        <v>0</v>
      </c>
      <c r="Z164" s="263">
        <v>0</v>
      </c>
      <c r="AA164" s="263">
        <v>0</v>
      </c>
      <c r="AB164" s="263">
        <v>0</v>
      </c>
      <c r="AC164" s="263">
        <v>0</v>
      </c>
    </row>
    <row r="165" spans="1:29" s="4" customFormat="1" ht="63.6" customHeight="1" outlineLevel="1" x14ac:dyDescent="0.2">
      <c r="A165" s="309" t="s">
        <v>1105</v>
      </c>
      <c r="B165" s="340" t="s">
        <v>1058</v>
      </c>
      <c r="C165" s="286">
        <f t="shared" si="107"/>
        <v>0</v>
      </c>
      <c r="D165" s="298">
        <f t="shared" si="113"/>
        <v>415</v>
      </c>
      <c r="E165" s="296">
        <v>0</v>
      </c>
      <c r="F165" s="255">
        <f t="shared" si="108"/>
        <v>415</v>
      </c>
      <c r="G165" s="255">
        <v>0</v>
      </c>
      <c r="H165" s="249">
        <v>395</v>
      </c>
      <c r="I165" s="249">
        <v>20</v>
      </c>
      <c r="J165" s="286">
        <v>0</v>
      </c>
      <c r="K165" s="263">
        <v>0</v>
      </c>
      <c r="L165" s="263">
        <v>0</v>
      </c>
      <c r="M165" s="263">
        <v>0</v>
      </c>
      <c r="N165" s="263">
        <v>0</v>
      </c>
      <c r="O165" s="311">
        <v>0</v>
      </c>
      <c r="P165" s="263">
        <f t="shared" si="114"/>
        <v>0</v>
      </c>
      <c r="Q165" s="263">
        <v>0</v>
      </c>
      <c r="R165" s="263">
        <v>0</v>
      </c>
      <c r="S165" s="263">
        <v>0</v>
      </c>
      <c r="T165" s="311">
        <v>0</v>
      </c>
      <c r="U165" s="263">
        <v>0</v>
      </c>
      <c r="V165" s="263">
        <v>0</v>
      </c>
      <c r="W165" s="263">
        <v>0</v>
      </c>
      <c r="X165" s="263">
        <v>0</v>
      </c>
      <c r="Y165" s="311">
        <v>0</v>
      </c>
      <c r="Z165" s="263">
        <v>0</v>
      </c>
      <c r="AA165" s="263">
        <v>0</v>
      </c>
      <c r="AB165" s="263">
        <v>0</v>
      </c>
      <c r="AC165" s="263">
        <v>0</v>
      </c>
    </row>
    <row r="166" spans="1:29" s="4" customFormat="1" ht="75" customHeight="1" outlineLevel="1" x14ac:dyDescent="0.2">
      <c r="A166" s="309" t="s">
        <v>1106</v>
      </c>
      <c r="B166" s="340" t="s">
        <v>1059</v>
      </c>
      <c r="C166" s="286">
        <f t="shared" si="107"/>
        <v>0</v>
      </c>
      <c r="D166" s="298">
        <f t="shared" si="113"/>
        <v>125</v>
      </c>
      <c r="E166" s="296">
        <v>0</v>
      </c>
      <c r="F166" s="255">
        <f t="shared" si="108"/>
        <v>125</v>
      </c>
      <c r="G166" s="255">
        <v>0</v>
      </c>
      <c r="H166" s="249">
        <v>119</v>
      </c>
      <c r="I166" s="249">
        <v>6</v>
      </c>
      <c r="J166" s="286">
        <v>0</v>
      </c>
      <c r="K166" s="263">
        <v>0</v>
      </c>
      <c r="L166" s="263">
        <v>0</v>
      </c>
      <c r="M166" s="263">
        <v>0</v>
      </c>
      <c r="N166" s="263">
        <v>0</v>
      </c>
      <c r="O166" s="311">
        <v>0</v>
      </c>
      <c r="P166" s="263">
        <f t="shared" si="114"/>
        <v>0</v>
      </c>
      <c r="Q166" s="263">
        <v>0</v>
      </c>
      <c r="R166" s="263">
        <v>0</v>
      </c>
      <c r="S166" s="263">
        <v>0</v>
      </c>
      <c r="T166" s="311">
        <v>0</v>
      </c>
      <c r="U166" s="263">
        <v>0</v>
      </c>
      <c r="V166" s="263">
        <v>0</v>
      </c>
      <c r="W166" s="263">
        <v>0</v>
      </c>
      <c r="X166" s="263">
        <v>0</v>
      </c>
      <c r="Y166" s="311">
        <v>0</v>
      </c>
      <c r="Z166" s="263">
        <v>0</v>
      </c>
      <c r="AA166" s="263">
        <v>0</v>
      </c>
      <c r="AB166" s="263">
        <v>0</v>
      </c>
      <c r="AC166" s="263">
        <v>0</v>
      </c>
    </row>
    <row r="167" spans="1:29" s="4" customFormat="1" ht="69" customHeight="1" outlineLevel="1" x14ac:dyDescent="0.2">
      <c r="A167" s="309" t="s">
        <v>1107</v>
      </c>
      <c r="B167" s="340" t="s">
        <v>1060</v>
      </c>
      <c r="C167" s="286">
        <f t="shared" si="107"/>
        <v>0</v>
      </c>
      <c r="D167" s="298">
        <f t="shared" si="113"/>
        <v>230</v>
      </c>
      <c r="E167" s="296">
        <v>0</v>
      </c>
      <c r="F167" s="255">
        <f t="shared" si="108"/>
        <v>230</v>
      </c>
      <c r="G167" s="255">
        <v>0</v>
      </c>
      <c r="H167" s="249">
        <v>219</v>
      </c>
      <c r="I167" s="249">
        <v>11</v>
      </c>
      <c r="J167" s="286">
        <v>0</v>
      </c>
      <c r="K167" s="263">
        <v>0</v>
      </c>
      <c r="L167" s="263">
        <v>0</v>
      </c>
      <c r="M167" s="263">
        <v>0</v>
      </c>
      <c r="N167" s="263">
        <v>0</v>
      </c>
      <c r="O167" s="311">
        <v>0</v>
      </c>
      <c r="P167" s="263">
        <f t="shared" si="114"/>
        <v>0</v>
      </c>
      <c r="Q167" s="263">
        <v>0</v>
      </c>
      <c r="R167" s="263">
        <v>0</v>
      </c>
      <c r="S167" s="263">
        <v>0</v>
      </c>
      <c r="T167" s="311">
        <v>0</v>
      </c>
      <c r="U167" s="263">
        <v>0</v>
      </c>
      <c r="V167" s="263">
        <v>0</v>
      </c>
      <c r="W167" s="263">
        <v>0</v>
      </c>
      <c r="X167" s="263">
        <v>0</v>
      </c>
      <c r="Y167" s="311">
        <v>0</v>
      </c>
      <c r="Z167" s="263">
        <v>0</v>
      </c>
      <c r="AA167" s="263">
        <v>0</v>
      </c>
      <c r="AB167" s="263">
        <v>0</v>
      </c>
      <c r="AC167" s="263">
        <v>0</v>
      </c>
    </row>
    <row r="168" spans="1:29" s="4" customFormat="1" ht="73.900000000000006" customHeight="1" outlineLevel="1" x14ac:dyDescent="0.2">
      <c r="A168" s="309" t="s">
        <v>1108</v>
      </c>
      <c r="B168" s="340" t="s">
        <v>1061</v>
      </c>
      <c r="C168" s="286">
        <f t="shared" si="107"/>
        <v>0</v>
      </c>
      <c r="D168" s="298">
        <f t="shared" si="113"/>
        <v>532</v>
      </c>
      <c r="E168" s="296">
        <v>0</v>
      </c>
      <c r="F168" s="255">
        <f t="shared" si="108"/>
        <v>532</v>
      </c>
      <c r="G168" s="255">
        <v>0</v>
      </c>
      <c r="H168" s="249">
        <v>507</v>
      </c>
      <c r="I168" s="249">
        <v>25</v>
      </c>
      <c r="J168" s="286">
        <v>0</v>
      </c>
      <c r="K168" s="263">
        <v>0</v>
      </c>
      <c r="L168" s="263">
        <v>0</v>
      </c>
      <c r="M168" s="263">
        <v>0</v>
      </c>
      <c r="N168" s="263">
        <v>0</v>
      </c>
      <c r="O168" s="311">
        <v>0</v>
      </c>
      <c r="P168" s="263">
        <f t="shared" si="114"/>
        <v>0</v>
      </c>
      <c r="Q168" s="263">
        <v>0</v>
      </c>
      <c r="R168" s="263">
        <v>0</v>
      </c>
      <c r="S168" s="263">
        <v>0</v>
      </c>
      <c r="T168" s="311">
        <v>0</v>
      </c>
      <c r="U168" s="263">
        <v>0</v>
      </c>
      <c r="V168" s="263">
        <v>0</v>
      </c>
      <c r="W168" s="263">
        <v>0</v>
      </c>
      <c r="X168" s="263">
        <v>0</v>
      </c>
      <c r="Y168" s="311">
        <v>0</v>
      </c>
      <c r="Z168" s="263">
        <v>0</v>
      </c>
      <c r="AA168" s="263">
        <v>0</v>
      </c>
      <c r="AB168" s="263">
        <v>0</v>
      </c>
      <c r="AC168" s="263">
        <v>0</v>
      </c>
    </row>
    <row r="169" spans="1:29" s="4" customFormat="1" ht="75" customHeight="1" outlineLevel="1" x14ac:dyDescent="0.2">
      <c r="A169" s="309" t="s">
        <v>1109</v>
      </c>
      <c r="B169" s="340" t="s">
        <v>1062</v>
      </c>
      <c r="C169" s="286">
        <f t="shared" si="107"/>
        <v>0</v>
      </c>
      <c r="D169" s="298">
        <f t="shared" si="113"/>
        <v>1055</v>
      </c>
      <c r="E169" s="296">
        <v>0</v>
      </c>
      <c r="F169" s="255">
        <f t="shared" si="108"/>
        <v>1055</v>
      </c>
      <c r="G169" s="255">
        <v>0</v>
      </c>
      <c r="H169" s="249">
        <v>1005</v>
      </c>
      <c r="I169" s="249">
        <v>50</v>
      </c>
      <c r="J169" s="286">
        <v>0</v>
      </c>
      <c r="K169" s="263">
        <v>0</v>
      </c>
      <c r="L169" s="263">
        <v>0</v>
      </c>
      <c r="M169" s="263">
        <v>0</v>
      </c>
      <c r="N169" s="263">
        <v>0</v>
      </c>
      <c r="O169" s="311">
        <v>0</v>
      </c>
      <c r="P169" s="263">
        <f t="shared" si="114"/>
        <v>0</v>
      </c>
      <c r="Q169" s="263">
        <v>0</v>
      </c>
      <c r="R169" s="263">
        <v>0</v>
      </c>
      <c r="S169" s="263">
        <v>0</v>
      </c>
      <c r="T169" s="311">
        <v>0</v>
      </c>
      <c r="U169" s="263">
        <v>0</v>
      </c>
      <c r="V169" s="263">
        <v>0</v>
      </c>
      <c r="W169" s="263">
        <v>0</v>
      </c>
      <c r="X169" s="263">
        <v>0</v>
      </c>
      <c r="Y169" s="311">
        <v>0</v>
      </c>
      <c r="Z169" s="263">
        <v>0</v>
      </c>
      <c r="AA169" s="263">
        <v>0</v>
      </c>
      <c r="AB169" s="263">
        <v>0</v>
      </c>
      <c r="AC169" s="263">
        <v>0</v>
      </c>
    </row>
    <row r="170" spans="1:29" s="4" customFormat="1" ht="75" customHeight="1" outlineLevel="1" x14ac:dyDescent="0.2">
      <c r="A170" s="309" t="s">
        <v>1110</v>
      </c>
      <c r="B170" s="340" t="s">
        <v>1063</v>
      </c>
      <c r="C170" s="286">
        <f t="shared" si="107"/>
        <v>0</v>
      </c>
      <c r="D170" s="298">
        <f t="shared" si="113"/>
        <v>385</v>
      </c>
      <c r="E170" s="296">
        <v>0</v>
      </c>
      <c r="F170" s="255">
        <f t="shared" si="108"/>
        <v>385</v>
      </c>
      <c r="G170" s="255">
        <v>0</v>
      </c>
      <c r="H170" s="249">
        <v>367</v>
      </c>
      <c r="I170" s="249">
        <v>18</v>
      </c>
      <c r="J170" s="286">
        <v>0</v>
      </c>
      <c r="K170" s="263">
        <v>0</v>
      </c>
      <c r="L170" s="263">
        <v>0</v>
      </c>
      <c r="M170" s="263">
        <v>0</v>
      </c>
      <c r="N170" s="263">
        <v>0</v>
      </c>
      <c r="O170" s="311">
        <v>0</v>
      </c>
      <c r="P170" s="263">
        <f t="shared" si="114"/>
        <v>0</v>
      </c>
      <c r="Q170" s="263">
        <v>0</v>
      </c>
      <c r="R170" s="263">
        <v>0</v>
      </c>
      <c r="S170" s="263">
        <v>0</v>
      </c>
      <c r="T170" s="311">
        <v>0</v>
      </c>
      <c r="U170" s="263">
        <v>0</v>
      </c>
      <c r="V170" s="263">
        <v>0</v>
      </c>
      <c r="W170" s="263">
        <v>0</v>
      </c>
      <c r="X170" s="263">
        <v>0</v>
      </c>
      <c r="Y170" s="311">
        <v>0</v>
      </c>
      <c r="Z170" s="263">
        <v>0</v>
      </c>
      <c r="AA170" s="263">
        <v>0</v>
      </c>
      <c r="AB170" s="263">
        <v>0</v>
      </c>
      <c r="AC170" s="263">
        <v>0</v>
      </c>
    </row>
    <row r="171" spans="1:29" s="4" customFormat="1" ht="73.900000000000006" customHeight="1" outlineLevel="1" x14ac:dyDescent="0.2">
      <c r="A171" s="309" t="s">
        <v>1111</v>
      </c>
      <c r="B171" s="340" t="s">
        <v>1064</v>
      </c>
      <c r="C171" s="286">
        <f t="shared" si="107"/>
        <v>0</v>
      </c>
      <c r="D171" s="298">
        <f t="shared" si="113"/>
        <v>94</v>
      </c>
      <c r="E171" s="296">
        <v>0</v>
      </c>
      <c r="F171" s="255">
        <f t="shared" si="108"/>
        <v>94</v>
      </c>
      <c r="G171" s="255">
        <v>0</v>
      </c>
      <c r="H171" s="249">
        <v>90</v>
      </c>
      <c r="I171" s="249">
        <v>4</v>
      </c>
      <c r="J171" s="286">
        <v>0</v>
      </c>
      <c r="K171" s="263">
        <v>0</v>
      </c>
      <c r="L171" s="263">
        <v>0</v>
      </c>
      <c r="M171" s="263">
        <v>0</v>
      </c>
      <c r="N171" s="263">
        <v>0</v>
      </c>
      <c r="O171" s="311">
        <v>0</v>
      </c>
      <c r="P171" s="263">
        <f t="shared" si="114"/>
        <v>0</v>
      </c>
      <c r="Q171" s="263">
        <v>0</v>
      </c>
      <c r="R171" s="263">
        <v>0</v>
      </c>
      <c r="S171" s="263">
        <v>0</v>
      </c>
      <c r="T171" s="311">
        <v>0</v>
      </c>
      <c r="U171" s="263">
        <v>0</v>
      </c>
      <c r="V171" s="263">
        <v>0</v>
      </c>
      <c r="W171" s="263">
        <v>0</v>
      </c>
      <c r="X171" s="263">
        <v>0</v>
      </c>
      <c r="Y171" s="311">
        <v>0</v>
      </c>
      <c r="Z171" s="263">
        <v>0</v>
      </c>
      <c r="AA171" s="263">
        <v>0</v>
      </c>
      <c r="AB171" s="263">
        <v>0</v>
      </c>
      <c r="AC171" s="263">
        <v>0</v>
      </c>
    </row>
    <row r="172" spans="1:29" s="4" customFormat="1" ht="68.45" customHeight="1" outlineLevel="1" x14ac:dyDescent="0.2">
      <c r="A172" s="309" t="s">
        <v>1112</v>
      </c>
      <c r="B172" s="340" t="s">
        <v>1065</v>
      </c>
      <c r="C172" s="286">
        <f t="shared" si="107"/>
        <v>0</v>
      </c>
      <c r="D172" s="298">
        <f t="shared" si="113"/>
        <v>41</v>
      </c>
      <c r="E172" s="296">
        <v>0</v>
      </c>
      <c r="F172" s="255">
        <f t="shared" si="108"/>
        <v>41</v>
      </c>
      <c r="G172" s="255">
        <v>0</v>
      </c>
      <c r="H172" s="249">
        <v>39</v>
      </c>
      <c r="I172" s="249">
        <v>2</v>
      </c>
      <c r="J172" s="286">
        <v>0</v>
      </c>
      <c r="K172" s="263">
        <v>0</v>
      </c>
      <c r="L172" s="263">
        <v>0</v>
      </c>
      <c r="M172" s="263">
        <v>0</v>
      </c>
      <c r="N172" s="263">
        <v>0</v>
      </c>
      <c r="O172" s="311">
        <v>0</v>
      </c>
      <c r="P172" s="263">
        <f t="shared" si="114"/>
        <v>0</v>
      </c>
      <c r="Q172" s="263">
        <v>0</v>
      </c>
      <c r="R172" s="263">
        <v>0</v>
      </c>
      <c r="S172" s="263">
        <v>0</v>
      </c>
      <c r="T172" s="311">
        <v>0</v>
      </c>
      <c r="U172" s="263">
        <v>0</v>
      </c>
      <c r="V172" s="263">
        <v>0</v>
      </c>
      <c r="W172" s="263">
        <v>0</v>
      </c>
      <c r="X172" s="263">
        <v>0</v>
      </c>
      <c r="Y172" s="311">
        <v>0</v>
      </c>
      <c r="Z172" s="263">
        <v>0</v>
      </c>
      <c r="AA172" s="263">
        <v>0</v>
      </c>
      <c r="AB172" s="263">
        <v>0</v>
      </c>
      <c r="AC172" s="263">
        <v>0</v>
      </c>
    </row>
    <row r="173" spans="1:29" s="4" customFormat="1" ht="66" customHeight="1" outlineLevel="1" x14ac:dyDescent="0.2">
      <c r="A173" s="309" t="s">
        <v>1113</v>
      </c>
      <c r="B173" s="340" t="s">
        <v>1066</v>
      </c>
      <c r="C173" s="286">
        <f t="shared" si="107"/>
        <v>0</v>
      </c>
      <c r="D173" s="298">
        <f t="shared" si="113"/>
        <v>95</v>
      </c>
      <c r="E173" s="296">
        <v>0</v>
      </c>
      <c r="F173" s="255">
        <f t="shared" si="108"/>
        <v>95</v>
      </c>
      <c r="G173" s="255">
        <v>0</v>
      </c>
      <c r="H173" s="249">
        <v>90</v>
      </c>
      <c r="I173" s="249">
        <v>5</v>
      </c>
      <c r="J173" s="286">
        <v>0</v>
      </c>
      <c r="K173" s="263">
        <v>0</v>
      </c>
      <c r="L173" s="263">
        <v>0</v>
      </c>
      <c r="M173" s="263">
        <v>0</v>
      </c>
      <c r="N173" s="263">
        <v>0</v>
      </c>
      <c r="O173" s="311">
        <v>0</v>
      </c>
      <c r="P173" s="263">
        <f t="shared" si="114"/>
        <v>0</v>
      </c>
      <c r="Q173" s="263">
        <v>0</v>
      </c>
      <c r="R173" s="263">
        <v>0</v>
      </c>
      <c r="S173" s="263">
        <v>0</v>
      </c>
      <c r="T173" s="311">
        <v>0</v>
      </c>
      <c r="U173" s="263">
        <v>0</v>
      </c>
      <c r="V173" s="263">
        <v>0</v>
      </c>
      <c r="W173" s="263">
        <v>0</v>
      </c>
      <c r="X173" s="263">
        <v>0</v>
      </c>
      <c r="Y173" s="311">
        <v>0</v>
      </c>
      <c r="Z173" s="263">
        <v>0</v>
      </c>
      <c r="AA173" s="263">
        <v>0</v>
      </c>
      <c r="AB173" s="263">
        <v>0</v>
      </c>
      <c r="AC173" s="263">
        <v>0</v>
      </c>
    </row>
    <row r="174" spans="1:29" s="4" customFormat="1" ht="75" customHeight="1" outlineLevel="1" x14ac:dyDescent="0.2">
      <c r="A174" s="309" t="s">
        <v>1114</v>
      </c>
      <c r="B174" s="340" t="s">
        <v>1067</v>
      </c>
      <c r="C174" s="286">
        <f t="shared" si="107"/>
        <v>0</v>
      </c>
      <c r="D174" s="298">
        <f t="shared" si="113"/>
        <v>1766</v>
      </c>
      <c r="E174" s="296">
        <v>0</v>
      </c>
      <c r="F174" s="255">
        <f t="shared" si="108"/>
        <v>1766</v>
      </c>
      <c r="G174" s="255">
        <v>0</v>
      </c>
      <c r="H174" s="249">
        <v>1681</v>
      </c>
      <c r="I174" s="249">
        <v>85</v>
      </c>
      <c r="J174" s="286">
        <v>0</v>
      </c>
      <c r="K174" s="263">
        <v>0</v>
      </c>
      <c r="L174" s="263">
        <v>0</v>
      </c>
      <c r="M174" s="263">
        <v>0</v>
      </c>
      <c r="N174" s="263">
        <v>0</v>
      </c>
      <c r="O174" s="311">
        <v>0</v>
      </c>
      <c r="P174" s="263">
        <f t="shared" si="114"/>
        <v>0</v>
      </c>
      <c r="Q174" s="263">
        <v>0</v>
      </c>
      <c r="R174" s="263">
        <v>0</v>
      </c>
      <c r="S174" s="263">
        <v>0</v>
      </c>
      <c r="T174" s="311">
        <v>0</v>
      </c>
      <c r="U174" s="263">
        <v>0</v>
      </c>
      <c r="V174" s="263">
        <v>0</v>
      </c>
      <c r="W174" s="263">
        <v>0</v>
      </c>
      <c r="X174" s="263">
        <v>0</v>
      </c>
      <c r="Y174" s="311">
        <v>0</v>
      </c>
      <c r="Z174" s="263">
        <v>0</v>
      </c>
      <c r="AA174" s="263">
        <v>0</v>
      </c>
      <c r="AB174" s="263">
        <v>0</v>
      </c>
      <c r="AC174" s="263">
        <v>0</v>
      </c>
    </row>
    <row r="175" spans="1:29" s="4" customFormat="1" ht="70.900000000000006" customHeight="1" outlineLevel="1" x14ac:dyDescent="0.2">
      <c r="A175" s="309" t="s">
        <v>1115</v>
      </c>
      <c r="B175" s="340" t="s">
        <v>1068</v>
      </c>
      <c r="C175" s="286">
        <f t="shared" si="107"/>
        <v>0</v>
      </c>
      <c r="D175" s="298">
        <f t="shared" si="113"/>
        <v>342</v>
      </c>
      <c r="E175" s="296">
        <v>0</v>
      </c>
      <c r="F175" s="255">
        <f t="shared" si="108"/>
        <v>342</v>
      </c>
      <c r="G175" s="255">
        <v>0</v>
      </c>
      <c r="H175" s="249">
        <v>326</v>
      </c>
      <c r="I175" s="249">
        <v>16</v>
      </c>
      <c r="J175" s="286">
        <v>0</v>
      </c>
      <c r="K175" s="263">
        <v>0</v>
      </c>
      <c r="L175" s="263">
        <v>0</v>
      </c>
      <c r="M175" s="263">
        <v>0</v>
      </c>
      <c r="N175" s="263">
        <v>0</v>
      </c>
      <c r="O175" s="311">
        <v>0</v>
      </c>
      <c r="P175" s="263">
        <f t="shared" si="114"/>
        <v>0</v>
      </c>
      <c r="Q175" s="263">
        <v>0</v>
      </c>
      <c r="R175" s="263">
        <v>0</v>
      </c>
      <c r="S175" s="263">
        <v>0</v>
      </c>
      <c r="T175" s="311">
        <v>0</v>
      </c>
      <c r="U175" s="263">
        <v>0</v>
      </c>
      <c r="V175" s="263">
        <v>0</v>
      </c>
      <c r="W175" s="263">
        <v>0</v>
      </c>
      <c r="X175" s="263">
        <v>0</v>
      </c>
      <c r="Y175" s="311">
        <v>0</v>
      </c>
      <c r="Z175" s="263">
        <v>0</v>
      </c>
      <c r="AA175" s="263">
        <v>0</v>
      </c>
      <c r="AB175" s="263">
        <v>0</v>
      </c>
      <c r="AC175" s="263">
        <v>0</v>
      </c>
    </row>
    <row r="176" spans="1:29" s="4" customFormat="1" ht="51" customHeight="1" outlineLevel="1" x14ac:dyDescent="0.2">
      <c r="A176" s="309" t="s">
        <v>1116</v>
      </c>
      <c r="B176" s="340" t="s">
        <v>1069</v>
      </c>
      <c r="C176" s="286">
        <f t="shared" si="107"/>
        <v>0</v>
      </c>
      <c r="D176" s="298">
        <f t="shared" si="113"/>
        <v>289</v>
      </c>
      <c r="E176" s="296">
        <v>0</v>
      </c>
      <c r="F176" s="255">
        <f t="shared" si="108"/>
        <v>289</v>
      </c>
      <c r="G176" s="255">
        <v>0</v>
      </c>
      <c r="H176" s="249">
        <v>276</v>
      </c>
      <c r="I176" s="249">
        <v>13</v>
      </c>
      <c r="J176" s="286">
        <v>0</v>
      </c>
      <c r="K176" s="263">
        <v>0</v>
      </c>
      <c r="L176" s="263">
        <v>0</v>
      </c>
      <c r="M176" s="263">
        <v>0</v>
      </c>
      <c r="N176" s="263">
        <v>0</v>
      </c>
      <c r="O176" s="311">
        <v>0</v>
      </c>
      <c r="P176" s="263">
        <f t="shared" si="114"/>
        <v>0</v>
      </c>
      <c r="Q176" s="263">
        <v>0</v>
      </c>
      <c r="R176" s="263">
        <v>0</v>
      </c>
      <c r="S176" s="263">
        <v>0</v>
      </c>
      <c r="T176" s="311">
        <v>0</v>
      </c>
      <c r="U176" s="263">
        <v>0</v>
      </c>
      <c r="V176" s="263">
        <v>0</v>
      </c>
      <c r="W176" s="263">
        <v>0</v>
      </c>
      <c r="X176" s="263">
        <v>0</v>
      </c>
      <c r="Y176" s="311">
        <v>0</v>
      </c>
      <c r="Z176" s="263">
        <v>0</v>
      </c>
      <c r="AA176" s="263">
        <v>0</v>
      </c>
      <c r="AB176" s="263">
        <v>0</v>
      </c>
      <c r="AC176" s="263">
        <v>0</v>
      </c>
    </row>
    <row r="177" spans="1:29" s="4" customFormat="1" ht="51" customHeight="1" outlineLevel="1" x14ac:dyDescent="0.2">
      <c r="A177" s="309" t="s">
        <v>1117</v>
      </c>
      <c r="B177" s="340" t="s">
        <v>1070</v>
      </c>
      <c r="C177" s="286">
        <f t="shared" si="107"/>
        <v>0</v>
      </c>
      <c r="D177" s="298">
        <f t="shared" si="113"/>
        <v>1150</v>
      </c>
      <c r="E177" s="296">
        <v>0</v>
      </c>
      <c r="F177" s="255">
        <f t="shared" si="108"/>
        <v>1150</v>
      </c>
      <c r="G177" s="255">
        <v>0</v>
      </c>
      <c r="H177" s="249">
        <v>1095</v>
      </c>
      <c r="I177" s="249">
        <v>55</v>
      </c>
      <c r="J177" s="286">
        <v>0</v>
      </c>
      <c r="K177" s="263">
        <v>0</v>
      </c>
      <c r="L177" s="263">
        <v>0</v>
      </c>
      <c r="M177" s="263">
        <v>0</v>
      </c>
      <c r="N177" s="263">
        <v>0</v>
      </c>
      <c r="O177" s="311">
        <v>0</v>
      </c>
      <c r="P177" s="263">
        <f t="shared" si="114"/>
        <v>0</v>
      </c>
      <c r="Q177" s="263">
        <v>0</v>
      </c>
      <c r="R177" s="263">
        <v>0</v>
      </c>
      <c r="S177" s="263">
        <v>0</v>
      </c>
      <c r="T177" s="311">
        <v>0</v>
      </c>
      <c r="U177" s="263">
        <v>0</v>
      </c>
      <c r="V177" s="263">
        <v>0</v>
      </c>
      <c r="W177" s="263">
        <v>0</v>
      </c>
      <c r="X177" s="263">
        <v>0</v>
      </c>
      <c r="Y177" s="311">
        <v>0</v>
      </c>
      <c r="Z177" s="263">
        <v>0</v>
      </c>
      <c r="AA177" s="263">
        <v>0</v>
      </c>
      <c r="AB177" s="263">
        <v>0</v>
      </c>
      <c r="AC177" s="263">
        <v>0</v>
      </c>
    </row>
    <row r="178" spans="1:29" s="4" customFormat="1" ht="51" customHeight="1" outlineLevel="1" x14ac:dyDescent="0.2">
      <c r="A178" s="309" t="s">
        <v>1118</v>
      </c>
      <c r="B178" s="340" t="s">
        <v>1071</v>
      </c>
      <c r="C178" s="286">
        <f t="shared" si="107"/>
        <v>0</v>
      </c>
      <c r="D178" s="298">
        <f t="shared" si="113"/>
        <v>286</v>
      </c>
      <c r="E178" s="296">
        <v>0</v>
      </c>
      <c r="F178" s="255">
        <f t="shared" si="108"/>
        <v>286</v>
      </c>
      <c r="G178" s="255">
        <v>0</v>
      </c>
      <c r="H178" s="249">
        <v>272</v>
      </c>
      <c r="I178" s="249">
        <v>14</v>
      </c>
      <c r="J178" s="286">
        <v>0</v>
      </c>
      <c r="K178" s="263">
        <v>0</v>
      </c>
      <c r="L178" s="263">
        <v>0</v>
      </c>
      <c r="M178" s="263">
        <v>0</v>
      </c>
      <c r="N178" s="263">
        <v>0</v>
      </c>
      <c r="O178" s="311">
        <v>0</v>
      </c>
      <c r="P178" s="263">
        <f t="shared" si="114"/>
        <v>0</v>
      </c>
      <c r="Q178" s="263">
        <v>0</v>
      </c>
      <c r="R178" s="263">
        <v>0</v>
      </c>
      <c r="S178" s="263">
        <v>0</v>
      </c>
      <c r="T178" s="311">
        <v>0</v>
      </c>
      <c r="U178" s="263">
        <v>0</v>
      </c>
      <c r="V178" s="263">
        <v>0</v>
      </c>
      <c r="W178" s="263">
        <v>0</v>
      </c>
      <c r="X178" s="263">
        <v>0</v>
      </c>
      <c r="Y178" s="311">
        <v>0</v>
      </c>
      <c r="Z178" s="263">
        <v>0</v>
      </c>
      <c r="AA178" s="263">
        <v>0</v>
      </c>
      <c r="AB178" s="263">
        <v>0</v>
      </c>
      <c r="AC178" s="263">
        <v>0</v>
      </c>
    </row>
    <row r="179" spans="1:29" s="4" customFormat="1" ht="64.900000000000006" customHeight="1" outlineLevel="1" x14ac:dyDescent="0.2">
      <c r="A179" s="309" t="s">
        <v>1119</v>
      </c>
      <c r="B179" s="340" t="s">
        <v>1072</v>
      </c>
      <c r="C179" s="286">
        <f t="shared" si="107"/>
        <v>0</v>
      </c>
      <c r="D179" s="298">
        <f t="shared" si="113"/>
        <v>238</v>
      </c>
      <c r="E179" s="296">
        <v>0</v>
      </c>
      <c r="F179" s="255">
        <f t="shared" si="108"/>
        <v>238</v>
      </c>
      <c r="G179" s="255">
        <v>0</v>
      </c>
      <c r="H179" s="249">
        <v>227</v>
      </c>
      <c r="I179" s="249">
        <v>11</v>
      </c>
      <c r="J179" s="286">
        <v>0</v>
      </c>
      <c r="K179" s="263">
        <v>0</v>
      </c>
      <c r="L179" s="263">
        <v>0</v>
      </c>
      <c r="M179" s="263">
        <v>0</v>
      </c>
      <c r="N179" s="263">
        <v>0</v>
      </c>
      <c r="O179" s="311">
        <v>0</v>
      </c>
      <c r="P179" s="263">
        <f t="shared" si="114"/>
        <v>0</v>
      </c>
      <c r="Q179" s="263">
        <v>0</v>
      </c>
      <c r="R179" s="263">
        <v>0</v>
      </c>
      <c r="S179" s="263">
        <v>0</v>
      </c>
      <c r="T179" s="311">
        <v>0</v>
      </c>
      <c r="U179" s="263">
        <v>0</v>
      </c>
      <c r="V179" s="263">
        <v>0</v>
      </c>
      <c r="W179" s="263">
        <v>0</v>
      </c>
      <c r="X179" s="263">
        <v>0</v>
      </c>
      <c r="Y179" s="311">
        <v>0</v>
      </c>
      <c r="Z179" s="263">
        <v>0</v>
      </c>
      <c r="AA179" s="263">
        <v>0</v>
      </c>
      <c r="AB179" s="263">
        <v>0</v>
      </c>
      <c r="AC179" s="263">
        <v>0</v>
      </c>
    </row>
    <row r="180" spans="1:29" s="4" customFormat="1" ht="75" customHeight="1" outlineLevel="1" x14ac:dyDescent="0.2">
      <c r="A180" s="309" t="s">
        <v>1120</v>
      </c>
      <c r="B180" s="340" t="s">
        <v>1073</v>
      </c>
      <c r="C180" s="286">
        <f t="shared" si="107"/>
        <v>0</v>
      </c>
      <c r="D180" s="298">
        <f t="shared" si="113"/>
        <v>1846</v>
      </c>
      <c r="E180" s="296">
        <v>0</v>
      </c>
      <c r="F180" s="255">
        <f>G180+H180+I180</f>
        <v>1846</v>
      </c>
      <c r="G180" s="255">
        <v>0</v>
      </c>
      <c r="H180" s="249">
        <v>1757</v>
      </c>
      <c r="I180" s="249">
        <v>89</v>
      </c>
      <c r="J180" s="286">
        <v>0</v>
      </c>
      <c r="K180" s="263">
        <v>0</v>
      </c>
      <c r="L180" s="263">
        <v>0</v>
      </c>
      <c r="M180" s="263">
        <v>0</v>
      </c>
      <c r="N180" s="263">
        <v>0</v>
      </c>
      <c r="O180" s="311">
        <v>0</v>
      </c>
      <c r="P180" s="263">
        <f t="shared" si="114"/>
        <v>0</v>
      </c>
      <c r="Q180" s="263">
        <v>0</v>
      </c>
      <c r="R180" s="263">
        <v>0</v>
      </c>
      <c r="S180" s="263">
        <v>0</v>
      </c>
      <c r="T180" s="311">
        <v>0</v>
      </c>
      <c r="U180" s="263">
        <v>0</v>
      </c>
      <c r="V180" s="263">
        <v>0</v>
      </c>
      <c r="W180" s="263">
        <v>0</v>
      </c>
      <c r="X180" s="263">
        <v>0</v>
      </c>
      <c r="Y180" s="311">
        <v>0</v>
      </c>
      <c r="Z180" s="263">
        <v>0</v>
      </c>
      <c r="AA180" s="263">
        <v>0</v>
      </c>
      <c r="AB180" s="263">
        <v>0</v>
      </c>
      <c r="AC180" s="263">
        <v>0</v>
      </c>
    </row>
    <row r="181" spans="1:29" s="4" customFormat="1" ht="57" customHeight="1" outlineLevel="1" x14ac:dyDescent="0.2">
      <c r="A181" s="309" t="s">
        <v>1121</v>
      </c>
      <c r="B181" s="340" t="s">
        <v>1074</v>
      </c>
      <c r="C181" s="286">
        <f t="shared" si="107"/>
        <v>0</v>
      </c>
      <c r="D181" s="298">
        <f t="shared" si="113"/>
        <v>1668</v>
      </c>
      <c r="E181" s="296">
        <v>0</v>
      </c>
      <c r="F181" s="255">
        <f t="shared" si="108"/>
        <v>1668</v>
      </c>
      <c r="G181" s="255">
        <v>0</v>
      </c>
      <c r="H181" s="249">
        <v>1588</v>
      </c>
      <c r="I181" s="249">
        <v>80</v>
      </c>
      <c r="J181" s="286">
        <v>0</v>
      </c>
      <c r="K181" s="263">
        <v>0</v>
      </c>
      <c r="L181" s="263">
        <v>0</v>
      </c>
      <c r="M181" s="263">
        <v>0</v>
      </c>
      <c r="N181" s="263">
        <v>0</v>
      </c>
      <c r="O181" s="311">
        <v>0</v>
      </c>
      <c r="P181" s="263">
        <f t="shared" si="114"/>
        <v>0</v>
      </c>
      <c r="Q181" s="263">
        <v>0</v>
      </c>
      <c r="R181" s="263">
        <v>0</v>
      </c>
      <c r="S181" s="263">
        <v>0</v>
      </c>
      <c r="T181" s="311">
        <v>0</v>
      </c>
      <c r="U181" s="263">
        <v>0</v>
      </c>
      <c r="V181" s="263">
        <v>0</v>
      </c>
      <c r="W181" s="263">
        <v>0</v>
      </c>
      <c r="X181" s="263">
        <v>0</v>
      </c>
      <c r="Y181" s="311">
        <v>0</v>
      </c>
      <c r="Z181" s="263">
        <v>0</v>
      </c>
      <c r="AA181" s="263">
        <v>0</v>
      </c>
      <c r="AB181" s="263">
        <v>0</v>
      </c>
      <c r="AC181" s="263">
        <v>0</v>
      </c>
    </row>
    <row r="182" spans="1:29" s="4" customFormat="1" ht="64.900000000000006" customHeight="1" outlineLevel="1" x14ac:dyDescent="0.2">
      <c r="A182" s="309" t="s">
        <v>1122</v>
      </c>
      <c r="B182" s="340" t="s">
        <v>1075</v>
      </c>
      <c r="C182" s="286">
        <f t="shared" si="107"/>
        <v>0</v>
      </c>
      <c r="D182" s="298">
        <f t="shared" si="113"/>
        <v>3481</v>
      </c>
      <c r="E182" s="296">
        <v>0</v>
      </c>
      <c r="F182" s="255">
        <f t="shared" si="108"/>
        <v>3481</v>
      </c>
      <c r="G182" s="255">
        <v>0</v>
      </c>
      <c r="H182" s="249">
        <v>3314</v>
      </c>
      <c r="I182" s="249">
        <v>167</v>
      </c>
      <c r="J182" s="286">
        <v>0</v>
      </c>
      <c r="K182" s="263">
        <v>0</v>
      </c>
      <c r="L182" s="263">
        <v>0</v>
      </c>
      <c r="M182" s="263">
        <v>0</v>
      </c>
      <c r="N182" s="263">
        <v>0</v>
      </c>
      <c r="O182" s="311">
        <v>0</v>
      </c>
      <c r="P182" s="263">
        <f t="shared" si="114"/>
        <v>0</v>
      </c>
      <c r="Q182" s="263">
        <v>0</v>
      </c>
      <c r="R182" s="263">
        <v>0</v>
      </c>
      <c r="S182" s="263">
        <v>0</v>
      </c>
      <c r="T182" s="311">
        <v>0</v>
      </c>
      <c r="U182" s="263">
        <v>0</v>
      </c>
      <c r="V182" s="263">
        <v>0</v>
      </c>
      <c r="W182" s="263">
        <v>0</v>
      </c>
      <c r="X182" s="263">
        <v>0</v>
      </c>
      <c r="Y182" s="311">
        <v>0</v>
      </c>
      <c r="Z182" s="263">
        <v>0</v>
      </c>
      <c r="AA182" s="263">
        <v>0</v>
      </c>
      <c r="AB182" s="263">
        <v>0</v>
      </c>
      <c r="AC182" s="263">
        <v>0</v>
      </c>
    </row>
    <row r="183" spans="1:29" s="4" customFormat="1" ht="37.9" customHeight="1" outlineLevel="1" x14ac:dyDescent="0.2">
      <c r="A183" s="309" t="s">
        <v>1123</v>
      </c>
      <c r="B183" s="340" t="s">
        <v>1174</v>
      </c>
      <c r="C183" s="286">
        <f t="shared" si="107"/>
        <v>0</v>
      </c>
      <c r="D183" s="298">
        <f t="shared" si="113"/>
        <v>136</v>
      </c>
      <c r="E183" s="296">
        <v>0</v>
      </c>
      <c r="F183" s="255">
        <f t="shared" si="108"/>
        <v>136</v>
      </c>
      <c r="G183" s="255">
        <v>0</v>
      </c>
      <c r="H183" s="249">
        <v>130</v>
      </c>
      <c r="I183" s="249">
        <v>6</v>
      </c>
      <c r="J183" s="286">
        <v>0</v>
      </c>
      <c r="K183" s="263">
        <v>0</v>
      </c>
      <c r="L183" s="263">
        <v>0</v>
      </c>
      <c r="M183" s="263">
        <v>0</v>
      </c>
      <c r="N183" s="263">
        <v>0</v>
      </c>
      <c r="O183" s="311">
        <v>0</v>
      </c>
      <c r="P183" s="263">
        <f t="shared" si="114"/>
        <v>0</v>
      </c>
      <c r="Q183" s="263">
        <v>0</v>
      </c>
      <c r="R183" s="263">
        <v>0</v>
      </c>
      <c r="S183" s="263">
        <v>0</v>
      </c>
      <c r="T183" s="311">
        <v>0</v>
      </c>
      <c r="U183" s="263">
        <v>0</v>
      </c>
      <c r="V183" s="263">
        <v>0</v>
      </c>
      <c r="W183" s="263">
        <v>0</v>
      </c>
      <c r="X183" s="263">
        <v>0</v>
      </c>
      <c r="Y183" s="311">
        <v>0</v>
      </c>
      <c r="Z183" s="263">
        <v>0</v>
      </c>
      <c r="AA183" s="263">
        <v>0</v>
      </c>
      <c r="AB183" s="263">
        <v>0</v>
      </c>
      <c r="AC183" s="263">
        <v>0</v>
      </c>
    </row>
    <row r="184" spans="1:29" s="4" customFormat="1" ht="85.9" customHeight="1" outlineLevel="1" x14ac:dyDescent="0.2">
      <c r="A184" s="309" t="s">
        <v>1124</v>
      </c>
      <c r="B184" s="340" t="s">
        <v>1076</v>
      </c>
      <c r="C184" s="286">
        <f t="shared" si="107"/>
        <v>0</v>
      </c>
      <c r="D184" s="298">
        <f t="shared" si="113"/>
        <v>310</v>
      </c>
      <c r="E184" s="296">
        <v>0</v>
      </c>
      <c r="F184" s="255">
        <f t="shared" si="108"/>
        <v>310</v>
      </c>
      <c r="G184" s="255">
        <v>0</v>
      </c>
      <c r="H184" s="249">
        <v>295</v>
      </c>
      <c r="I184" s="249">
        <v>15</v>
      </c>
      <c r="J184" s="286">
        <v>0</v>
      </c>
      <c r="K184" s="263">
        <v>0</v>
      </c>
      <c r="L184" s="263">
        <v>0</v>
      </c>
      <c r="M184" s="263">
        <v>0</v>
      </c>
      <c r="N184" s="263">
        <v>0</v>
      </c>
      <c r="O184" s="311">
        <v>0</v>
      </c>
      <c r="P184" s="263">
        <f t="shared" si="114"/>
        <v>0</v>
      </c>
      <c r="Q184" s="263">
        <v>0</v>
      </c>
      <c r="R184" s="263">
        <v>0</v>
      </c>
      <c r="S184" s="263">
        <v>0</v>
      </c>
      <c r="T184" s="311">
        <v>0</v>
      </c>
      <c r="U184" s="263">
        <v>0</v>
      </c>
      <c r="V184" s="263">
        <v>0</v>
      </c>
      <c r="W184" s="263">
        <v>0</v>
      </c>
      <c r="X184" s="263">
        <v>0</v>
      </c>
      <c r="Y184" s="311">
        <v>0</v>
      </c>
      <c r="Z184" s="263">
        <v>0</v>
      </c>
      <c r="AA184" s="263">
        <v>0</v>
      </c>
      <c r="AB184" s="263">
        <v>0</v>
      </c>
      <c r="AC184" s="263">
        <v>0</v>
      </c>
    </row>
    <row r="185" spans="1:29" s="4" customFormat="1" ht="87" customHeight="1" outlineLevel="1" x14ac:dyDescent="0.2">
      <c r="A185" s="309" t="s">
        <v>1125</v>
      </c>
      <c r="B185" s="340" t="s">
        <v>1077</v>
      </c>
      <c r="C185" s="286">
        <f t="shared" si="107"/>
        <v>0</v>
      </c>
      <c r="D185" s="298">
        <f t="shared" si="113"/>
        <v>1492</v>
      </c>
      <c r="E185" s="296">
        <v>0</v>
      </c>
      <c r="F185" s="255">
        <f t="shared" si="108"/>
        <v>1492</v>
      </c>
      <c r="G185" s="255">
        <v>0</v>
      </c>
      <c r="H185" s="249">
        <v>1420</v>
      </c>
      <c r="I185" s="249">
        <v>72</v>
      </c>
      <c r="J185" s="286">
        <v>0</v>
      </c>
      <c r="K185" s="263">
        <v>0</v>
      </c>
      <c r="L185" s="263">
        <v>0</v>
      </c>
      <c r="M185" s="263">
        <v>0</v>
      </c>
      <c r="N185" s="263">
        <v>0</v>
      </c>
      <c r="O185" s="311">
        <v>0</v>
      </c>
      <c r="P185" s="263">
        <f t="shared" si="114"/>
        <v>0</v>
      </c>
      <c r="Q185" s="263">
        <v>0</v>
      </c>
      <c r="R185" s="263">
        <v>0</v>
      </c>
      <c r="S185" s="263">
        <v>0</v>
      </c>
      <c r="T185" s="311">
        <v>0</v>
      </c>
      <c r="U185" s="263">
        <v>0</v>
      </c>
      <c r="V185" s="263">
        <v>0</v>
      </c>
      <c r="W185" s="263">
        <v>0</v>
      </c>
      <c r="X185" s="263">
        <v>0</v>
      </c>
      <c r="Y185" s="311">
        <v>0</v>
      </c>
      <c r="Z185" s="263">
        <v>0</v>
      </c>
      <c r="AA185" s="263">
        <v>0</v>
      </c>
      <c r="AB185" s="263">
        <v>0</v>
      </c>
      <c r="AC185" s="263">
        <v>0</v>
      </c>
    </row>
    <row r="186" spans="1:29" s="4" customFormat="1" ht="67.900000000000006" customHeight="1" outlineLevel="1" x14ac:dyDescent="0.2">
      <c r="A186" s="309" t="s">
        <v>1126</v>
      </c>
      <c r="B186" s="340" t="s">
        <v>1078</v>
      </c>
      <c r="C186" s="286">
        <f t="shared" si="107"/>
        <v>0</v>
      </c>
      <c r="D186" s="298">
        <f t="shared" si="113"/>
        <v>143</v>
      </c>
      <c r="E186" s="296">
        <v>0</v>
      </c>
      <c r="F186" s="255">
        <f t="shared" si="108"/>
        <v>143</v>
      </c>
      <c r="G186" s="255">
        <v>0</v>
      </c>
      <c r="H186" s="249">
        <v>136</v>
      </c>
      <c r="I186" s="249">
        <v>7</v>
      </c>
      <c r="J186" s="286">
        <v>0</v>
      </c>
      <c r="K186" s="263">
        <v>0</v>
      </c>
      <c r="L186" s="263">
        <v>0</v>
      </c>
      <c r="M186" s="263">
        <v>0</v>
      </c>
      <c r="N186" s="263">
        <v>0</v>
      </c>
      <c r="O186" s="311">
        <v>0</v>
      </c>
      <c r="P186" s="263">
        <f t="shared" si="114"/>
        <v>0</v>
      </c>
      <c r="Q186" s="263">
        <v>0</v>
      </c>
      <c r="R186" s="263">
        <v>0</v>
      </c>
      <c r="S186" s="263">
        <v>0</v>
      </c>
      <c r="T186" s="311">
        <v>0</v>
      </c>
      <c r="U186" s="263">
        <v>0</v>
      </c>
      <c r="V186" s="263">
        <v>0</v>
      </c>
      <c r="W186" s="263">
        <v>0</v>
      </c>
      <c r="X186" s="263">
        <v>0</v>
      </c>
      <c r="Y186" s="311">
        <v>0</v>
      </c>
      <c r="Z186" s="263">
        <v>0</v>
      </c>
      <c r="AA186" s="263">
        <v>0</v>
      </c>
      <c r="AB186" s="263">
        <v>0</v>
      </c>
      <c r="AC186" s="263">
        <v>0</v>
      </c>
    </row>
    <row r="187" spans="1:29" s="4" customFormat="1" ht="69" customHeight="1" outlineLevel="1" x14ac:dyDescent="0.2">
      <c r="A187" s="309" t="s">
        <v>1127</v>
      </c>
      <c r="B187" s="340" t="s">
        <v>1079</v>
      </c>
      <c r="C187" s="286">
        <f t="shared" si="107"/>
        <v>0</v>
      </c>
      <c r="D187" s="298">
        <f t="shared" si="113"/>
        <v>442</v>
      </c>
      <c r="E187" s="296">
        <v>0</v>
      </c>
      <c r="F187" s="255">
        <f t="shared" si="108"/>
        <v>442</v>
      </c>
      <c r="G187" s="255">
        <v>0</v>
      </c>
      <c r="H187" s="249">
        <v>421</v>
      </c>
      <c r="I187" s="249">
        <v>21</v>
      </c>
      <c r="J187" s="286">
        <v>0</v>
      </c>
      <c r="K187" s="263">
        <v>0</v>
      </c>
      <c r="L187" s="263">
        <v>0</v>
      </c>
      <c r="M187" s="263">
        <v>0</v>
      </c>
      <c r="N187" s="263">
        <v>0</v>
      </c>
      <c r="O187" s="311">
        <v>0</v>
      </c>
      <c r="P187" s="263">
        <f t="shared" si="114"/>
        <v>0</v>
      </c>
      <c r="Q187" s="263">
        <v>0</v>
      </c>
      <c r="R187" s="263">
        <v>0</v>
      </c>
      <c r="S187" s="263">
        <v>0</v>
      </c>
      <c r="T187" s="311">
        <v>0</v>
      </c>
      <c r="U187" s="263">
        <v>0</v>
      </c>
      <c r="V187" s="263">
        <v>0</v>
      </c>
      <c r="W187" s="263">
        <v>0</v>
      </c>
      <c r="X187" s="263">
        <v>0</v>
      </c>
      <c r="Y187" s="311">
        <v>0</v>
      </c>
      <c r="Z187" s="263">
        <v>0</v>
      </c>
      <c r="AA187" s="263">
        <v>0</v>
      </c>
      <c r="AB187" s="263">
        <v>0</v>
      </c>
      <c r="AC187" s="263">
        <v>0</v>
      </c>
    </row>
    <row r="188" spans="1:29" s="4" customFormat="1" ht="88.15" customHeight="1" outlineLevel="1" x14ac:dyDescent="0.2">
      <c r="A188" s="309" t="s">
        <v>1128</v>
      </c>
      <c r="B188" s="340" t="s">
        <v>1080</v>
      </c>
      <c r="C188" s="286">
        <f t="shared" si="107"/>
        <v>0</v>
      </c>
      <c r="D188" s="298">
        <f t="shared" si="113"/>
        <v>435</v>
      </c>
      <c r="E188" s="296">
        <v>0</v>
      </c>
      <c r="F188" s="255">
        <f t="shared" si="108"/>
        <v>435</v>
      </c>
      <c r="G188" s="255">
        <v>0</v>
      </c>
      <c r="H188" s="249">
        <v>414</v>
      </c>
      <c r="I188" s="249">
        <v>21</v>
      </c>
      <c r="J188" s="286">
        <v>0</v>
      </c>
      <c r="K188" s="263">
        <v>0</v>
      </c>
      <c r="L188" s="263">
        <v>0</v>
      </c>
      <c r="M188" s="263">
        <v>0</v>
      </c>
      <c r="N188" s="263">
        <v>0</v>
      </c>
      <c r="O188" s="311">
        <v>0</v>
      </c>
      <c r="P188" s="263">
        <f t="shared" si="114"/>
        <v>0</v>
      </c>
      <c r="Q188" s="263">
        <v>0</v>
      </c>
      <c r="R188" s="263">
        <v>0</v>
      </c>
      <c r="S188" s="263">
        <v>0</v>
      </c>
      <c r="T188" s="311">
        <v>0</v>
      </c>
      <c r="U188" s="263">
        <v>0</v>
      </c>
      <c r="V188" s="263">
        <v>0</v>
      </c>
      <c r="W188" s="263">
        <v>0</v>
      </c>
      <c r="X188" s="263">
        <v>0</v>
      </c>
      <c r="Y188" s="311">
        <v>0</v>
      </c>
      <c r="Z188" s="263">
        <v>0</v>
      </c>
      <c r="AA188" s="263">
        <v>0</v>
      </c>
      <c r="AB188" s="263">
        <v>0</v>
      </c>
      <c r="AC188" s="263">
        <v>0</v>
      </c>
    </row>
    <row r="189" spans="1:29" s="4" customFormat="1" ht="90" customHeight="1" outlineLevel="1" x14ac:dyDescent="0.2">
      <c r="A189" s="309" t="s">
        <v>1129</v>
      </c>
      <c r="B189" s="340" t="s">
        <v>1081</v>
      </c>
      <c r="C189" s="286">
        <f t="shared" si="107"/>
        <v>0</v>
      </c>
      <c r="D189" s="298">
        <f t="shared" si="113"/>
        <v>269</v>
      </c>
      <c r="E189" s="296">
        <v>0</v>
      </c>
      <c r="F189" s="255">
        <f t="shared" si="108"/>
        <v>269</v>
      </c>
      <c r="G189" s="255">
        <v>0</v>
      </c>
      <c r="H189" s="249">
        <v>256</v>
      </c>
      <c r="I189" s="249">
        <v>13</v>
      </c>
      <c r="J189" s="286">
        <v>0</v>
      </c>
      <c r="K189" s="263">
        <v>0</v>
      </c>
      <c r="L189" s="263">
        <v>0</v>
      </c>
      <c r="M189" s="263">
        <v>0</v>
      </c>
      <c r="N189" s="263">
        <v>0</v>
      </c>
      <c r="O189" s="311">
        <v>0</v>
      </c>
      <c r="P189" s="263">
        <f t="shared" si="114"/>
        <v>0</v>
      </c>
      <c r="Q189" s="263">
        <v>0</v>
      </c>
      <c r="R189" s="263">
        <v>0</v>
      </c>
      <c r="S189" s="263">
        <v>0</v>
      </c>
      <c r="T189" s="311">
        <v>0</v>
      </c>
      <c r="U189" s="263">
        <v>0</v>
      </c>
      <c r="V189" s="263">
        <v>0</v>
      </c>
      <c r="W189" s="263">
        <v>0</v>
      </c>
      <c r="X189" s="263">
        <v>0</v>
      </c>
      <c r="Y189" s="311">
        <v>0</v>
      </c>
      <c r="Z189" s="263">
        <v>0</v>
      </c>
      <c r="AA189" s="263">
        <v>0</v>
      </c>
      <c r="AB189" s="263">
        <v>0</v>
      </c>
      <c r="AC189" s="263">
        <v>0</v>
      </c>
    </row>
    <row r="190" spans="1:29" s="4" customFormat="1" ht="49.9" customHeight="1" outlineLevel="1" x14ac:dyDescent="0.2">
      <c r="A190" s="309" t="s">
        <v>1130</v>
      </c>
      <c r="B190" s="340" t="s">
        <v>1082</v>
      </c>
      <c r="C190" s="286">
        <f t="shared" si="107"/>
        <v>0</v>
      </c>
      <c r="D190" s="298">
        <f t="shared" si="113"/>
        <v>207</v>
      </c>
      <c r="E190" s="296">
        <v>0</v>
      </c>
      <c r="F190" s="255">
        <f t="shared" si="108"/>
        <v>207</v>
      </c>
      <c r="G190" s="255">
        <v>0</v>
      </c>
      <c r="H190" s="249">
        <v>197</v>
      </c>
      <c r="I190" s="249">
        <v>10</v>
      </c>
      <c r="J190" s="286">
        <v>0</v>
      </c>
      <c r="K190" s="263">
        <v>0</v>
      </c>
      <c r="L190" s="263">
        <v>0</v>
      </c>
      <c r="M190" s="263">
        <v>0</v>
      </c>
      <c r="N190" s="263">
        <v>0</v>
      </c>
      <c r="O190" s="311">
        <v>0</v>
      </c>
      <c r="P190" s="263">
        <f t="shared" si="114"/>
        <v>0</v>
      </c>
      <c r="Q190" s="263">
        <v>0</v>
      </c>
      <c r="R190" s="263">
        <v>0</v>
      </c>
      <c r="S190" s="263">
        <v>0</v>
      </c>
      <c r="T190" s="311">
        <v>0</v>
      </c>
      <c r="U190" s="263">
        <v>0</v>
      </c>
      <c r="V190" s="263">
        <v>0</v>
      </c>
      <c r="W190" s="263">
        <v>0</v>
      </c>
      <c r="X190" s="263">
        <v>0</v>
      </c>
      <c r="Y190" s="311">
        <v>0</v>
      </c>
      <c r="Z190" s="263">
        <v>0</v>
      </c>
      <c r="AA190" s="263">
        <v>0</v>
      </c>
      <c r="AB190" s="263">
        <v>0</v>
      </c>
      <c r="AC190" s="263">
        <v>0</v>
      </c>
    </row>
    <row r="191" spans="1:29" s="4" customFormat="1" ht="69" customHeight="1" outlineLevel="1" x14ac:dyDescent="0.2">
      <c r="A191" s="309" t="s">
        <v>1131</v>
      </c>
      <c r="B191" s="340" t="s">
        <v>1083</v>
      </c>
      <c r="C191" s="286">
        <f t="shared" si="107"/>
        <v>0</v>
      </c>
      <c r="D191" s="298">
        <f t="shared" si="113"/>
        <v>276</v>
      </c>
      <c r="E191" s="296">
        <v>0</v>
      </c>
      <c r="F191" s="255">
        <f t="shared" si="108"/>
        <v>276</v>
      </c>
      <c r="G191" s="255">
        <v>0</v>
      </c>
      <c r="H191" s="249">
        <v>263</v>
      </c>
      <c r="I191" s="249">
        <v>13</v>
      </c>
      <c r="J191" s="286">
        <v>0</v>
      </c>
      <c r="K191" s="263">
        <v>0</v>
      </c>
      <c r="L191" s="263">
        <v>0</v>
      </c>
      <c r="M191" s="263">
        <v>0</v>
      </c>
      <c r="N191" s="263">
        <v>0</v>
      </c>
      <c r="O191" s="311">
        <v>0</v>
      </c>
      <c r="P191" s="263">
        <f t="shared" si="114"/>
        <v>0</v>
      </c>
      <c r="Q191" s="263">
        <v>0</v>
      </c>
      <c r="R191" s="263">
        <v>0</v>
      </c>
      <c r="S191" s="263">
        <v>0</v>
      </c>
      <c r="T191" s="311">
        <v>0</v>
      </c>
      <c r="U191" s="263">
        <v>0</v>
      </c>
      <c r="V191" s="263">
        <v>0</v>
      </c>
      <c r="W191" s="263">
        <v>0</v>
      </c>
      <c r="X191" s="263">
        <v>0</v>
      </c>
      <c r="Y191" s="311">
        <v>0</v>
      </c>
      <c r="Z191" s="263">
        <v>0</v>
      </c>
      <c r="AA191" s="263">
        <v>0</v>
      </c>
      <c r="AB191" s="263">
        <v>0</v>
      </c>
      <c r="AC191" s="263">
        <v>0</v>
      </c>
    </row>
    <row r="192" spans="1:29" s="4" customFormat="1" ht="55.9" customHeight="1" outlineLevel="1" x14ac:dyDescent="0.2">
      <c r="A192" s="309" t="s">
        <v>1132</v>
      </c>
      <c r="B192" s="340" t="s">
        <v>1084</v>
      </c>
      <c r="C192" s="286">
        <f t="shared" si="107"/>
        <v>0</v>
      </c>
      <c r="D192" s="298">
        <f t="shared" si="113"/>
        <v>1603</v>
      </c>
      <c r="E192" s="296">
        <v>0</v>
      </c>
      <c r="F192" s="255">
        <f t="shared" si="108"/>
        <v>1603</v>
      </c>
      <c r="G192" s="255">
        <v>0</v>
      </c>
      <c r="H192" s="249">
        <v>1526</v>
      </c>
      <c r="I192" s="249">
        <v>77</v>
      </c>
      <c r="J192" s="286">
        <v>0</v>
      </c>
      <c r="K192" s="263">
        <v>0</v>
      </c>
      <c r="L192" s="263">
        <v>0</v>
      </c>
      <c r="M192" s="263">
        <v>0</v>
      </c>
      <c r="N192" s="263">
        <v>0</v>
      </c>
      <c r="O192" s="311">
        <v>0</v>
      </c>
      <c r="P192" s="263">
        <f t="shared" si="114"/>
        <v>0</v>
      </c>
      <c r="Q192" s="263">
        <v>0</v>
      </c>
      <c r="R192" s="263">
        <v>0</v>
      </c>
      <c r="S192" s="263">
        <v>0</v>
      </c>
      <c r="T192" s="311">
        <v>0</v>
      </c>
      <c r="U192" s="263">
        <v>0</v>
      </c>
      <c r="V192" s="263">
        <v>0</v>
      </c>
      <c r="W192" s="263">
        <v>0</v>
      </c>
      <c r="X192" s="263">
        <v>0</v>
      </c>
      <c r="Y192" s="311">
        <v>0</v>
      </c>
      <c r="Z192" s="263">
        <v>0</v>
      </c>
      <c r="AA192" s="263">
        <v>0</v>
      </c>
      <c r="AB192" s="263">
        <v>0</v>
      </c>
      <c r="AC192" s="263">
        <v>0</v>
      </c>
    </row>
    <row r="193" spans="1:29" s="4" customFormat="1" ht="42" customHeight="1" outlineLevel="1" x14ac:dyDescent="0.2">
      <c r="A193" s="309" t="s">
        <v>1133</v>
      </c>
      <c r="B193" s="340" t="s">
        <v>1085</v>
      </c>
      <c r="C193" s="286">
        <f t="shared" si="107"/>
        <v>0</v>
      </c>
      <c r="D193" s="298">
        <f t="shared" si="113"/>
        <v>3493</v>
      </c>
      <c r="E193" s="296">
        <v>0</v>
      </c>
      <c r="F193" s="255">
        <f t="shared" si="108"/>
        <v>3493</v>
      </c>
      <c r="G193" s="255">
        <v>0</v>
      </c>
      <c r="H193" s="249">
        <v>3325</v>
      </c>
      <c r="I193" s="249">
        <v>168</v>
      </c>
      <c r="J193" s="286">
        <v>0</v>
      </c>
      <c r="K193" s="263">
        <v>0</v>
      </c>
      <c r="L193" s="263">
        <v>0</v>
      </c>
      <c r="M193" s="263">
        <v>0</v>
      </c>
      <c r="N193" s="263">
        <v>0</v>
      </c>
      <c r="O193" s="311">
        <v>0</v>
      </c>
      <c r="P193" s="263">
        <f t="shared" si="114"/>
        <v>0</v>
      </c>
      <c r="Q193" s="263">
        <v>0</v>
      </c>
      <c r="R193" s="263">
        <v>0</v>
      </c>
      <c r="S193" s="263">
        <v>0</v>
      </c>
      <c r="T193" s="311">
        <v>0</v>
      </c>
      <c r="U193" s="263">
        <v>0</v>
      </c>
      <c r="V193" s="263">
        <v>0</v>
      </c>
      <c r="W193" s="263">
        <v>0</v>
      </c>
      <c r="X193" s="263">
        <v>0</v>
      </c>
      <c r="Y193" s="311">
        <v>0</v>
      </c>
      <c r="Z193" s="263">
        <v>0</v>
      </c>
      <c r="AA193" s="263">
        <v>0</v>
      </c>
      <c r="AB193" s="263">
        <v>0</v>
      </c>
      <c r="AC193" s="263">
        <v>0</v>
      </c>
    </row>
    <row r="194" spans="1:29" s="4" customFormat="1" ht="82.9" customHeight="1" outlineLevel="1" x14ac:dyDescent="0.2">
      <c r="A194" s="309" t="s">
        <v>1134</v>
      </c>
      <c r="B194" s="340" t="s">
        <v>1431</v>
      </c>
      <c r="C194" s="286">
        <f t="shared" si="107"/>
        <v>0</v>
      </c>
      <c r="D194" s="298">
        <f t="shared" si="113"/>
        <v>412</v>
      </c>
      <c r="E194" s="296">
        <v>0</v>
      </c>
      <c r="F194" s="255">
        <f t="shared" si="108"/>
        <v>412</v>
      </c>
      <c r="G194" s="255">
        <v>0</v>
      </c>
      <c r="H194" s="249">
        <v>392</v>
      </c>
      <c r="I194" s="249">
        <v>20</v>
      </c>
      <c r="J194" s="286">
        <v>0</v>
      </c>
      <c r="K194" s="263">
        <v>0</v>
      </c>
      <c r="L194" s="263">
        <v>0</v>
      </c>
      <c r="M194" s="263">
        <v>0</v>
      </c>
      <c r="N194" s="263">
        <v>0</v>
      </c>
      <c r="O194" s="311">
        <v>0</v>
      </c>
      <c r="P194" s="263">
        <f t="shared" si="114"/>
        <v>0</v>
      </c>
      <c r="Q194" s="263">
        <v>0</v>
      </c>
      <c r="R194" s="263">
        <v>0</v>
      </c>
      <c r="S194" s="263">
        <v>0</v>
      </c>
      <c r="T194" s="311">
        <v>0</v>
      </c>
      <c r="U194" s="263">
        <v>0</v>
      </c>
      <c r="V194" s="263">
        <v>0</v>
      </c>
      <c r="W194" s="263">
        <v>0</v>
      </c>
      <c r="X194" s="263">
        <v>0</v>
      </c>
      <c r="Y194" s="311">
        <v>0</v>
      </c>
      <c r="Z194" s="263">
        <v>0</v>
      </c>
      <c r="AA194" s="263">
        <v>0</v>
      </c>
      <c r="AB194" s="263">
        <v>0</v>
      </c>
      <c r="AC194" s="263">
        <v>0</v>
      </c>
    </row>
    <row r="195" spans="1:29" s="4" customFormat="1" ht="84" customHeight="1" outlineLevel="1" x14ac:dyDescent="0.2">
      <c r="A195" s="309" t="s">
        <v>1135</v>
      </c>
      <c r="B195" s="340" t="s">
        <v>1086</v>
      </c>
      <c r="C195" s="286">
        <f t="shared" si="107"/>
        <v>0</v>
      </c>
      <c r="D195" s="298">
        <f t="shared" si="113"/>
        <v>1113</v>
      </c>
      <c r="E195" s="296">
        <v>0</v>
      </c>
      <c r="F195" s="255">
        <f t="shared" si="108"/>
        <v>1113</v>
      </c>
      <c r="G195" s="255">
        <v>0</v>
      </c>
      <c r="H195" s="249">
        <v>1059</v>
      </c>
      <c r="I195" s="249">
        <v>54</v>
      </c>
      <c r="J195" s="286">
        <v>0</v>
      </c>
      <c r="K195" s="263">
        <v>0</v>
      </c>
      <c r="L195" s="263">
        <v>0</v>
      </c>
      <c r="M195" s="263">
        <v>0</v>
      </c>
      <c r="N195" s="263">
        <v>0</v>
      </c>
      <c r="O195" s="311">
        <v>0</v>
      </c>
      <c r="P195" s="263">
        <f t="shared" si="114"/>
        <v>0</v>
      </c>
      <c r="Q195" s="263">
        <v>0</v>
      </c>
      <c r="R195" s="263">
        <v>0</v>
      </c>
      <c r="S195" s="263">
        <v>0</v>
      </c>
      <c r="T195" s="311">
        <v>0</v>
      </c>
      <c r="U195" s="263">
        <v>0</v>
      </c>
      <c r="V195" s="263">
        <v>0</v>
      </c>
      <c r="W195" s="263">
        <v>0</v>
      </c>
      <c r="X195" s="263">
        <v>0</v>
      </c>
      <c r="Y195" s="311">
        <v>0</v>
      </c>
      <c r="Z195" s="263">
        <v>0</v>
      </c>
      <c r="AA195" s="263">
        <v>0</v>
      </c>
      <c r="AB195" s="263">
        <v>0</v>
      </c>
      <c r="AC195" s="263">
        <v>0</v>
      </c>
    </row>
    <row r="196" spans="1:29" s="4" customFormat="1" ht="67.900000000000006" customHeight="1" outlineLevel="1" x14ac:dyDescent="0.2">
      <c r="A196" s="309" t="s">
        <v>1136</v>
      </c>
      <c r="B196" s="340" t="s">
        <v>1087</v>
      </c>
      <c r="C196" s="286">
        <f t="shared" si="107"/>
        <v>0</v>
      </c>
      <c r="D196" s="298">
        <f t="shared" si="113"/>
        <v>340</v>
      </c>
      <c r="E196" s="296">
        <v>0</v>
      </c>
      <c r="F196" s="255">
        <f t="shared" si="108"/>
        <v>340</v>
      </c>
      <c r="G196" s="255">
        <v>0</v>
      </c>
      <c r="H196" s="249">
        <v>324</v>
      </c>
      <c r="I196" s="249">
        <v>16</v>
      </c>
      <c r="J196" s="286">
        <v>0</v>
      </c>
      <c r="K196" s="263">
        <v>0</v>
      </c>
      <c r="L196" s="263">
        <v>0</v>
      </c>
      <c r="M196" s="263">
        <v>0</v>
      </c>
      <c r="N196" s="263">
        <v>0</v>
      </c>
      <c r="O196" s="311">
        <v>0</v>
      </c>
      <c r="P196" s="263">
        <f t="shared" si="114"/>
        <v>0</v>
      </c>
      <c r="Q196" s="263">
        <v>0</v>
      </c>
      <c r="R196" s="263">
        <v>0</v>
      </c>
      <c r="S196" s="263">
        <v>0</v>
      </c>
      <c r="T196" s="311">
        <v>0</v>
      </c>
      <c r="U196" s="263">
        <v>0</v>
      </c>
      <c r="V196" s="263">
        <v>0</v>
      </c>
      <c r="W196" s="263">
        <v>0</v>
      </c>
      <c r="X196" s="263">
        <v>0</v>
      </c>
      <c r="Y196" s="311">
        <v>0</v>
      </c>
      <c r="Z196" s="263">
        <v>0</v>
      </c>
      <c r="AA196" s="263">
        <v>0</v>
      </c>
      <c r="AB196" s="263">
        <v>0</v>
      </c>
      <c r="AC196" s="263">
        <v>0</v>
      </c>
    </row>
    <row r="197" spans="1:29" s="4" customFormat="1" ht="76.900000000000006" customHeight="1" outlineLevel="1" x14ac:dyDescent="0.2">
      <c r="A197" s="309" t="s">
        <v>1137</v>
      </c>
      <c r="B197" s="340" t="s">
        <v>1088</v>
      </c>
      <c r="C197" s="286">
        <f t="shared" si="107"/>
        <v>0</v>
      </c>
      <c r="D197" s="298">
        <f t="shared" si="113"/>
        <v>1054</v>
      </c>
      <c r="E197" s="296">
        <v>0</v>
      </c>
      <c r="F197" s="255">
        <f t="shared" si="108"/>
        <v>1054</v>
      </c>
      <c r="G197" s="255">
        <v>0</v>
      </c>
      <c r="H197" s="249">
        <v>1003</v>
      </c>
      <c r="I197" s="249">
        <v>51</v>
      </c>
      <c r="J197" s="286">
        <v>0</v>
      </c>
      <c r="K197" s="263">
        <v>0</v>
      </c>
      <c r="L197" s="263">
        <v>0</v>
      </c>
      <c r="M197" s="263">
        <v>0</v>
      </c>
      <c r="N197" s="263">
        <v>0</v>
      </c>
      <c r="O197" s="311">
        <v>0</v>
      </c>
      <c r="P197" s="263">
        <f t="shared" si="114"/>
        <v>0</v>
      </c>
      <c r="Q197" s="263">
        <v>0</v>
      </c>
      <c r="R197" s="263">
        <v>0</v>
      </c>
      <c r="S197" s="263">
        <v>0</v>
      </c>
      <c r="T197" s="311">
        <v>0</v>
      </c>
      <c r="U197" s="263">
        <v>0</v>
      </c>
      <c r="V197" s="263">
        <v>0</v>
      </c>
      <c r="W197" s="263">
        <v>0</v>
      </c>
      <c r="X197" s="263">
        <v>0</v>
      </c>
      <c r="Y197" s="311">
        <v>0</v>
      </c>
      <c r="Z197" s="263">
        <v>0</v>
      </c>
      <c r="AA197" s="263">
        <v>0</v>
      </c>
      <c r="AB197" s="263">
        <v>0</v>
      </c>
      <c r="AC197" s="263">
        <v>0</v>
      </c>
    </row>
    <row r="198" spans="1:29" s="4" customFormat="1" ht="60" customHeight="1" outlineLevel="1" x14ac:dyDescent="0.2">
      <c r="A198" s="309" t="s">
        <v>1138</v>
      </c>
      <c r="B198" s="340" t="s">
        <v>1089</v>
      </c>
      <c r="C198" s="286">
        <f t="shared" si="107"/>
        <v>0</v>
      </c>
      <c r="D198" s="298">
        <f t="shared" si="113"/>
        <v>697</v>
      </c>
      <c r="E198" s="296">
        <v>0</v>
      </c>
      <c r="F198" s="255">
        <f t="shared" si="108"/>
        <v>697</v>
      </c>
      <c r="G198" s="255">
        <v>0</v>
      </c>
      <c r="H198" s="249">
        <v>664</v>
      </c>
      <c r="I198" s="249">
        <v>33</v>
      </c>
      <c r="J198" s="286">
        <v>0</v>
      </c>
      <c r="K198" s="263">
        <v>0</v>
      </c>
      <c r="L198" s="263">
        <v>0</v>
      </c>
      <c r="M198" s="263">
        <v>0</v>
      </c>
      <c r="N198" s="263">
        <v>0</v>
      </c>
      <c r="O198" s="311">
        <v>0</v>
      </c>
      <c r="P198" s="263">
        <f t="shared" si="114"/>
        <v>0</v>
      </c>
      <c r="Q198" s="263">
        <v>0</v>
      </c>
      <c r="R198" s="263">
        <v>0</v>
      </c>
      <c r="S198" s="263">
        <v>0</v>
      </c>
      <c r="T198" s="311">
        <v>0</v>
      </c>
      <c r="U198" s="263">
        <v>0</v>
      </c>
      <c r="V198" s="263">
        <v>0</v>
      </c>
      <c r="W198" s="263">
        <v>0</v>
      </c>
      <c r="X198" s="263">
        <v>0</v>
      </c>
      <c r="Y198" s="311">
        <v>0</v>
      </c>
      <c r="Z198" s="263">
        <v>0</v>
      </c>
      <c r="AA198" s="263">
        <v>0</v>
      </c>
      <c r="AB198" s="263">
        <v>0</v>
      </c>
      <c r="AC198" s="263">
        <v>0</v>
      </c>
    </row>
    <row r="199" spans="1:29" s="4" customFormat="1" ht="63" customHeight="1" outlineLevel="1" x14ac:dyDescent="0.2">
      <c r="A199" s="309" t="s">
        <v>1139</v>
      </c>
      <c r="B199" s="340" t="s">
        <v>1090</v>
      </c>
      <c r="C199" s="286">
        <f t="shared" si="107"/>
        <v>0</v>
      </c>
      <c r="D199" s="298">
        <f t="shared" si="113"/>
        <v>697</v>
      </c>
      <c r="E199" s="296">
        <v>0</v>
      </c>
      <c r="F199" s="255">
        <f t="shared" si="108"/>
        <v>697</v>
      </c>
      <c r="G199" s="255">
        <v>0</v>
      </c>
      <c r="H199" s="249">
        <v>664</v>
      </c>
      <c r="I199" s="249">
        <v>33</v>
      </c>
      <c r="J199" s="286">
        <v>0</v>
      </c>
      <c r="K199" s="263">
        <v>0</v>
      </c>
      <c r="L199" s="263">
        <v>0</v>
      </c>
      <c r="M199" s="263">
        <v>0</v>
      </c>
      <c r="N199" s="263">
        <v>0</v>
      </c>
      <c r="O199" s="311">
        <v>0</v>
      </c>
      <c r="P199" s="263">
        <f t="shared" si="114"/>
        <v>0</v>
      </c>
      <c r="Q199" s="263">
        <v>0</v>
      </c>
      <c r="R199" s="263">
        <v>0</v>
      </c>
      <c r="S199" s="263">
        <v>0</v>
      </c>
      <c r="T199" s="311">
        <v>0</v>
      </c>
      <c r="U199" s="263">
        <v>0</v>
      </c>
      <c r="V199" s="263">
        <v>0</v>
      </c>
      <c r="W199" s="263">
        <v>0</v>
      </c>
      <c r="X199" s="263">
        <v>0</v>
      </c>
      <c r="Y199" s="311">
        <v>0</v>
      </c>
      <c r="Z199" s="263">
        <v>0</v>
      </c>
      <c r="AA199" s="263">
        <v>0</v>
      </c>
      <c r="AB199" s="263">
        <v>0</v>
      </c>
      <c r="AC199" s="263">
        <v>0</v>
      </c>
    </row>
    <row r="200" spans="1:29" s="4" customFormat="1" ht="91.9" customHeight="1" outlineLevel="1" x14ac:dyDescent="0.2">
      <c r="A200" s="309" t="s">
        <v>1140</v>
      </c>
      <c r="B200" s="340" t="s">
        <v>1422</v>
      </c>
      <c r="C200" s="286">
        <f t="shared" si="107"/>
        <v>0</v>
      </c>
      <c r="D200" s="298">
        <f t="shared" si="113"/>
        <v>461</v>
      </c>
      <c r="E200" s="296">
        <v>0</v>
      </c>
      <c r="F200" s="255">
        <f t="shared" si="108"/>
        <v>461</v>
      </c>
      <c r="G200" s="255">
        <v>0</v>
      </c>
      <c r="H200" s="249">
        <v>439</v>
      </c>
      <c r="I200" s="249">
        <v>22</v>
      </c>
      <c r="J200" s="286">
        <v>0</v>
      </c>
      <c r="K200" s="263">
        <v>0</v>
      </c>
      <c r="L200" s="263">
        <v>0</v>
      </c>
      <c r="M200" s="263">
        <v>0</v>
      </c>
      <c r="N200" s="263">
        <v>0</v>
      </c>
      <c r="O200" s="311">
        <v>0</v>
      </c>
      <c r="P200" s="263">
        <f t="shared" si="114"/>
        <v>0</v>
      </c>
      <c r="Q200" s="263">
        <v>0</v>
      </c>
      <c r="R200" s="263">
        <v>0</v>
      </c>
      <c r="S200" s="263">
        <v>0</v>
      </c>
      <c r="T200" s="311">
        <v>0</v>
      </c>
      <c r="U200" s="263">
        <v>0</v>
      </c>
      <c r="V200" s="263">
        <v>0</v>
      </c>
      <c r="W200" s="263">
        <v>0</v>
      </c>
      <c r="X200" s="263">
        <v>0</v>
      </c>
      <c r="Y200" s="311">
        <v>0</v>
      </c>
      <c r="Z200" s="263">
        <v>0</v>
      </c>
      <c r="AA200" s="263">
        <v>0</v>
      </c>
      <c r="AB200" s="263">
        <v>0</v>
      </c>
      <c r="AC200" s="263">
        <v>0</v>
      </c>
    </row>
    <row r="201" spans="1:29" s="4" customFormat="1" ht="54.75" customHeight="1" outlineLevel="1" x14ac:dyDescent="0.2">
      <c r="A201" s="309" t="s">
        <v>1141</v>
      </c>
      <c r="B201" s="340" t="s">
        <v>1423</v>
      </c>
      <c r="C201" s="286">
        <f t="shared" si="107"/>
        <v>0</v>
      </c>
      <c r="D201" s="298">
        <f t="shared" si="113"/>
        <v>294</v>
      </c>
      <c r="E201" s="296">
        <v>0</v>
      </c>
      <c r="F201" s="255">
        <f t="shared" si="108"/>
        <v>294</v>
      </c>
      <c r="G201" s="255">
        <v>0</v>
      </c>
      <c r="H201" s="249">
        <v>280</v>
      </c>
      <c r="I201" s="249">
        <v>14</v>
      </c>
      <c r="J201" s="286">
        <v>0</v>
      </c>
      <c r="K201" s="263">
        <v>0</v>
      </c>
      <c r="L201" s="263">
        <v>0</v>
      </c>
      <c r="M201" s="263">
        <v>0</v>
      </c>
      <c r="N201" s="263">
        <v>0</v>
      </c>
      <c r="O201" s="311">
        <v>0</v>
      </c>
      <c r="P201" s="263">
        <f t="shared" si="114"/>
        <v>0</v>
      </c>
      <c r="Q201" s="263">
        <v>0</v>
      </c>
      <c r="R201" s="263">
        <v>0</v>
      </c>
      <c r="S201" s="263">
        <v>0</v>
      </c>
      <c r="T201" s="311">
        <v>0</v>
      </c>
      <c r="U201" s="263">
        <v>0</v>
      </c>
      <c r="V201" s="263">
        <v>0</v>
      </c>
      <c r="W201" s="263">
        <v>0</v>
      </c>
      <c r="X201" s="263">
        <v>0</v>
      </c>
      <c r="Y201" s="311">
        <v>0</v>
      </c>
      <c r="Z201" s="263">
        <v>0</v>
      </c>
      <c r="AA201" s="263">
        <v>0</v>
      </c>
      <c r="AB201" s="263">
        <v>0</v>
      </c>
      <c r="AC201" s="263">
        <v>0</v>
      </c>
    </row>
    <row r="202" spans="1:29" s="4" customFormat="1" ht="99" customHeight="1" outlineLevel="1" x14ac:dyDescent="0.2">
      <c r="A202" s="309" t="s">
        <v>1142</v>
      </c>
      <c r="B202" s="340" t="s">
        <v>1424</v>
      </c>
      <c r="C202" s="286">
        <f t="shared" si="107"/>
        <v>0</v>
      </c>
      <c r="D202" s="298">
        <f t="shared" si="113"/>
        <v>1345</v>
      </c>
      <c r="E202" s="296">
        <v>0</v>
      </c>
      <c r="F202" s="255">
        <f t="shared" si="108"/>
        <v>1345</v>
      </c>
      <c r="G202" s="255">
        <v>0</v>
      </c>
      <c r="H202" s="249">
        <v>1281</v>
      </c>
      <c r="I202" s="249">
        <v>64</v>
      </c>
      <c r="J202" s="286">
        <v>0</v>
      </c>
      <c r="K202" s="263">
        <v>0</v>
      </c>
      <c r="L202" s="263">
        <v>0</v>
      </c>
      <c r="M202" s="263">
        <v>0</v>
      </c>
      <c r="N202" s="263">
        <v>0</v>
      </c>
      <c r="O202" s="311">
        <v>0</v>
      </c>
      <c r="P202" s="263">
        <f t="shared" si="114"/>
        <v>0</v>
      </c>
      <c r="Q202" s="263">
        <v>0</v>
      </c>
      <c r="R202" s="263">
        <v>0</v>
      </c>
      <c r="S202" s="263">
        <v>0</v>
      </c>
      <c r="T202" s="311">
        <v>0</v>
      </c>
      <c r="U202" s="263">
        <v>0</v>
      </c>
      <c r="V202" s="263">
        <v>0</v>
      </c>
      <c r="W202" s="263">
        <v>0</v>
      </c>
      <c r="X202" s="263">
        <v>0</v>
      </c>
      <c r="Y202" s="311">
        <v>0</v>
      </c>
      <c r="Z202" s="263">
        <v>0</v>
      </c>
      <c r="AA202" s="263">
        <v>0</v>
      </c>
      <c r="AB202" s="263">
        <v>0</v>
      </c>
      <c r="AC202" s="263">
        <v>0</v>
      </c>
    </row>
    <row r="203" spans="1:29" s="4" customFormat="1" ht="69" customHeight="1" outlineLevel="1" x14ac:dyDescent="0.2">
      <c r="A203" s="309" t="s">
        <v>1143</v>
      </c>
      <c r="B203" s="340" t="s">
        <v>1091</v>
      </c>
      <c r="C203" s="286">
        <f t="shared" si="107"/>
        <v>0</v>
      </c>
      <c r="D203" s="298">
        <f t="shared" si="113"/>
        <v>141</v>
      </c>
      <c r="E203" s="296">
        <v>0</v>
      </c>
      <c r="F203" s="255">
        <f t="shared" si="108"/>
        <v>141</v>
      </c>
      <c r="G203" s="255">
        <v>0</v>
      </c>
      <c r="H203" s="249">
        <v>134</v>
      </c>
      <c r="I203" s="249">
        <v>7</v>
      </c>
      <c r="J203" s="286">
        <v>0</v>
      </c>
      <c r="K203" s="263">
        <v>0</v>
      </c>
      <c r="L203" s="263">
        <v>0</v>
      </c>
      <c r="M203" s="263">
        <v>0</v>
      </c>
      <c r="N203" s="263">
        <v>0</v>
      </c>
      <c r="O203" s="311">
        <v>0</v>
      </c>
      <c r="P203" s="263">
        <f t="shared" si="114"/>
        <v>0</v>
      </c>
      <c r="Q203" s="263">
        <v>0</v>
      </c>
      <c r="R203" s="263">
        <v>0</v>
      </c>
      <c r="S203" s="263">
        <v>0</v>
      </c>
      <c r="T203" s="311">
        <v>0</v>
      </c>
      <c r="U203" s="263">
        <v>0</v>
      </c>
      <c r="V203" s="263">
        <v>0</v>
      </c>
      <c r="W203" s="263">
        <v>0</v>
      </c>
      <c r="X203" s="263">
        <v>0</v>
      </c>
      <c r="Y203" s="311">
        <v>0</v>
      </c>
      <c r="Z203" s="263">
        <v>0</v>
      </c>
      <c r="AA203" s="263">
        <v>0</v>
      </c>
      <c r="AB203" s="263">
        <v>0</v>
      </c>
      <c r="AC203" s="263">
        <v>0</v>
      </c>
    </row>
    <row r="204" spans="1:29" s="4" customFormat="1" ht="76.900000000000006" customHeight="1" outlineLevel="1" x14ac:dyDescent="0.2">
      <c r="A204" s="309" t="s">
        <v>1144</v>
      </c>
      <c r="B204" s="340" t="s">
        <v>1425</v>
      </c>
      <c r="C204" s="286">
        <f t="shared" si="107"/>
        <v>0</v>
      </c>
      <c r="D204" s="298">
        <f t="shared" si="113"/>
        <v>3692</v>
      </c>
      <c r="E204" s="296">
        <v>0</v>
      </c>
      <c r="F204" s="255">
        <f>G204+H204+I204</f>
        <v>3692</v>
      </c>
      <c r="G204" s="255">
        <v>0</v>
      </c>
      <c r="H204" s="249">
        <v>3515</v>
      </c>
      <c r="I204" s="249">
        <v>177</v>
      </c>
      <c r="J204" s="286">
        <v>0</v>
      </c>
      <c r="K204" s="263">
        <v>0</v>
      </c>
      <c r="L204" s="263">
        <v>0</v>
      </c>
      <c r="M204" s="263">
        <v>0</v>
      </c>
      <c r="N204" s="263">
        <v>0</v>
      </c>
      <c r="O204" s="311">
        <v>0</v>
      </c>
      <c r="P204" s="263">
        <f t="shared" si="114"/>
        <v>0</v>
      </c>
      <c r="Q204" s="263">
        <v>0</v>
      </c>
      <c r="R204" s="263">
        <v>0</v>
      </c>
      <c r="S204" s="263">
        <v>0</v>
      </c>
      <c r="T204" s="311">
        <v>0</v>
      </c>
      <c r="U204" s="263">
        <v>0</v>
      </c>
      <c r="V204" s="263">
        <v>0</v>
      </c>
      <c r="W204" s="263">
        <v>0</v>
      </c>
      <c r="X204" s="263">
        <v>0</v>
      </c>
      <c r="Y204" s="311">
        <v>0</v>
      </c>
      <c r="Z204" s="263">
        <v>0</v>
      </c>
      <c r="AA204" s="263">
        <v>0</v>
      </c>
      <c r="AB204" s="263">
        <v>0</v>
      </c>
      <c r="AC204" s="263">
        <v>0</v>
      </c>
    </row>
    <row r="205" spans="1:29" s="4" customFormat="1" ht="75" customHeight="1" outlineLevel="1" x14ac:dyDescent="0.2">
      <c r="A205" s="309" t="s">
        <v>1145</v>
      </c>
      <c r="B205" s="340" t="s">
        <v>1092</v>
      </c>
      <c r="C205" s="286">
        <f t="shared" si="107"/>
        <v>0</v>
      </c>
      <c r="D205" s="298">
        <f t="shared" si="113"/>
        <v>3687</v>
      </c>
      <c r="E205" s="296">
        <v>0</v>
      </c>
      <c r="F205" s="255">
        <f t="shared" si="108"/>
        <v>3687</v>
      </c>
      <c r="G205" s="255">
        <v>0</v>
      </c>
      <c r="H205" s="249">
        <v>3510</v>
      </c>
      <c r="I205" s="249">
        <v>177</v>
      </c>
      <c r="J205" s="286">
        <v>0</v>
      </c>
      <c r="K205" s="263">
        <v>0</v>
      </c>
      <c r="L205" s="263">
        <v>0</v>
      </c>
      <c r="M205" s="263">
        <v>0</v>
      </c>
      <c r="N205" s="263">
        <v>0</v>
      </c>
      <c r="O205" s="311">
        <v>0</v>
      </c>
      <c r="P205" s="263">
        <f t="shared" si="114"/>
        <v>0</v>
      </c>
      <c r="Q205" s="263">
        <v>0</v>
      </c>
      <c r="R205" s="263">
        <v>0</v>
      </c>
      <c r="S205" s="263">
        <v>0</v>
      </c>
      <c r="T205" s="311">
        <v>0</v>
      </c>
      <c r="U205" s="263">
        <v>0</v>
      </c>
      <c r="V205" s="263">
        <v>0</v>
      </c>
      <c r="W205" s="263">
        <v>0</v>
      </c>
      <c r="X205" s="263">
        <v>0</v>
      </c>
      <c r="Y205" s="311">
        <v>0</v>
      </c>
      <c r="Z205" s="263">
        <v>0</v>
      </c>
      <c r="AA205" s="263">
        <v>0</v>
      </c>
      <c r="AB205" s="263">
        <v>0</v>
      </c>
      <c r="AC205" s="263">
        <v>0</v>
      </c>
    </row>
    <row r="206" spans="1:29" s="4" customFormat="1" ht="81" customHeight="1" outlineLevel="1" x14ac:dyDescent="0.2">
      <c r="A206" s="309" t="s">
        <v>1146</v>
      </c>
      <c r="B206" s="340" t="s">
        <v>1426</v>
      </c>
      <c r="C206" s="286">
        <f t="shared" si="107"/>
        <v>0</v>
      </c>
      <c r="D206" s="298">
        <f t="shared" si="113"/>
        <v>1132</v>
      </c>
      <c r="E206" s="296">
        <v>0</v>
      </c>
      <c r="F206" s="255">
        <f t="shared" si="108"/>
        <v>1132</v>
      </c>
      <c r="G206" s="255">
        <v>0</v>
      </c>
      <c r="H206" s="249">
        <v>1078</v>
      </c>
      <c r="I206" s="249">
        <v>54</v>
      </c>
      <c r="J206" s="286">
        <v>0</v>
      </c>
      <c r="K206" s="263">
        <v>0</v>
      </c>
      <c r="L206" s="263">
        <v>0</v>
      </c>
      <c r="M206" s="263">
        <v>0</v>
      </c>
      <c r="N206" s="263">
        <v>0</v>
      </c>
      <c r="O206" s="311">
        <v>0</v>
      </c>
      <c r="P206" s="263">
        <f t="shared" si="114"/>
        <v>0</v>
      </c>
      <c r="Q206" s="263">
        <v>0</v>
      </c>
      <c r="R206" s="263">
        <v>0</v>
      </c>
      <c r="S206" s="263">
        <v>0</v>
      </c>
      <c r="T206" s="311">
        <v>0</v>
      </c>
      <c r="U206" s="263">
        <v>0</v>
      </c>
      <c r="V206" s="263">
        <v>0</v>
      </c>
      <c r="W206" s="263">
        <v>0</v>
      </c>
      <c r="X206" s="263">
        <v>0</v>
      </c>
      <c r="Y206" s="311">
        <v>0</v>
      </c>
      <c r="Z206" s="263">
        <v>0</v>
      </c>
      <c r="AA206" s="263">
        <v>0</v>
      </c>
      <c r="AB206" s="263">
        <v>0</v>
      </c>
      <c r="AC206" s="263">
        <v>0</v>
      </c>
    </row>
    <row r="207" spans="1:29" s="4" customFormat="1" ht="69.599999999999994" customHeight="1" outlineLevel="1" x14ac:dyDescent="0.2">
      <c r="A207" s="309" t="s">
        <v>1147</v>
      </c>
      <c r="B207" s="340" t="s">
        <v>1093</v>
      </c>
      <c r="C207" s="286">
        <f t="shared" si="107"/>
        <v>0</v>
      </c>
      <c r="D207" s="298">
        <f t="shared" si="113"/>
        <v>1628</v>
      </c>
      <c r="E207" s="296">
        <v>0</v>
      </c>
      <c r="F207" s="255">
        <f>G207+H207+I207</f>
        <v>1628</v>
      </c>
      <c r="G207" s="255">
        <v>0</v>
      </c>
      <c r="H207" s="249">
        <v>1550</v>
      </c>
      <c r="I207" s="249">
        <v>78</v>
      </c>
      <c r="J207" s="286">
        <v>0</v>
      </c>
      <c r="K207" s="263">
        <v>0</v>
      </c>
      <c r="L207" s="263">
        <v>0</v>
      </c>
      <c r="M207" s="263">
        <v>0</v>
      </c>
      <c r="N207" s="263">
        <v>0</v>
      </c>
      <c r="O207" s="311">
        <v>0</v>
      </c>
      <c r="P207" s="263">
        <f t="shared" si="114"/>
        <v>0</v>
      </c>
      <c r="Q207" s="263">
        <v>0</v>
      </c>
      <c r="R207" s="263">
        <v>0</v>
      </c>
      <c r="S207" s="263">
        <v>0</v>
      </c>
      <c r="T207" s="311">
        <v>0</v>
      </c>
      <c r="U207" s="263">
        <v>0</v>
      </c>
      <c r="V207" s="263">
        <v>0</v>
      </c>
      <c r="W207" s="263">
        <v>0</v>
      </c>
      <c r="X207" s="263">
        <v>0</v>
      </c>
      <c r="Y207" s="311">
        <v>0</v>
      </c>
      <c r="Z207" s="263">
        <v>0</v>
      </c>
      <c r="AA207" s="263">
        <v>0</v>
      </c>
      <c r="AB207" s="263">
        <v>0</v>
      </c>
      <c r="AC207" s="263">
        <v>0</v>
      </c>
    </row>
    <row r="208" spans="1:29" s="4" customFormat="1" ht="57" customHeight="1" outlineLevel="1" x14ac:dyDescent="0.2">
      <c r="A208" s="309" t="s">
        <v>1148</v>
      </c>
      <c r="B208" s="340" t="s">
        <v>1094</v>
      </c>
      <c r="C208" s="286">
        <f t="shared" si="107"/>
        <v>0</v>
      </c>
      <c r="D208" s="298">
        <f t="shared" si="113"/>
        <v>1148</v>
      </c>
      <c r="E208" s="296">
        <v>0</v>
      </c>
      <c r="F208" s="255">
        <f>G208+H208+I208</f>
        <v>1148</v>
      </c>
      <c r="G208" s="255">
        <v>0</v>
      </c>
      <c r="H208" s="249">
        <v>1093</v>
      </c>
      <c r="I208" s="249">
        <v>55</v>
      </c>
      <c r="J208" s="286">
        <v>0</v>
      </c>
      <c r="K208" s="263">
        <v>0</v>
      </c>
      <c r="L208" s="263">
        <v>0</v>
      </c>
      <c r="M208" s="263">
        <v>0</v>
      </c>
      <c r="N208" s="263">
        <v>0</v>
      </c>
      <c r="O208" s="311">
        <v>0</v>
      </c>
      <c r="P208" s="263">
        <f t="shared" si="114"/>
        <v>0</v>
      </c>
      <c r="Q208" s="263">
        <v>0</v>
      </c>
      <c r="R208" s="263">
        <v>0</v>
      </c>
      <c r="S208" s="263">
        <v>0</v>
      </c>
      <c r="T208" s="311">
        <v>0</v>
      </c>
      <c r="U208" s="263">
        <v>0</v>
      </c>
      <c r="V208" s="263">
        <v>0</v>
      </c>
      <c r="W208" s="263">
        <v>0</v>
      </c>
      <c r="X208" s="263">
        <v>0</v>
      </c>
      <c r="Y208" s="311">
        <v>0</v>
      </c>
      <c r="Z208" s="263">
        <v>0</v>
      </c>
      <c r="AA208" s="263">
        <v>0</v>
      </c>
      <c r="AB208" s="263">
        <v>0</v>
      </c>
      <c r="AC208" s="263">
        <v>0</v>
      </c>
    </row>
    <row r="209" spans="1:29" s="4" customFormat="1" ht="63" customHeight="1" outlineLevel="1" x14ac:dyDescent="0.2">
      <c r="A209" s="309" t="s">
        <v>1149</v>
      </c>
      <c r="B209" s="340" t="s">
        <v>1427</v>
      </c>
      <c r="C209" s="286">
        <f t="shared" si="107"/>
        <v>0</v>
      </c>
      <c r="D209" s="298">
        <f t="shared" si="113"/>
        <v>795</v>
      </c>
      <c r="E209" s="296">
        <v>0</v>
      </c>
      <c r="F209" s="255">
        <f t="shared" si="108"/>
        <v>795</v>
      </c>
      <c r="G209" s="255">
        <v>0</v>
      </c>
      <c r="H209" s="249">
        <v>756</v>
      </c>
      <c r="I209" s="249">
        <v>39</v>
      </c>
      <c r="J209" s="286">
        <v>0</v>
      </c>
      <c r="K209" s="263">
        <v>0</v>
      </c>
      <c r="L209" s="263">
        <v>0</v>
      </c>
      <c r="M209" s="263">
        <v>0</v>
      </c>
      <c r="N209" s="263">
        <v>0</v>
      </c>
      <c r="O209" s="311">
        <v>0</v>
      </c>
      <c r="P209" s="263">
        <f t="shared" si="114"/>
        <v>0</v>
      </c>
      <c r="Q209" s="263">
        <v>0</v>
      </c>
      <c r="R209" s="263">
        <v>0</v>
      </c>
      <c r="S209" s="263">
        <v>0</v>
      </c>
      <c r="T209" s="311">
        <v>0</v>
      </c>
      <c r="U209" s="263">
        <v>0</v>
      </c>
      <c r="V209" s="263">
        <v>0</v>
      </c>
      <c r="W209" s="263">
        <v>0</v>
      </c>
      <c r="X209" s="263">
        <v>0</v>
      </c>
      <c r="Y209" s="311">
        <v>0</v>
      </c>
      <c r="Z209" s="263">
        <v>0</v>
      </c>
      <c r="AA209" s="263">
        <v>0</v>
      </c>
      <c r="AB209" s="263">
        <v>0</v>
      </c>
      <c r="AC209" s="263">
        <v>0</v>
      </c>
    </row>
    <row r="210" spans="1:29" s="4" customFormat="1" ht="115.9" customHeight="1" outlineLevel="1" x14ac:dyDescent="0.2">
      <c r="A210" s="309" t="s">
        <v>1150</v>
      </c>
      <c r="B210" s="340" t="s">
        <v>1095</v>
      </c>
      <c r="C210" s="286">
        <f t="shared" si="107"/>
        <v>0</v>
      </c>
      <c r="D210" s="298">
        <f t="shared" si="113"/>
        <v>5055</v>
      </c>
      <c r="E210" s="296">
        <v>0</v>
      </c>
      <c r="F210" s="255">
        <f t="shared" si="108"/>
        <v>5055</v>
      </c>
      <c r="G210" s="255">
        <v>0</v>
      </c>
      <c r="H210" s="249">
        <v>4812</v>
      </c>
      <c r="I210" s="249">
        <v>243</v>
      </c>
      <c r="J210" s="286">
        <v>0</v>
      </c>
      <c r="K210" s="263">
        <v>0</v>
      </c>
      <c r="L210" s="263">
        <v>0</v>
      </c>
      <c r="M210" s="263">
        <v>0</v>
      </c>
      <c r="N210" s="263">
        <v>0</v>
      </c>
      <c r="O210" s="311">
        <v>0</v>
      </c>
      <c r="P210" s="263">
        <f t="shared" si="114"/>
        <v>0</v>
      </c>
      <c r="Q210" s="263">
        <v>0</v>
      </c>
      <c r="R210" s="263">
        <v>0</v>
      </c>
      <c r="S210" s="263">
        <v>0</v>
      </c>
      <c r="T210" s="311">
        <v>0</v>
      </c>
      <c r="U210" s="263">
        <v>0</v>
      </c>
      <c r="V210" s="263">
        <v>0</v>
      </c>
      <c r="W210" s="263">
        <v>0</v>
      </c>
      <c r="X210" s="263">
        <v>0</v>
      </c>
      <c r="Y210" s="311">
        <v>0</v>
      </c>
      <c r="Z210" s="263">
        <v>0</v>
      </c>
      <c r="AA210" s="263">
        <v>0</v>
      </c>
      <c r="AB210" s="263">
        <v>0</v>
      </c>
      <c r="AC210" s="263">
        <v>0</v>
      </c>
    </row>
    <row r="211" spans="1:29" s="4" customFormat="1" ht="86.25" customHeight="1" outlineLevel="1" x14ac:dyDescent="0.2">
      <c r="A211" s="309" t="s">
        <v>1429</v>
      </c>
      <c r="B211" s="340" t="s">
        <v>1428</v>
      </c>
      <c r="C211" s="286">
        <f t="shared" si="107"/>
        <v>0</v>
      </c>
      <c r="D211" s="298">
        <f t="shared" si="113"/>
        <v>897</v>
      </c>
      <c r="E211" s="296">
        <v>0</v>
      </c>
      <c r="F211" s="255">
        <f t="shared" si="108"/>
        <v>897</v>
      </c>
      <c r="G211" s="255">
        <v>0</v>
      </c>
      <c r="H211" s="249">
        <v>854</v>
      </c>
      <c r="I211" s="249">
        <v>43</v>
      </c>
      <c r="J211" s="286">
        <v>0</v>
      </c>
      <c r="K211" s="263">
        <v>0</v>
      </c>
      <c r="L211" s="263">
        <v>0</v>
      </c>
      <c r="M211" s="263">
        <v>0</v>
      </c>
      <c r="N211" s="263">
        <v>0</v>
      </c>
      <c r="O211" s="311">
        <v>0</v>
      </c>
      <c r="P211" s="263">
        <f t="shared" si="114"/>
        <v>0</v>
      </c>
      <c r="Q211" s="263">
        <v>0</v>
      </c>
      <c r="R211" s="263">
        <v>0</v>
      </c>
      <c r="S211" s="263">
        <v>0</v>
      </c>
      <c r="T211" s="311">
        <v>0</v>
      </c>
      <c r="U211" s="263">
        <v>0</v>
      </c>
      <c r="V211" s="263">
        <v>0</v>
      </c>
      <c r="W211" s="263">
        <v>0</v>
      </c>
      <c r="X211" s="263">
        <v>0</v>
      </c>
      <c r="Y211" s="311">
        <v>0</v>
      </c>
      <c r="Z211" s="263">
        <v>0</v>
      </c>
      <c r="AA211" s="263">
        <v>0</v>
      </c>
      <c r="AB211" s="263">
        <v>0</v>
      </c>
      <c r="AC211" s="263">
        <v>0</v>
      </c>
    </row>
    <row r="212" spans="1:29" s="4" customFormat="1" ht="106.9" customHeight="1" outlineLevel="1" x14ac:dyDescent="0.2">
      <c r="A212" s="309" t="s">
        <v>1430</v>
      </c>
      <c r="B212" s="340" t="s">
        <v>1096</v>
      </c>
      <c r="C212" s="286">
        <f t="shared" si="107"/>
        <v>0</v>
      </c>
      <c r="D212" s="298">
        <f t="shared" si="113"/>
        <v>552</v>
      </c>
      <c r="E212" s="296">
        <v>0</v>
      </c>
      <c r="F212" s="255">
        <f>G212+H212+I212</f>
        <v>552</v>
      </c>
      <c r="G212" s="255">
        <v>0</v>
      </c>
      <c r="H212" s="249">
        <v>525</v>
      </c>
      <c r="I212" s="249">
        <v>27</v>
      </c>
      <c r="J212" s="286">
        <v>0</v>
      </c>
      <c r="K212" s="263">
        <v>0</v>
      </c>
      <c r="L212" s="263">
        <v>0</v>
      </c>
      <c r="M212" s="263">
        <v>0</v>
      </c>
      <c r="N212" s="263">
        <v>0</v>
      </c>
      <c r="O212" s="311">
        <v>0</v>
      </c>
      <c r="P212" s="263">
        <f t="shared" si="114"/>
        <v>0</v>
      </c>
      <c r="Q212" s="263">
        <v>0</v>
      </c>
      <c r="R212" s="263">
        <v>0</v>
      </c>
      <c r="S212" s="263">
        <v>0</v>
      </c>
      <c r="T212" s="311">
        <v>0</v>
      </c>
      <c r="U212" s="263">
        <v>0</v>
      </c>
      <c r="V212" s="263">
        <v>0</v>
      </c>
      <c r="W212" s="263">
        <v>0</v>
      </c>
      <c r="X212" s="263">
        <v>0</v>
      </c>
      <c r="Y212" s="311">
        <v>0</v>
      </c>
      <c r="Z212" s="263">
        <v>0</v>
      </c>
      <c r="AA212" s="263">
        <v>0</v>
      </c>
      <c r="AB212" s="263">
        <v>0</v>
      </c>
      <c r="AC212" s="263">
        <v>0</v>
      </c>
    </row>
    <row r="213" spans="1:29" s="4" customFormat="1" ht="39" customHeight="1" outlineLevel="1" x14ac:dyDescent="0.2">
      <c r="A213" s="309" t="s">
        <v>1151</v>
      </c>
      <c r="B213" s="340" t="s">
        <v>1098</v>
      </c>
      <c r="C213" s="286">
        <f>E213+J213+O213+T213+Y213</f>
        <v>0</v>
      </c>
      <c r="D213" s="298">
        <f>F213+K213+P213+U213+Z213</f>
        <v>221</v>
      </c>
      <c r="E213" s="296">
        <v>0</v>
      </c>
      <c r="F213" s="255">
        <f>G213+H213+I213</f>
        <v>221</v>
      </c>
      <c r="G213" s="255">
        <v>0</v>
      </c>
      <c r="H213" s="249">
        <v>210</v>
      </c>
      <c r="I213" s="249">
        <v>11</v>
      </c>
      <c r="J213" s="286">
        <v>0</v>
      </c>
      <c r="K213" s="263">
        <v>0</v>
      </c>
      <c r="L213" s="263">
        <v>0</v>
      </c>
      <c r="M213" s="263">
        <v>0</v>
      </c>
      <c r="N213" s="263">
        <v>0</v>
      </c>
      <c r="O213" s="311">
        <v>0</v>
      </c>
      <c r="P213" s="263">
        <f>S213</f>
        <v>0</v>
      </c>
      <c r="Q213" s="263">
        <v>0</v>
      </c>
      <c r="R213" s="263">
        <v>0</v>
      </c>
      <c r="S213" s="263">
        <v>0</v>
      </c>
      <c r="T213" s="311">
        <v>0</v>
      </c>
      <c r="U213" s="263">
        <v>0</v>
      </c>
      <c r="V213" s="263">
        <v>0</v>
      </c>
      <c r="W213" s="263">
        <v>0</v>
      </c>
      <c r="X213" s="263">
        <v>0</v>
      </c>
      <c r="Y213" s="311">
        <v>0</v>
      </c>
      <c r="Z213" s="263">
        <v>0</v>
      </c>
      <c r="AA213" s="263">
        <v>0</v>
      </c>
      <c r="AB213" s="263">
        <v>0</v>
      </c>
      <c r="AC213" s="263">
        <v>0</v>
      </c>
    </row>
    <row r="214" spans="1:29" s="4" customFormat="1" ht="105" customHeight="1" outlineLevel="1" x14ac:dyDescent="0.2">
      <c r="A214" s="309" t="s">
        <v>1152</v>
      </c>
      <c r="B214" s="340" t="s">
        <v>1102</v>
      </c>
      <c r="C214" s="286">
        <f>E214+J214+O214+T214+Y214</f>
        <v>0</v>
      </c>
      <c r="D214" s="298">
        <f>F214+K214+P214+U214+Z214</f>
        <v>1624</v>
      </c>
      <c r="E214" s="296">
        <v>0</v>
      </c>
      <c r="F214" s="255">
        <f>G214+H214+I214</f>
        <v>1624</v>
      </c>
      <c r="G214" s="255">
        <v>0</v>
      </c>
      <c r="H214" s="249">
        <v>1546</v>
      </c>
      <c r="I214" s="249">
        <v>78</v>
      </c>
      <c r="J214" s="286">
        <v>0</v>
      </c>
      <c r="K214" s="263">
        <v>0</v>
      </c>
      <c r="L214" s="263">
        <v>0</v>
      </c>
      <c r="M214" s="263">
        <v>0</v>
      </c>
      <c r="N214" s="263">
        <v>0</v>
      </c>
      <c r="O214" s="311">
        <v>0</v>
      </c>
      <c r="P214" s="263">
        <f>S214</f>
        <v>0</v>
      </c>
      <c r="Q214" s="263">
        <v>0</v>
      </c>
      <c r="R214" s="263">
        <v>0</v>
      </c>
      <c r="S214" s="263">
        <v>0</v>
      </c>
      <c r="T214" s="311">
        <v>0</v>
      </c>
      <c r="U214" s="263">
        <v>0</v>
      </c>
      <c r="V214" s="263">
        <v>0</v>
      </c>
      <c r="W214" s="263">
        <v>0</v>
      </c>
      <c r="X214" s="263">
        <v>0</v>
      </c>
      <c r="Y214" s="311">
        <v>0</v>
      </c>
      <c r="Z214" s="263">
        <v>0</v>
      </c>
      <c r="AA214" s="263">
        <v>0</v>
      </c>
      <c r="AB214" s="263">
        <v>0</v>
      </c>
      <c r="AC214" s="263">
        <v>0</v>
      </c>
    </row>
    <row r="215" spans="1:29" s="4" customFormat="1" ht="57" customHeight="1" outlineLevel="1" x14ac:dyDescent="0.2">
      <c r="A215" s="309" t="s">
        <v>1153</v>
      </c>
      <c r="B215" s="340" t="s">
        <v>1097</v>
      </c>
      <c r="C215" s="286">
        <f t="shared" ref="C215:C220" si="115">E215+J215+O215+T215+Y215</f>
        <v>0</v>
      </c>
      <c r="D215" s="298">
        <f t="shared" si="113"/>
        <v>164</v>
      </c>
      <c r="E215" s="296">
        <v>0</v>
      </c>
      <c r="F215" s="255">
        <f t="shared" ref="F215:F219" si="116">G215+H215+I215</f>
        <v>164</v>
      </c>
      <c r="G215" s="255">
        <v>0</v>
      </c>
      <c r="H215" s="249">
        <v>156</v>
      </c>
      <c r="I215" s="249">
        <v>8</v>
      </c>
      <c r="J215" s="286">
        <v>0</v>
      </c>
      <c r="K215" s="263">
        <v>0</v>
      </c>
      <c r="L215" s="263">
        <v>0</v>
      </c>
      <c r="M215" s="263">
        <v>0</v>
      </c>
      <c r="N215" s="263">
        <v>0</v>
      </c>
      <c r="O215" s="311">
        <v>0</v>
      </c>
      <c r="P215" s="263">
        <f t="shared" si="114"/>
        <v>0</v>
      </c>
      <c r="Q215" s="263">
        <v>0</v>
      </c>
      <c r="R215" s="263">
        <v>0</v>
      </c>
      <c r="S215" s="263">
        <v>0</v>
      </c>
      <c r="T215" s="311">
        <v>0</v>
      </c>
      <c r="U215" s="263">
        <v>0</v>
      </c>
      <c r="V215" s="263">
        <v>0</v>
      </c>
      <c r="W215" s="263">
        <v>0</v>
      </c>
      <c r="X215" s="263">
        <v>0</v>
      </c>
      <c r="Y215" s="311">
        <v>0</v>
      </c>
      <c r="Z215" s="263">
        <v>0</v>
      </c>
      <c r="AA215" s="263">
        <v>0</v>
      </c>
      <c r="AB215" s="263">
        <v>0</v>
      </c>
      <c r="AC215" s="263">
        <v>0</v>
      </c>
    </row>
    <row r="216" spans="1:29" s="4" customFormat="1" ht="49.9" customHeight="1" outlineLevel="1" x14ac:dyDescent="0.2">
      <c r="A216" s="309" t="s">
        <v>1154</v>
      </c>
      <c r="B216" s="340" t="s">
        <v>1099</v>
      </c>
      <c r="C216" s="286">
        <f t="shared" si="115"/>
        <v>0</v>
      </c>
      <c r="D216" s="298">
        <f t="shared" ref="D216:D220" si="117">F216+K216+P216+U216+Z216</f>
        <v>108</v>
      </c>
      <c r="E216" s="296">
        <v>0</v>
      </c>
      <c r="F216" s="255">
        <f t="shared" si="116"/>
        <v>108</v>
      </c>
      <c r="G216" s="255">
        <v>0</v>
      </c>
      <c r="H216" s="249">
        <v>102</v>
      </c>
      <c r="I216" s="249">
        <v>6</v>
      </c>
      <c r="J216" s="286">
        <v>0</v>
      </c>
      <c r="K216" s="263">
        <v>0</v>
      </c>
      <c r="L216" s="263">
        <v>0</v>
      </c>
      <c r="M216" s="263">
        <v>0</v>
      </c>
      <c r="N216" s="263">
        <v>0</v>
      </c>
      <c r="O216" s="311">
        <v>0</v>
      </c>
      <c r="P216" s="263">
        <f t="shared" ref="P216:P220" si="118">S216</f>
        <v>0</v>
      </c>
      <c r="Q216" s="263">
        <v>0</v>
      </c>
      <c r="R216" s="263">
        <v>0</v>
      </c>
      <c r="S216" s="263">
        <v>0</v>
      </c>
      <c r="T216" s="311">
        <v>0</v>
      </c>
      <c r="U216" s="263">
        <v>0</v>
      </c>
      <c r="V216" s="263">
        <v>0</v>
      </c>
      <c r="W216" s="263">
        <v>0</v>
      </c>
      <c r="X216" s="263">
        <v>0</v>
      </c>
      <c r="Y216" s="311">
        <v>0</v>
      </c>
      <c r="Z216" s="263">
        <v>0</v>
      </c>
      <c r="AA216" s="263">
        <v>0</v>
      </c>
      <c r="AB216" s="263">
        <v>0</v>
      </c>
      <c r="AC216" s="263">
        <v>0</v>
      </c>
    </row>
    <row r="217" spans="1:29" s="4" customFormat="1" ht="52.9" customHeight="1" outlineLevel="1" x14ac:dyDescent="0.2">
      <c r="A217" s="309" t="s">
        <v>1155</v>
      </c>
      <c r="B217" s="340" t="s">
        <v>1100</v>
      </c>
      <c r="C217" s="286">
        <f t="shared" si="115"/>
        <v>0</v>
      </c>
      <c r="D217" s="298">
        <f t="shared" si="117"/>
        <v>398</v>
      </c>
      <c r="E217" s="296">
        <v>0</v>
      </c>
      <c r="F217" s="255">
        <f t="shared" si="116"/>
        <v>398</v>
      </c>
      <c r="G217" s="255">
        <v>0</v>
      </c>
      <c r="H217" s="249">
        <v>379</v>
      </c>
      <c r="I217" s="249">
        <v>19</v>
      </c>
      <c r="J217" s="286">
        <v>0</v>
      </c>
      <c r="K217" s="263">
        <v>0</v>
      </c>
      <c r="L217" s="263">
        <v>0</v>
      </c>
      <c r="M217" s="263">
        <v>0</v>
      </c>
      <c r="N217" s="263">
        <v>0</v>
      </c>
      <c r="O217" s="311">
        <v>0</v>
      </c>
      <c r="P217" s="263">
        <f t="shared" si="118"/>
        <v>0</v>
      </c>
      <c r="Q217" s="263">
        <v>0</v>
      </c>
      <c r="R217" s="263">
        <v>0</v>
      </c>
      <c r="S217" s="263">
        <v>0</v>
      </c>
      <c r="T217" s="311">
        <v>0</v>
      </c>
      <c r="U217" s="263">
        <v>0</v>
      </c>
      <c r="V217" s="263">
        <v>0</v>
      </c>
      <c r="W217" s="263">
        <v>0</v>
      </c>
      <c r="X217" s="263">
        <v>0</v>
      </c>
      <c r="Y217" s="311">
        <v>0</v>
      </c>
      <c r="Z217" s="263">
        <v>0</v>
      </c>
      <c r="AA217" s="263">
        <v>0</v>
      </c>
      <c r="AB217" s="263">
        <v>0</v>
      </c>
      <c r="AC217" s="263">
        <v>0</v>
      </c>
    </row>
    <row r="218" spans="1:29" s="4" customFormat="1" ht="49.9" customHeight="1" outlineLevel="1" x14ac:dyDescent="0.2">
      <c r="A218" s="309" t="s">
        <v>1156</v>
      </c>
      <c r="B218" s="340" t="s">
        <v>1101</v>
      </c>
      <c r="C218" s="286">
        <f t="shared" si="115"/>
        <v>0</v>
      </c>
      <c r="D218" s="298">
        <f t="shared" si="117"/>
        <v>173</v>
      </c>
      <c r="E218" s="296">
        <v>0</v>
      </c>
      <c r="F218" s="255">
        <f t="shared" si="116"/>
        <v>173</v>
      </c>
      <c r="G218" s="255">
        <v>0</v>
      </c>
      <c r="H218" s="249">
        <v>165</v>
      </c>
      <c r="I218" s="249">
        <v>8</v>
      </c>
      <c r="J218" s="286">
        <v>0</v>
      </c>
      <c r="K218" s="263">
        <v>0</v>
      </c>
      <c r="L218" s="263">
        <v>0</v>
      </c>
      <c r="M218" s="263">
        <v>0</v>
      </c>
      <c r="N218" s="263">
        <v>0</v>
      </c>
      <c r="O218" s="311">
        <v>0</v>
      </c>
      <c r="P218" s="263">
        <f t="shared" si="118"/>
        <v>0</v>
      </c>
      <c r="Q218" s="263">
        <v>0</v>
      </c>
      <c r="R218" s="263">
        <v>0</v>
      </c>
      <c r="S218" s="263">
        <v>0</v>
      </c>
      <c r="T218" s="311">
        <v>0</v>
      </c>
      <c r="U218" s="263">
        <v>0</v>
      </c>
      <c r="V218" s="263">
        <v>0</v>
      </c>
      <c r="W218" s="263">
        <v>0</v>
      </c>
      <c r="X218" s="263">
        <v>0</v>
      </c>
      <c r="Y218" s="311">
        <v>0</v>
      </c>
      <c r="Z218" s="263">
        <v>0</v>
      </c>
      <c r="AA218" s="263">
        <v>0</v>
      </c>
      <c r="AB218" s="263">
        <v>0</v>
      </c>
      <c r="AC218" s="263">
        <v>0</v>
      </c>
    </row>
    <row r="219" spans="1:29" s="4" customFormat="1" ht="67.900000000000006" customHeight="1" outlineLevel="1" x14ac:dyDescent="0.2">
      <c r="A219" s="309" t="s">
        <v>1157</v>
      </c>
      <c r="B219" s="340" t="s">
        <v>1103</v>
      </c>
      <c r="C219" s="286">
        <f t="shared" si="115"/>
        <v>0</v>
      </c>
      <c r="D219" s="298">
        <f t="shared" si="117"/>
        <v>6317</v>
      </c>
      <c r="E219" s="296">
        <v>0</v>
      </c>
      <c r="F219" s="255">
        <f t="shared" si="116"/>
        <v>6317</v>
      </c>
      <c r="G219" s="255">
        <v>0</v>
      </c>
      <c r="H219" s="249">
        <v>6014</v>
      </c>
      <c r="I219" s="249">
        <v>303</v>
      </c>
      <c r="J219" s="286">
        <v>0</v>
      </c>
      <c r="K219" s="263">
        <v>0</v>
      </c>
      <c r="L219" s="263">
        <v>0</v>
      </c>
      <c r="M219" s="263">
        <v>0</v>
      </c>
      <c r="N219" s="263">
        <v>0</v>
      </c>
      <c r="O219" s="311">
        <v>0</v>
      </c>
      <c r="P219" s="263">
        <f t="shared" si="118"/>
        <v>0</v>
      </c>
      <c r="Q219" s="263">
        <v>0</v>
      </c>
      <c r="R219" s="263">
        <v>0</v>
      </c>
      <c r="S219" s="263">
        <v>0</v>
      </c>
      <c r="T219" s="311">
        <v>0</v>
      </c>
      <c r="U219" s="263">
        <v>0</v>
      </c>
      <c r="V219" s="263">
        <v>0</v>
      </c>
      <c r="W219" s="263">
        <v>0</v>
      </c>
      <c r="X219" s="263">
        <v>0</v>
      </c>
      <c r="Y219" s="311">
        <v>0</v>
      </c>
      <c r="Z219" s="263">
        <v>0</v>
      </c>
      <c r="AA219" s="263">
        <v>0</v>
      </c>
      <c r="AB219" s="263">
        <v>0</v>
      </c>
      <c r="AC219" s="263">
        <v>0</v>
      </c>
    </row>
    <row r="220" spans="1:29" s="4" customFormat="1" ht="114.75" customHeight="1" outlineLevel="1" x14ac:dyDescent="0.2">
      <c r="A220" s="309" t="s">
        <v>1158</v>
      </c>
      <c r="B220" s="340" t="s">
        <v>1104</v>
      </c>
      <c r="C220" s="286">
        <f t="shared" si="115"/>
        <v>0</v>
      </c>
      <c r="D220" s="298">
        <f t="shared" si="117"/>
        <v>21761</v>
      </c>
      <c r="E220" s="296">
        <v>0</v>
      </c>
      <c r="F220" s="255">
        <f>G220+H220+I220</f>
        <v>21761</v>
      </c>
      <c r="G220" s="255">
        <v>0</v>
      </c>
      <c r="H220" s="249">
        <v>20716</v>
      </c>
      <c r="I220" s="249">
        <v>1045</v>
      </c>
      <c r="J220" s="286">
        <v>0</v>
      </c>
      <c r="K220" s="263">
        <v>0</v>
      </c>
      <c r="L220" s="263">
        <v>0</v>
      </c>
      <c r="M220" s="263">
        <v>0</v>
      </c>
      <c r="N220" s="263">
        <v>0</v>
      </c>
      <c r="O220" s="311">
        <v>0</v>
      </c>
      <c r="P220" s="263">
        <f t="shared" si="118"/>
        <v>0</v>
      </c>
      <c r="Q220" s="263">
        <v>0</v>
      </c>
      <c r="R220" s="263">
        <v>0</v>
      </c>
      <c r="S220" s="263">
        <v>0</v>
      </c>
      <c r="T220" s="311">
        <v>0</v>
      </c>
      <c r="U220" s="263">
        <v>0</v>
      </c>
      <c r="V220" s="263">
        <v>0</v>
      </c>
      <c r="W220" s="263">
        <v>0</v>
      </c>
      <c r="X220" s="263">
        <v>0</v>
      </c>
      <c r="Y220" s="311">
        <v>0</v>
      </c>
      <c r="Z220" s="263">
        <v>0</v>
      </c>
      <c r="AA220" s="263">
        <v>0</v>
      </c>
      <c r="AB220" s="263">
        <v>0</v>
      </c>
      <c r="AC220" s="263">
        <v>0</v>
      </c>
    </row>
    <row r="221" spans="1:29" s="4" customFormat="1" ht="114.75" customHeight="1" outlineLevel="1" x14ac:dyDescent="0.2">
      <c r="A221" s="309" t="s">
        <v>1159</v>
      </c>
      <c r="B221" s="340" t="s">
        <v>1353</v>
      </c>
      <c r="C221" s="286">
        <f t="shared" ref="C221" si="119">E221+J221+O221+T221+Y221</f>
        <v>0</v>
      </c>
      <c r="D221" s="298">
        <f t="shared" ref="D221" si="120">F221+K221+P221+U221+Z221</f>
        <v>466</v>
      </c>
      <c r="E221" s="296">
        <v>0</v>
      </c>
      <c r="F221" s="255">
        <f>G221+H221+I221</f>
        <v>466</v>
      </c>
      <c r="G221" s="255">
        <v>0</v>
      </c>
      <c r="H221" s="249">
        <v>0</v>
      </c>
      <c r="I221" s="249">
        <v>466</v>
      </c>
      <c r="J221" s="286">
        <v>0</v>
      </c>
      <c r="K221" s="263">
        <v>0</v>
      </c>
      <c r="L221" s="263">
        <v>0</v>
      </c>
      <c r="M221" s="263">
        <v>0</v>
      </c>
      <c r="N221" s="263">
        <v>0</v>
      </c>
      <c r="O221" s="311">
        <v>0</v>
      </c>
      <c r="P221" s="263">
        <f t="shared" ref="P221" si="121">S221</f>
        <v>0</v>
      </c>
      <c r="Q221" s="263">
        <v>0</v>
      </c>
      <c r="R221" s="263">
        <v>0</v>
      </c>
      <c r="S221" s="263">
        <v>0</v>
      </c>
      <c r="T221" s="311">
        <v>0</v>
      </c>
      <c r="U221" s="263">
        <v>0</v>
      </c>
      <c r="V221" s="263">
        <v>0</v>
      </c>
      <c r="W221" s="263">
        <v>0</v>
      </c>
      <c r="X221" s="263">
        <v>0</v>
      </c>
      <c r="Y221" s="311">
        <v>0</v>
      </c>
      <c r="Z221" s="263">
        <v>0</v>
      </c>
      <c r="AA221" s="263">
        <v>0</v>
      </c>
      <c r="AB221" s="263">
        <v>0</v>
      </c>
      <c r="AC221" s="263">
        <v>0</v>
      </c>
    </row>
    <row r="222" spans="1:29" s="4" customFormat="1" ht="36.6" customHeight="1" outlineLevel="1" x14ac:dyDescent="0.2">
      <c r="A222" s="309" t="s">
        <v>1160</v>
      </c>
      <c r="B222" s="340" t="s">
        <v>1244</v>
      </c>
      <c r="C222" s="286">
        <f t="shared" ref="C222" si="122">E222+J222+O222+T222+Y222</f>
        <v>0</v>
      </c>
      <c r="D222" s="298">
        <f t="shared" ref="D222" si="123">F222+K222+P222+U222+Z222</f>
        <v>330</v>
      </c>
      <c r="E222" s="296">
        <v>0</v>
      </c>
      <c r="F222" s="255">
        <f t="shared" ref="F222" si="124">G222+H222+I222</f>
        <v>330</v>
      </c>
      <c r="G222" s="255">
        <v>0</v>
      </c>
      <c r="H222" s="249">
        <v>0</v>
      </c>
      <c r="I222" s="249">
        <v>330</v>
      </c>
      <c r="J222" s="286">
        <v>0</v>
      </c>
      <c r="K222" s="263">
        <v>0</v>
      </c>
      <c r="L222" s="263">
        <v>0</v>
      </c>
      <c r="M222" s="263">
        <v>0</v>
      </c>
      <c r="N222" s="263">
        <v>0</v>
      </c>
      <c r="O222" s="311">
        <v>0</v>
      </c>
      <c r="P222" s="263">
        <f t="shared" ref="P222:P223" si="125">S222</f>
        <v>0</v>
      </c>
      <c r="Q222" s="263">
        <v>0</v>
      </c>
      <c r="R222" s="263">
        <v>0</v>
      </c>
      <c r="S222" s="263">
        <v>0</v>
      </c>
      <c r="T222" s="311">
        <v>0</v>
      </c>
      <c r="U222" s="263">
        <v>0</v>
      </c>
      <c r="V222" s="263">
        <v>0</v>
      </c>
      <c r="W222" s="263">
        <v>0</v>
      </c>
      <c r="X222" s="263">
        <v>0</v>
      </c>
      <c r="Y222" s="311">
        <v>0</v>
      </c>
      <c r="Z222" s="263">
        <v>0</v>
      </c>
      <c r="AA222" s="263">
        <v>0</v>
      </c>
      <c r="AB222" s="263">
        <v>0</v>
      </c>
      <c r="AC222" s="263">
        <v>0</v>
      </c>
    </row>
    <row r="223" spans="1:29" s="4" customFormat="1" ht="36.6" customHeight="1" outlineLevel="1" x14ac:dyDescent="0.2">
      <c r="A223" s="309" t="s">
        <v>1161</v>
      </c>
      <c r="B223" s="340" t="s">
        <v>1348</v>
      </c>
      <c r="C223" s="286">
        <f t="shared" ref="C223:C224" si="126">E223+J223+O223+T223+Y223</f>
        <v>0</v>
      </c>
      <c r="D223" s="298">
        <f t="shared" ref="D223:D224" si="127">F223+K223+P223+U223+Z223</f>
        <v>117758</v>
      </c>
      <c r="E223" s="296">
        <v>0</v>
      </c>
      <c r="F223" s="255">
        <f t="shared" ref="F223:F224" si="128">G223+H223+I223</f>
        <v>0</v>
      </c>
      <c r="G223" s="255">
        <v>0</v>
      </c>
      <c r="H223" s="249">
        <v>0</v>
      </c>
      <c r="I223" s="249">
        <v>0</v>
      </c>
      <c r="J223" s="286">
        <v>0</v>
      </c>
      <c r="K223" s="263">
        <f>L223+M223+N223</f>
        <v>58879</v>
      </c>
      <c r="L223" s="263">
        <v>0</v>
      </c>
      <c r="M223" s="263">
        <v>0</v>
      </c>
      <c r="N223" s="263">
        <v>58879</v>
      </c>
      <c r="O223" s="311">
        <v>0</v>
      </c>
      <c r="P223" s="263">
        <f t="shared" si="125"/>
        <v>58879</v>
      </c>
      <c r="Q223" s="263">
        <v>0</v>
      </c>
      <c r="R223" s="263">
        <v>0</v>
      </c>
      <c r="S223" s="263">
        <v>58879</v>
      </c>
      <c r="T223" s="311">
        <v>0</v>
      </c>
      <c r="U223" s="263">
        <v>0</v>
      </c>
      <c r="V223" s="263">
        <v>0</v>
      </c>
      <c r="W223" s="263">
        <v>0</v>
      </c>
      <c r="X223" s="263">
        <v>0</v>
      </c>
      <c r="Y223" s="311">
        <v>0</v>
      </c>
      <c r="Z223" s="263">
        <v>0</v>
      </c>
      <c r="AA223" s="263">
        <v>0</v>
      </c>
      <c r="AB223" s="263">
        <v>0</v>
      </c>
      <c r="AC223" s="263">
        <v>0</v>
      </c>
    </row>
    <row r="224" spans="1:29" s="4" customFormat="1" ht="36.6" customHeight="1" outlineLevel="1" x14ac:dyDescent="0.2">
      <c r="A224" s="309" t="s">
        <v>1162</v>
      </c>
      <c r="B224" s="340" t="s">
        <v>1391</v>
      </c>
      <c r="C224" s="286">
        <f t="shared" si="126"/>
        <v>0</v>
      </c>
      <c r="D224" s="298">
        <f t="shared" si="127"/>
        <v>97</v>
      </c>
      <c r="E224" s="296">
        <v>0</v>
      </c>
      <c r="F224" s="255">
        <f t="shared" si="128"/>
        <v>97</v>
      </c>
      <c r="G224" s="255">
        <v>0</v>
      </c>
      <c r="H224" s="249">
        <v>0</v>
      </c>
      <c r="I224" s="249">
        <v>97</v>
      </c>
      <c r="J224" s="286">
        <v>0</v>
      </c>
      <c r="K224" s="263">
        <v>0</v>
      </c>
      <c r="L224" s="263">
        <v>0</v>
      </c>
      <c r="M224" s="263">
        <v>0</v>
      </c>
      <c r="N224" s="263">
        <v>0</v>
      </c>
      <c r="O224" s="311">
        <v>0</v>
      </c>
      <c r="P224" s="263">
        <f t="shared" ref="P224" si="129">S224</f>
        <v>0</v>
      </c>
      <c r="Q224" s="263">
        <v>0</v>
      </c>
      <c r="R224" s="263">
        <v>0</v>
      </c>
      <c r="S224" s="263">
        <v>0</v>
      </c>
      <c r="T224" s="311">
        <v>0</v>
      </c>
      <c r="U224" s="263">
        <v>0</v>
      </c>
      <c r="V224" s="263">
        <v>0</v>
      </c>
      <c r="W224" s="263">
        <v>0</v>
      </c>
      <c r="X224" s="263">
        <v>0</v>
      </c>
      <c r="Y224" s="311">
        <v>0</v>
      </c>
      <c r="Z224" s="263">
        <v>0</v>
      </c>
      <c r="AA224" s="263">
        <v>0</v>
      </c>
      <c r="AB224" s="263">
        <v>0</v>
      </c>
      <c r="AC224" s="263">
        <v>0</v>
      </c>
    </row>
    <row r="225" spans="1:30" s="4" customFormat="1" ht="114" customHeight="1" outlineLevel="1" x14ac:dyDescent="0.2">
      <c r="A225" s="309" t="s">
        <v>1163</v>
      </c>
      <c r="B225" s="340" t="s">
        <v>1397</v>
      </c>
      <c r="C225" s="286">
        <f t="shared" ref="C225" si="130">E225+J225+O225+T225+Y225</f>
        <v>0</v>
      </c>
      <c r="D225" s="298">
        <f t="shared" ref="D225" si="131">F225+K225+P225+U225+Z225</f>
        <v>30</v>
      </c>
      <c r="E225" s="296">
        <v>0</v>
      </c>
      <c r="F225" s="255">
        <f t="shared" ref="F225" si="132">G225+H225+I225</f>
        <v>30</v>
      </c>
      <c r="G225" s="255">
        <v>0</v>
      </c>
      <c r="H225" s="249">
        <v>0</v>
      </c>
      <c r="I225" s="249">
        <v>30</v>
      </c>
      <c r="J225" s="286">
        <v>0</v>
      </c>
      <c r="K225" s="263">
        <v>0</v>
      </c>
      <c r="L225" s="263">
        <v>0</v>
      </c>
      <c r="M225" s="263">
        <v>0</v>
      </c>
      <c r="N225" s="263">
        <v>0</v>
      </c>
      <c r="O225" s="311">
        <v>0</v>
      </c>
      <c r="P225" s="263">
        <f t="shared" ref="P225" si="133">S225</f>
        <v>0</v>
      </c>
      <c r="Q225" s="263">
        <v>0</v>
      </c>
      <c r="R225" s="263">
        <v>0</v>
      </c>
      <c r="S225" s="263">
        <v>0</v>
      </c>
      <c r="T225" s="311">
        <v>0</v>
      </c>
      <c r="U225" s="263">
        <v>0</v>
      </c>
      <c r="V225" s="263">
        <v>0</v>
      </c>
      <c r="W225" s="263">
        <v>0</v>
      </c>
      <c r="X225" s="263">
        <v>0</v>
      </c>
      <c r="Y225" s="311">
        <v>0</v>
      </c>
      <c r="Z225" s="263">
        <v>0</v>
      </c>
      <c r="AA225" s="263">
        <v>0</v>
      </c>
      <c r="AB225" s="263">
        <v>0</v>
      </c>
      <c r="AC225" s="263">
        <v>0</v>
      </c>
    </row>
    <row r="226" spans="1:30" s="4" customFormat="1" ht="27" customHeight="1" outlineLevel="1" x14ac:dyDescent="0.2">
      <c r="A226" s="309"/>
      <c r="B226" s="340" t="s">
        <v>1009</v>
      </c>
      <c r="C226" s="286">
        <f t="shared" ref="C226" si="134">E226+J226+O226+T226+Y226</f>
        <v>0</v>
      </c>
      <c r="D226" s="298">
        <f>F226+K226+P226+U226+Z226+0.4</f>
        <v>736.4</v>
      </c>
      <c r="E226" s="296">
        <v>0</v>
      </c>
      <c r="F226" s="255">
        <f t="shared" ref="F226" si="135">G226+H226+I226</f>
        <v>736</v>
      </c>
      <c r="G226" s="255">
        <v>0</v>
      </c>
      <c r="H226" s="249">
        <v>701</v>
      </c>
      <c r="I226" s="249">
        <v>35</v>
      </c>
      <c r="J226" s="286">
        <v>0</v>
      </c>
      <c r="K226" s="263">
        <f>L226+M226+N226</f>
        <v>0</v>
      </c>
      <c r="L226" s="263">
        <v>0</v>
      </c>
      <c r="M226" s="263">
        <v>0</v>
      </c>
      <c r="N226" s="263">
        <v>0</v>
      </c>
      <c r="O226" s="311">
        <v>0</v>
      </c>
      <c r="P226" s="263">
        <f t="shared" ref="P226" si="136">S226</f>
        <v>0</v>
      </c>
      <c r="Q226" s="263">
        <v>0</v>
      </c>
      <c r="R226" s="263">
        <v>0</v>
      </c>
      <c r="S226" s="263">
        <v>0</v>
      </c>
      <c r="T226" s="311">
        <v>0</v>
      </c>
      <c r="U226" s="263">
        <v>0</v>
      </c>
      <c r="V226" s="263">
        <v>0</v>
      </c>
      <c r="W226" s="263">
        <v>0</v>
      </c>
      <c r="X226" s="263">
        <v>0</v>
      </c>
      <c r="Y226" s="311">
        <v>0</v>
      </c>
      <c r="Z226" s="263">
        <v>0</v>
      </c>
      <c r="AA226" s="263">
        <v>0</v>
      </c>
      <c r="AB226" s="263">
        <v>0</v>
      </c>
      <c r="AC226" s="263">
        <v>0</v>
      </c>
    </row>
    <row r="227" spans="1:30" s="4" customFormat="1" ht="30" customHeight="1" outlineLevel="1" x14ac:dyDescent="0.2">
      <c r="A227" s="441" t="s">
        <v>1202</v>
      </c>
      <c r="B227" s="442"/>
      <c r="C227" s="442"/>
      <c r="D227" s="442"/>
      <c r="E227" s="442"/>
      <c r="F227" s="442"/>
      <c r="G227" s="442"/>
      <c r="H227" s="442"/>
      <c r="I227" s="442"/>
      <c r="J227" s="442"/>
      <c r="K227" s="442"/>
      <c r="L227" s="442"/>
      <c r="M227" s="442"/>
      <c r="N227" s="442"/>
      <c r="O227" s="442"/>
      <c r="P227" s="442"/>
      <c r="Q227" s="442"/>
      <c r="R227" s="442"/>
      <c r="S227" s="442"/>
      <c r="T227" s="442"/>
      <c r="U227" s="442"/>
      <c r="V227" s="442"/>
      <c r="W227" s="442"/>
      <c r="X227" s="442"/>
      <c r="Y227" s="442"/>
      <c r="Z227" s="442"/>
      <c r="AA227" s="442"/>
      <c r="AB227" s="442"/>
      <c r="AC227" s="443"/>
    </row>
    <row r="228" spans="1:30" s="2" customFormat="1" ht="39" customHeight="1" outlineLevel="1" x14ac:dyDescent="0.2">
      <c r="A228" s="309" t="s">
        <v>1164</v>
      </c>
      <c r="B228" s="324" t="s">
        <v>1030</v>
      </c>
      <c r="C228" s="286">
        <f t="shared" ref="C228:C238" si="137">E228+J228+O228+T228+Y228</f>
        <v>33.700000000000003</v>
      </c>
      <c r="D228" s="298">
        <f t="shared" ref="D228:D238" si="138">F228+K228+P228+U228+Z228</f>
        <v>80424</v>
      </c>
      <c r="E228" s="286">
        <v>33.700000000000003</v>
      </c>
      <c r="F228" s="255">
        <f t="shared" ref="F228:F239" si="139">G228+H228+I228</f>
        <v>80424</v>
      </c>
      <c r="G228" s="255">
        <v>0</v>
      </c>
      <c r="H228" s="249">
        <v>76564</v>
      </c>
      <c r="I228" s="249">
        <v>3860</v>
      </c>
      <c r="J228" s="286">
        <v>0</v>
      </c>
      <c r="K228" s="263">
        <f>L228+M228+N228</f>
        <v>0</v>
      </c>
      <c r="L228" s="263">
        <v>0</v>
      </c>
      <c r="M228" s="263">
        <v>0</v>
      </c>
      <c r="N228" s="263">
        <v>0</v>
      </c>
      <c r="O228" s="311">
        <v>0</v>
      </c>
      <c r="P228" s="263">
        <f t="shared" ref="P228:P239" si="140">Q228+R228+S228</f>
        <v>0</v>
      </c>
      <c r="Q228" s="263">
        <v>0</v>
      </c>
      <c r="R228" s="263">
        <v>0</v>
      </c>
      <c r="S228" s="263">
        <v>0</v>
      </c>
      <c r="T228" s="311">
        <v>0</v>
      </c>
      <c r="U228" s="263">
        <f t="shared" ref="U228:U240" si="141">V228+W228+X228</f>
        <v>0</v>
      </c>
      <c r="V228" s="263">
        <v>0</v>
      </c>
      <c r="W228" s="263">
        <v>0</v>
      </c>
      <c r="X228" s="263">
        <v>0</v>
      </c>
      <c r="Y228" s="311">
        <v>0</v>
      </c>
      <c r="Z228" s="263">
        <f t="shared" ref="Z228:Z239" si="142">AA228+AB228+AC228</f>
        <v>0</v>
      </c>
      <c r="AA228" s="263">
        <v>0</v>
      </c>
      <c r="AB228" s="263">
        <v>0</v>
      </c>
      <c r="AC228" s="263">
        <v>0</v>
      </c>
      <c r="AD228" s="2" t="s">
        <v>1245</v>
      </c>
    </row>
    <row r="229" spans="1:30" s="4" customFormat="1" ht="51" customHeight="1" outlineLevel="1" x14ac:dyDescent="0.2">
      <c r="A229" s="309" t="s">
        <v>1165</v>
      </c>
      <c r="B229" s="340" t="s">
        <v>964</v>
      </c>
      <c r="C229" s="286">
        <f t="shared" si="137"/>
        <v>14.33</v>
      </c>
      <c r="D229" s="298">
        <f t="shared" si="138"/>
        <v>31759</v>
      </c>
      <c r="E229" s="296">
        <v>14.33</v>
      </c>
      <c r="F229" s="255">
        <f t="shared" si="139"/>
        <v>31759</v>
      </c>
      <c r="G229" s="255">
        <v>0</v>
      </c>
      <c r="H229" s="249">
        <v>30235</v>
      </c>
      <c r="I229" s="255">
        <v>1524</v>
      </c>
      <c r="J229" s="286">
        <v>0</v>
      </c>
      <c r="K229" s="263">
        <f t="shared" ref="K229:K255" si="143">L229+M229+N229</f>
        <v>0</v>
      </c>
      <c r="L229" s="263">
        <v>0</v>
      </c>
      <c r="M229" s="263">
        <v>0</v>
      </c>
      <c r="N229" s="263">
        <v>0</v>
      </c>
      <c r="O229" s="311">
        <v>0</v>
      </c>
      <c r="P229" s="263">
        <f t="shared" si="140"/>
        <v>0</v>
      </c>
      <c r="Q229" s="263">
        <v>0</v>
      </c>
      <c r="R229" s="263">
        <v>0</v>
      </c>
      <c r="S229" s="263">
        <v>0</v>
      </c>
      <c r="T229" s="311">
        <v>0</v>
      </c>
      <c r="U229" s="263">
        <f t="shared" si="141"/>
        <v>0</v>
      </c>
      <c r="V229" s="263">
        <v>0</v>
      </c>
      <c r="W229" s="263">
        <v>0</v>
      </c>
      <c r="X229" s="263">
        <v>0</v>
      </c>
      <c r="Y229" s="311">
        <v>0</v>
      </c>
      <c r="Z229" s="263">
        <f t="shared" si="142"/>
        <v>0</v>
      </c>
      <c r="AA229" s="263">
        <v>0</v>
      </c>
      <c r="AB229" s="263">
        <v>0</v>
      </c>
      <c r="AC229" s="263">
        <v>0</v>
      </c>
    </row>
    <row r="230" spans="1:30" s="2" customFormat="1" ht="63.6" customHeight="1" outlineLevel="1" x14ac:dyDescent="0.2">
      <c r="A230" s="309" t="s">
        <v>1166</v>
      </c>
      <c r="B230" s="324" t="s">
        <v>1031</v>
      </c>
      <c r="C230" s="286">
        <f t="shared" si="137"/>
        <v>12.3</v>
      </c>
      <c r="D230" s="298">
        <f t="shared" si="138"/>
        <v>24595</v>
      </c>
      <c r="E230" s="325">
        <v>12.3</v>
      </c>
      <c r="F230" s="255">
        <f t="shared" si="139"/>
        <v>24595</v>
      </c>
      <c r="G230" s="255">
        <v>0</v>
      </c>
      <c r="H230" s="249">
        <v>23414</v>
      </c>
      <c r="I230" s="249">
        <v>1181</v>
      </c>
      <c r="J230" s="286">
        <v>0</v>
      </c>
      <c r="K230" s="263">
        <f t="shared" si="143"/>
        <v>0</v>
      </c>
      <c r="L230" s="263">
        <v>0</v>
      </c>
      <c r="M230" s="263">
        <v>0</v>
      </c>
      <c r="N230" s="263">
        <v>0</v>
      </c>
      <c r="O230" s="311">
        <v>0</v>
      </c>
      <c r="P230" s="263">
        <f t="shared" si="140"/>
        <v>0</v>
      </c>
      <c r="Q230" s="263">
        <v>0</v>
      </c>
      <c r="R230" s="263">
        <v>0</v>
      </c>
      <c r="S230" s="263">
        <v>0</v>
      </c>
      <c r="T230" s="311">
        <v>0</v>
      </c>
      <c r="U230" s="263">
        <f t="shared" si="141"/>
        <v>0</v>
      </c>
      <c r="V230" s="263">
        <v>0</v>
      </c>
      <c r="W230" s="263">
        <v>0</v>
      </c>
      <c r="X230" s="263">
        <v>0</v>
      </c>
      <c r="Y230" s="311">
        <v>0</v>
      </c>
      <c r="Z230" s="263">
        <f t="shared" si="142"/>
        <v>0</v>
      </c>
      <c r="AA230" s="263">
        <v>0</v>
      </c>
      <c r="AB230" s="263">
        <v>0</v>
      </c>
      <c r="AC230" s="263">
        <v>0</v>
      </c>
    </row>
    <row r="231" spans="1:30" s="2" customFormat="1" ht="84" customHeight="1" outlineLevel="1" x14ac:dyDescent="0.2">
      <c r="A231" s="309" t="s">
        <v>1167</v>
      </c>
      <c r="B231" s="324" t="s">
        <v>1032</v>
      </c>
      <c r="C231" s="286">
        <f t="shared" si="137"/>
        <v>39.11</v>
      </c>
      <c r="D231" s="298">
        <f t="shared" si="138"/>
        <v>90005</v>
      </c>
      <c r="E231" s="325">
        <v>39.11</v>
      </c>
      <c r="F231" s="255">
        <f t="shared" si="139"/>
        <v>90005</v>
      </c>
      <c r="G231" s="255">
        <v>0</v>
      </c>
      <c r="H231" s="249">
        <v>85685</v>
      </c>
      <c r="I231" s="249">
        <v>4320</v>
      </c>
      <c r="J231" s="286">
        <v>0</v>
      </c>
      <c r="K231" s="263">
        <f t="shared" si="143"/>
        <v>0</v>
      </c>
      <c r="L231" s="263">
        <v>0</v>
      </c>
      <c r="M231" s="263">
        <v>0</v>
      </c>
      <c r="N231" s="263">
        <v>0</v>
      </c>
      <c r="O231" s="311">
        <v>0</v>
      </c>
      <c r="P231" s="263">
        <f t="shared" si="140"/>
        <v>0</v>
      </c>
      <c r="Q231" s="263">
        <v>0</v>
      </c>
      <c r="R231" s="263">
        <v>0</v>
      </c>
      <c r="S231" s="263">
        <v>0</v>
      </c>
      <c r="T231" s="311">
        <v>0</v>
      </c>
      <c r="U231" s="263">
        <f t="shared" si="141"/>
        <v>0</v>
      </c>
      <c r="V231" s="263">
        <v>0</v>
      </c>
      <c r="W231" s="263">
        <v>0</v>
      </c>
      <c r="X231" s="263">
        <v>0</v>
      </c>
      <c r="Y231" s="311">
        <v>0</v>
      </c>
      <c r="Z231" s="263">
        <f t="shared" si="142"/>
        <v>0</v>
      </c>
      <c r="AA231" s="263">
        <v>0</v>
      </c>
      <c r="AB231" s="263">
        <v>0</v>
      </c>
      <c r="AC231" s="263">
        <v>0</v>
      </c>
    </row>
    <row r="232" spans="1:30" s="4" customFormat="1" ht="36" customHeight="1" outlineLevel="1" x14ac:dyDescent="0.2">
      <c r="A232" s="309" t="s">
        <v>1168</v>
      </c>
      <c r="B232" s="340" t="s">
        <v>969</v>
      </c>
      <c r="C232" s="286">
        <f t="shared" si="137"/>
        <v>6.66</v>
      </c>
      <c r="D232" s="298">
        <f t="shared" si="138"/>
        <v>14226</v>
      </c>
      <c r="E232" s="296">
        <v>6.66</v>
      </c>
      <c r="F232" s="255">
        <f t="shared" si="139"/>
        <v>14226</v>
      </c>
      <c r="G232" s="255">
        <v>0</v>
      </c>
      <c r="H232" s="249">
        <v>13543</v>
      </c>
      <c r="I232" s="255">
        <v>683</v>
      </c>
      <c r="J232" s="286">
        <v>0</v>
      </c>
      <c r="K232" s="263">
        <f t="shared" si="143"/>
        <v>0</v>
      </c>
      <c r="L232" s="263">
        <v>0</v>
      </c>
      <c r="M232" s="263">
        <v>0</v>
      </c>
      <c r="N232" s="263">
        <v>0</v>
      </c>
      <c r="O232" s="311">
        <v>0</v>
      </c>
      <c r="P232" s="263">
        <f t="shared" si="140"/>
        <v>0</v>
      </c>
      <c r="Q232" s="263">
        <v>0</v>
      </c>
      <c r="R232" s="263">
        <v>0</v>
      </c>
      <c r="S232" s="263">
        <v>0</v>
      </c>
      <c r="T232" s="311">
        <v>0</v>
      </c>
      <c r="U232" s="263">
        <f t="shared" si="141"/>
        <v>0</v>
      </c>
      <c r="V232" s="263">
        <v>0</v>
      </c>
      <c r="W232" s="263">
        <v>0</v>
      </c>
      <c r="X232" s="263">
        <v>0</v>
      </c>
      <c r="Y232" s="311">
        <v>0</v>
      </c>
      <c r="Z232" s="263">
        <f t="shared" si="142"/>
        <v>0</v>
      </c>
      <c r="AA232" s="263">
        <v>0</v>
      </c>
      <c r="AB232" s="263">
        <v>0</v>
      </c>
      <c r="AC232" s="263">
        <v>0</v>
      </c>
    </row>
    <row r="233" spans="1:30" s="2" customFormat="1" ht="49.15" customHeight="1" outlineLevel="1" x14ac:dyDescent="0.2">
      <c r="A233" s="309" t="s">
        <v>1169</v>
      </c>
      <c r="B233" s="324" t="s">
        <v>1033</v>
      </c>
      <c r="C233" s="286">
        <f t="shared" si="137"/>
        <v>26.66</v>
      </c>
      <c r="D233" s="298">
        <f t="shared" si="138"/>
        <v>67036</v>
      </c>
      <c r="E233" s="325">
        <v>26.66</v>
      </c>
      <c r="F233" s="255">
        <f t="shared" si="139"/>
        <v>67036</v>
      </c>
      <c r="G233" s="255">
        <v>0</v>
      </c>
      <c r="H233" s="249">
        <v>63818</v>
      </c>
      <c r="I233" s="249">
        <v>3218</v>
      </c>
      <c r="J233" s="286">
        <v>0</v>
      </c>
      <c r="K233" s="263">
        <f t="shared" si="143"/>
        <v>0</v>
      </c>
      <c r="L233" s="263">
        <v>0</v>
      </c>
      <c r="M233" s="263">
        <v>0</v>
      </c>
      <c r="N233" s="263">
        <v>0</v>
      </c>
      <c r="O233" s="311">
        <v>0</v>
      </c>
      <c r="P233" s="263">
        <f t="shared" si="140"/>
        <v>0</v>
      </c>
      <c r="Q233" s="263">
        <v>0</v>
      </c>
      <c r="R233" s="263">
        <v>0</v>
      </c>
      <c r="S233" s="263">
        <v>0</v>
      </c>
      <c r="T233" s="311">
        <v>0</v>
      </c>
      <c r="U233" s="263">
        <f t="shared" si="141"/>
        <v>0</v>
      </c>
      <c r="V233" s="263">
        <v>0</v>
      </c>
      <c r="W233" s="263">
        <v>0</v>
      </c>
      <c r="X233" s="263">
        <v>0</v>
      </c>
      <c r="Y233" s="311">
        <v>0</v>
      </c>
      <c r="Z233" s="263">
        <f t="shared" si="142"/>
        <v>0</v>
      </c>
      <c r="AA233" s="263">
        <v>0</v>
      </c>
      <c r="AB233" s="263">
        <v>0</v>
      </c>
      <c r="AC233" s="263">
        <v>0</v>
      </c>
    </row>
    <row r="234" spans="1:30" s="2" customFormat="1" ht="53.45" customHeight="1" outlineLevel="1" x14ac:dyDescent="0.2">
      <c r="A234" s="309" t="s">
        <v>1170</v>
      </c>
      <c r="B234" s="324" t="s">
        <v>966</v>
      </c>
      <c r="C234" s="286">
        <f t="shared" si="137"/>
        <v>51.6</v>
      </c>
      <c r="D234" s="298">
        <f t="shared" si="138"/>
        <v>106911</v>
      </c>
      <c r="E234" s="325">
        <v>51.6</v>
      </c>
      <c r="F234" s="255">
        <f t="shared" si="139"/>
        <v>106911</v>
      </c>
      <c r="G234" s="255">
        <v>0</v>
      </c>
      <c r="H234" s="249">
        <v>101779</v>
      </c>
      <c r="I234" s="249">
        <v>5132</v>
      </c>
      <c r="J234" s="286">
        <v>0</v>
      </c>
      <c r="K234" s="263">
        <f t="shared" si="143"/>
        <v>0</v>
      </c>
      <c r="L234" s="263">
        <v>0</v>
      </c>
      <c r="M234" s="263">
        <v>0</v>
      </c>
      <c r="N234" s="263">
        <v>0</v>
      </c>
      <c r="O234" s="311">
        <v>0</v>
      </c>
      <c r="P234" s="263">
        <f t="shared" si="140"/>
        <v>0</v>
      </c>
      <c r="Q234" s="263">
        <v>0</v>
      </c>
      <c r="R234" s="263">
        <v>0</v>
      </c>
      <c r="S234" s="263">
        <v>0</v>
      </c>
      <c r="T234" s="311">
        <v>0</v>
      </c>
      <c r="U234" s="263">
        <f t="shared" si="141"/>
        <v>0</v>
      </c>
      <c r="V234" s="263">
        <v>0</v>
      </c>
      <c r="W234" s="263">
        <v>0</v>
      </c>
      <c r="X234" s="263">
        <v>0</v>
      </c>
      <c r="Y234" s="311">
        <v>0</v>
      </c>
      <c r="Z234" s="263">
        <f t="shared" si="142"/>
        <v>0</v>
      </c>
      <c r="AA234" s="263">
        <v>0</v>
      </c>
      <c r="AB234" s="263">
        <v>0</v>
      </c>
      <c r="AC234" s="263">
        <v>0</v>
      </c>
    </row>
    <row r="235" spans="1:30" s="2" customFormat="1" ht="47.45" customHeight="1" outlineLevel="1" x14ac:dyDescent="0.2">
      <c r="A235" s="309" t="s">
        <v>1171</v>
      </c>
      <c r="B235" s="324" t="s">
        <v>1034</v>
      </c>
      <c r="C235" s="286">
        <f t="shared" si="137"/>
        <v>29.7</v>
      </c>
      <c r="D235" s="298">
        <f t="shared" si="138"/>
        <v>76629</v>
      </c>
      <c r="E235" s="286">
        <v>29.7</v>
      </c>
      <c r="F235" s="255">
        <f t="shared" si="139"/>
        <v>76629</v>
      </c>
      <c r="G235" s="255">
        <v>0</v>
      </c>
      <c r="H235" s="249">
        <v>72951</v>
      </c>
      <c r="I235" s="249">
        <v>3678</v>
      </c>
      <c r="J235" s="286">
        <v>0</v>
      </c>
      <c r="K235" s="263">
        <f t="shared" si="143"/>
        <v>0</v>
      </c>
      <c r="L235" s="263">
        <v>0</v>
      </c>
      <c r="M235" s="263">
        <v>0</v>
      </c>
      <c r="N235" s="263">
        <v>0</v>
      </c>
      <c r="O235" s="311">
        <v>0</v>
      </c>
      <c r="P235" s="263">
        <f t="shared" si="140"/>
        <v>0</v>
      </c>
      <c r="Q235" s="263">
        <v>0</v>
      </c>
      <c r="R235" s="263">
        <v>0</v>
      </c>
      <c r="S235" s="263">
        <v>0</v>
      </c>
      <c r="T235" s="311">
        <v>0</v>
      </c>
      <c r="U235" s="263">
        <f t="shared" si="141"/>
        <v>0</v>
      </c>
      <c r="V235" s="263">
        <v>0</v>
      </c>
      <c r="W235" s="263">
        <v>0</v>
      </c>
      <c r="X235" s="263">
        <v>0</v>
      </c>
      <c r="Y235" s="311">
        <v>0</v>
      </c>
      <c r="Z235" s="263">
        <f t="shared" si="142"/>
        <v>0</v>
      </c>
      <c r="AA235" s="263">
        <v>0</v>
      </c>
      <c r="AB235" s="263">
        <v>0</v>
      </c>
      <c r="AC235" s="263">
        <v>0</v>
      </c>
    </row>
    <row r="236" spans="1:30" s="2" customFormat="1" ht="37.15" customHeight="1" outlineLevel="1" x14ac:dyDescent="0.2">
      <c r="A236" s="309" t="s">
        <v>1172</v>
      </c>
      <c r="B236" s="324" t="s">
        <v>1035</v>
      </c>
      <c r="C236" s="286">
        <f t="shared" si="137"/>
        <v>32.51</v>
      </c>
      <c r="D236" s="298">
        <f t="shared" si="138"/>
        <v>110280</v>
      </c>
      <c r="E236" s="325">
        <v>32.51</v>
      </c>
      <c r="F236" s="255">
        <f t="shared" si="139"/>
        <v>110280</v>
      </c>
      <c r="G236" s="255">
        <v>0</v>
      </c>
      <c r="H236" s="249">
        <v>104987</v>
      </c>
      <c r="I236" s="249">
        <v>5293</v>
      </c>
      <c r="J236" s="286">
        <v>0</v>
      </c>
      <c r="K236" s="263">
        <f t="shared" si="143"/>
        <v>0</v>
      </c>
      <c r="L236" s="263">
        <v>0</v>
      </c>
      <c r="M236" s="263">
        <v>0</v>
      </c>
      <c r="N236" s="263">
        <v>0</v>
      </c>
      <c r="O236" s="311">
        <v>0</v>
      </c>
      <c r="P236" s="263">
        <f t="shared" si="140"/>
        <v>0</v>
      </c>
      <c r="Q236" s="263">
        <v>0</v>
      </c>
      <c r="R236" s="263">
        <v>0</v>
      </c>
      <c r="S236" s="263">
        <v>0</v>
      </c>
      <c r="T236" s="311">
        <v>0</v>
      </c>
      <c r="U236" s="263">
        <f t="shared" si="141"/>
        <v>0</v>
      </c>
      <c r="V236" s="263">
        <v>0</v>
      </c>
      <c r="W236" s="263">
        <v>0</v>
      </c>
      <c r="X236" s="263">
        <v>0</v>
      </c>
      <c r="Y236" s="311">
        <v>0</v>
      </c>
      <c r="Z236" s="263">
        <f t="shared" si="142"/>
        <v>0</v>
      </c>
      <c r="AA236" s="263">
        <v>0</v>
      </c>
      <c r="AB236" s="263">
        <v>0</v>
      </c>
      <c r="AC236" s="263">
        <v>0</v>
      </c>
    </row>
    <row r="237" spans="1:30" s="4" customFormat="1" ht="46.15" customHeight="1" outlineLevel="1" x14ac:dyDescent="0.2">
      <c r="A237" s="309" t="s">
        <v>1173</v>
      </c>
      <c r="B237" s="340" t="s">
        <v>1036</v>
      </c>
      <c r="C237" s="286">
        <f t="shared" si="137"/>
        <v>2.0699999999999998</v>
      </c>
      <c r="D237" s="298">
        <f t="shared" si="138"/>
        <v>3465</v>
      </c>
      <c r="E237" s="296">
        <v>2.0699999999999998</v>
      </c>
      <c r="F237" s="255">
        <f t="shared" si="139"/>
        <v>3465</v>
      </c>
      <c r="G237" s="255">
        <v>0</v>
      </c>
      <c r="H237" s="249">
        <v>3299</v>
      </c>
      <c r="I237" s="255">
        <v>166</v>
      </c>
      <c r="J237" s="286">
        <v>0</v>
      </c>
      <c r="K237" s="263">
        <f t="shared" si="143"/>
        <v>0</v>
      </c>
      <c r="L237" s="263">
        <v>0</v>
      </c>
      <c r="M237" s="263">
        <v>0</v>
      </c>
      <c r="N237" s="263">
        <v>0</v>
      </c>
      <c r="O237" s="311">
        <v>0</v>
      </c>
      <c r="P237" s="263">
        <f t="shared" si="140"/>
        <v>0</v>
      </c>
      <c r="Q237" s="263">
        <v>0</v>
      </c>
      <c r="R237" s="263">
        <v>0</v>
      </c>
      <c r="S237" s="263">
        <v>0</v>
      </c>
      <c r="T237" s="311">
        <v>0</v>
      </c>
      <c r="U237" s="263">
        <f t="shared" si="141"/>
        <v>0</v>
      </c>
      <c r="V237" s="263">
        <v>0</v>
      </c>
      <c r="W237" s="263">
        <v>0</v>
      </c>
      <c r="X237" s="263">
        <v>0</v>
      </c>
      <c r="Y237" s="311">
        <v>0</v>
      </c>
      <c r="Z237" s="263">
        <f t="shared" si="142"/>
        <v>0</v>
      </c>
      <c r="AA237" s="263">
        <v>0</v>
      </c>
      <c r="AB237" s="263">
        <v>0</v>
      </c>
      <c r="AC237" s="263">
        <v>0</v>
      </c>
    </row>
    <row r="238" spans="1:30" s="4" customFormat="1" ht="61.5" customHeight="1" outlineLevel="1" x14ac:dyDescent="0.2">
      <c r="A238" s="309" t="s">
        <v>1219</v>
      </c>
      <c r="B238" s="340" t="s">
        <v>1446</v>
      </c>
      <c r="C238" s="286">
        <f t="shared" si="137"/>
        <v>45.6</v>
      </c>
      <c r="D238" s="298">
        <f t="shared" si="138"/>
        <v>156008</v>
      </c>
      <c r="E238" s="296">
        <v>45.6</v>
      </c>
      <c r="F238" s="255">
        <f t="shared" si="139"/>
        <v>73736</v>
      </c>
      <c r="G238" s="255">
        <v>0</v>
      </c>
      <c r="H238" s="249">
        <v>70197</v>
      </c>
      <c r="I238" s="255">
        <v>3539</v>
      </c>
      <c r="J238" s="286">
        <v>0</v>
      </c>
      <c r="K238" s="263">
        <f t="shared" si="143"/>
        <v>82272</v>
      </c>
      <c r="L238" s="263">
        <v>0</v>
      </c>
      <c r="M238" s="263">
        <v>77500</v>
      </c>
      <c r="N238" s="263">
        <v>4772</v>
      </c>
      <c r="O238" s="311">
        <v>0</v>
      </c>
      <c r="P238" s="263">
        <f t="shared" si="140"/>
        <v>0</v>
      </c>
      <c r="Q238" s="263">
        <v>0</v>
      </c>
      <c r="R238" s="263">
        <v>0</v>
      </c>
      <c r="S238" s="263">
        <v>0</v>
      </c>
      <c r="T238" s="311">
        <v>0</v>
      </c>
      <c r="U238" s="263">
        <f t="shared" si="141"/>
        <v>0</v>
      </c>
      <c r="V238" s="263">
        <v>0</v>
      </c>
      <c r="W238" s="263">
        <v>0</v>
      </c>
      <c r="X238" s="263">
        <v>0</v>
      </c>
      <c r="Y238" s="311">
        <v>0</v>
      </c>
      <c r="Z238" s="263">
        <f t="shared" si="142"/>
        <v>0</v>
      </c>
      <c r="AA238" s="263">
        <v>0</v>
      </c>
      <c r="AB238" s="263">
        <v>0</v>
      </c>
      <c r="AC238" s="263">
        <v>0</v>
      </c>
    </row>
    <row r="239" spans="1:30" s="4" customFormat="1" ht="50.45" customHeight="1" outlineLevel="1" x14ac:dyDescent="0.2">
      <c r="A239" s="309" t="s">
        <v>1220</v>
      </c>
      <c r="B239" s="340" t="s">
        <v>965</v>
      </c>
      <c r="C239" s="286">
        <f t="shared" ref="C239:C240" si="144">E239+J239+O239+T239+Y239</f>
        <v>1.59</v>
      </c>
      <c r="D239" s="298">
        <f>F239+K239+P239+U239+Z239</f>
        <v>3614</v>
      </c>
      <c r="E239" s="296">
        <v>1.59</v>
      </c>
      <c r="F239" s="255">
        <f t="shared" si="139"/>
        <v>3614</v>
      </c>
      <c r="G239" s="255">
        <v>0</v>
      </c>
      <c r="H239" s="249">
        <v>3440</v>
      </c>
      <c r="I239" s="255">
        <v>174</v>
      </c>
      <c r="J239" s="286">
        <v>0</v>
      </c>
      <c r="K239" s="263">
        <f t="shared" si="143"/>
        <v>0</v>
      </c>
      <c r="L239" s="263">
        <v>0</v>
      </c>
      <c r="M239" s="263">
        <v>0</v>
      </c>
      <c r="N239" s="263">
        <v>0</v>
      </c>
      <c r="O239" s="311">
        <v>0</v>
      </c>
      <c r="P239" s="263">
        <f t="shared" si="140"/>
        <v>0</v>
      </c>
      <c r="Q239" s="263">
        <v>0</v>
      </c>
      <c r="R239" s="263">
        <v>0</v>
      </c>
      <c r="S239" s="263">
        <v>0</v>
      </c>
      <c r="T239" s="311">
        <v>0</v>
      </c>
      <c r="U239" s="263">
        <f t="shared" si="141"/>
        <v>0</v>
      </c>
      <c r="V239" s="263">
        <v>0</v>
      </c>
      <c r="W239" s="263">
        <v>0</v>
      </c>
      <c r="X239" s="263">
        <v>0</v>
      </c>
      <c r="Y239" s="311">
        <v>0</v>
      </c>
      <c r="Z239" s="263">
        <f t="shared" si="142"/>
        <v>0</v>
      </c>
      <c r="AA239" s="263">
        <v>0</v>
      </c>
      <c r="AB239" s="263">
        <v>0</v>
      </c>
      <c r="AC239" s="263">
        <v>0</v>
      </c>
    </row>
    <row r="240" spans="1:30" s="4" customFormat="1" ht="37.9" customHeight="1" outlineLevel="1" x14ac:dyDescent="0.2">
      <c r="A240" s="309" t="s">
        <v>1221</v>
      </c>
      <c r="B240" s="340" t="s">
        <v>1205</v>
      </c>
      <c r="C240" s="384">
        <f t="shared" si="144"/>
        <v>2.7109999999999999</v>
      </c>
      <c r="D240" s="298">
        <f>F240+K240+P240+U240+Z240</f>
        <v>93822</v>
      </c>
      <c r="E240" s="296">
        <v>0</v>
      </c>
      <c r="F240" s="255">
        <f t="shared" ref="F240:F246" si="145">G240+H240+I240</f>
        <v>0</v>
      </c>
      <c r="G240" s="255">
        <v>0</v>
      </c>
      <c r="H240" s="249">
        <v>0</v>
      </c>
      <c r="I240" s="249">
        <v>0</v>
      </c>
      <c r="J240" s="286">
        <v>0</v>
      </c>
      <c r="K240" s="263">
        <f t="shared" si="143"/>
        <v>0</v>
      </c>
      <c r="L240" s="263">
        <v>0</v>
      </c>
      <c r="M240" s="263">
        <v>0</v>
      </c>
      <c r="N240" s="263">
        <v>0</v>
      </c>
      <c r="O240" s="311">
        <v>0</v>
      </c>
      <c r="P240" s="263">
        <f t="shared" ref="P240:P246" si="146">Q240+R240+S240</f>
        <v>0</v>
      </c>
      <c r="Q240" s="263">
        <v>0</v>
      </c>
      <c r="R240" s="263">
        <v>0</v>
      </c>
      <c r="S240" s="263">
        <v>0</v>
      </c>
      <c r="T240" s="286">
        <v>2.7109999999999999</v>
      </c>
      <c r="U240" s="263">
        <f t="shared" si="141"/>
        <v>93822</v>
      </c>
      <c r="V240" s="263">
        <v>0</v>
      </c>
      <c r="W240" s="263">
        <v>88380</v>
      </c>
      <c r="X240" s="263">
        <v>5442</v>
      </c>
      <c r="Y240" s="311">
        <v>0</v>
      </c>
      <c r="Z240" s="263">
        <f t="shared" ref="Z240:Z246" si="147">AA240+AB240+AC240</f>
        <v>0</v>
      </c>
      <c r="AA240" s="263">
        <v>0</v>
      </c>
      <c r="AB240" s="263">
        <v>0</v>
      </c>
      <c r="AC240" s="263">
        <v>0</v>
      </c>
    </row>
    <row r="241" spans="1:30" s="4" customFormat="1" ht="34.9" customHeight="1" outlineLevel="1" x14ac:dyDescent="0.2">
      <c r="A241" s="309" t="s">
        <v>1223</v>
      </c>
      <c r="B241" s="340" t="s">
        <v>1206</v>
      </c>
      <c r="C241" s="286">
        <f t="shared" ref="C241:C246" si="148">E241+J241+O241+T241+Y241</f>
        <v>2.81</v>
      </c>
      <c r="D241" s="298">
        <f t="shared" ref="D241:D246" si="149">F241+K241+P241+U241+Z241</f>
        <v>63507</v>
      </c>
      <c r="E241" s="296">
        <v>0</v>
      </c>
      <c r="F241" s="255">
        <f t="shared" si="145"/>
        <v>0</v>
      </c>
      <c r="G241" s="255">
        <v>0</v>
      </c>
      <c r="H241" s="249">
        <v>0</v>
      </c>
      <c r="I241" s="249">
        <v>0</v>
      </c>
      <c r="J241" s="286">
        <v>2.81</v>
      </c>
      <c r="K241" s="263">
        <f t="shared" si="143"/>
        <v>63507</v>
      </c>
      <c r="L241" s="263">
        <v>0</v>
      </c>
      <c r="M241" s="263">
        <v>59824</v>
      </c>
      <c r="N241" s="263">
        <v>3683</v>
      </c>
      <c r="O241" s="311">
        <v>0</v>
      </c>
      <c r="P241" s="263">
        <f t="shared" si="146"/>
        <v>0</v>
      </c>
      <c r="Q241" s="263">
        <v>0</v>
      </c>
      <c r="R241" s="263">
        <v>0</v>
      </c>
      <c r="S241" s="263">
        <v>0</v>
      </c>
      <c r="T241" s="311">
        <v>0</v>
      </c>
      <c r="U241" s="263">
        <f t="shared" ref="U241:U246" si="150">V241+W241+X241</f>
        <v>0</v>
      </c>
      <c r="V241" s="263">
        <v>0</v>
      </c>
      <c r="W241" s="263">
        <v>0</v>
      </c>
      <c r="X241" s="263">
        <v>0</v>
      </c>
      <c r="Y241" s="311">
        <v>0</v>
      </c>
      <c r="Z241" s="263">
        <f t="shared" si="147"/>
        <v>0</v>
      </c>
      <c r="AA241" s="263">
        <v>0</v>
      </c>
      <c r="AB241" s="263">
        <v>0</v>
      </c>
      <c r="AC241" s="263">
        <v>0</v>
      </c>
    </row>
    <row r="242" spans="1:30" s="4" customFormat="1" ht="33" customHeight="1" outlineLevel="1" x14ac:dyDescent="0.2">
      <c r="A242" s="309" t="s">
        <v>1224</v>
      </c>
      <c r="B242" s="340" t="s">
        <v>1207</v>
      </c>
      <c r="C242" s="286">
        <f t="shared" si="148"/>
        <v>3.97</v>
      </c>
      <c r="D242" s="298">
        <f t="shared" si="149"/>
        <v>175721</v>
      </c>
      <c r="E242" s="296">
        <v>0</v>
      </c>
      <c r="F242" s="255">
        <f t="shared" si="145"/>
        <v>0</v>
      </c>
      <c r="G242" s="255">
        <v>0</v>
      </c>
      <c r="H242" s="249">
        <v>0</v>
      </c>
      <c r="I242" s="249">
        <v>0</v>
      </c>
      <c r="J242" s="286">
        <v>3.97</v>
      </c>
      <c r="K242" s="263">
        <f t="shared" si="143"/>
        <v>175721</v>
      </c>
      <c r="L242" s="263">
        <v>0</v>
      </c>
      <c r="M242" s="263">
        <v>165529</v>
      </c>
      <c r="N242" s="263">
        <v>10192</v>
      </c>
      <c r="O242" s="311">
        <v>0</v>
      </c>
      <c r="P242" s="263">
        <f t="shared" si="146"/>
        <v>0</v>
      </c>
      <c r="Q242" s="263">
        <v>0</v>
      </c>
      <c r="R242" s="263">
        <v>0</v>
      </c>
      <c r="S242" s="263">
        <v>0</v>
      </c>
      <c r="T242" s="311">
        <v>0</v>
      </c>
      <c r="U242" s="263">
        <f t="shared" si="150"/>
        <v>0</v>
      </c>
      <c r="V242" s="263">
        <v>0</v>
      </c>
      <c r="W242" s="263">
        <v>0</v>
      </c>
      <c r="X242" s="263">
        <v>0</v>
      </c>
      <c r="Y242" s="311">
        <v>0</v>
      </c>
      <c r="Z242" s="263">
        <f t="shared" si="147"/>
        <v>0</v>
      </c>
      <c r="AA242" s="263">
        <v>0</v>
      </c>
      <c r="AB242" s="263">
        <v>0</v>
      </c>
      <c r="AC242" s="263">
        <v>0</v>
      </c>
    </row>
    <row r="243" spans="1:30" s="4" customFormat="1" ht="45" customHeight="1" outlineLevel="1" x14ac:dyDescent="0.2">
      <c r="A243" s="309" t="s">
        <v>1225</v>
      </c>
      <c r="B243" s="340" t="s">
        <v>1208</v>
      </c>
      <c r="C243" s="286">
        <f t="shared" si="148"/>
        <v>0.86</v>
      </c>
      <c r="D243" s="298">
        <f t="shared" si="149"/>
        <v>27691</v>
      </c>
      <c r="E243" s="296">
        <v>0</v>
      </c>
      <c r="F243" s="255">
        <f t="shared" si="145"/>
        <v>0</v>
      </c>
      <c r="G243" s="255">
        <v>0</v>
      </c>
      <c r="H243" s="249">
        <v>0</v>
      </c>
      <c r="I243" s="249">
        <v>0</v>
      </c>
      <c r="J243" s="286">
        <v>0.86</v>
      </c>
      <c r="K243" s="263">
        <f t="shared" si="143"/>
        <v>27691</v>
      </c>
      <c r="L243" s="263">
        <v>0</v>
      </c>
      <c r="M243" s="263">
        <v>26085</v>
      </c>
      <c r="N243" s="263">
        <v>1606</v>
      </c>
      <c r="O243" s="311">
        <v>0</v>
      </c>
      <c r="P243" s="263">
        <f t="shared" si="146"/>
        <v>0</v>
      </c>
      <c r="Q243" s="263">
        <v>0</v>
      </c>
      <c r="R243" s="263">
        <v>0</v>
      </c>
      <c r="S243" s="263">
        <v>0</v>
      </c>
      <c r="T243" s="311">
        <v>0</v>
      </c>
      <c r="U243" s="263">
        <f t="shared" si="150"/>
        <v>0</v>
      </c>
      <c r="V243" s="263">
        <v>0</v>
      </c>
      <c r="W243" s="263">
        <v>0</v>
      </c>
      <c r="X243" s="263">
        <v>0</v>
      </c>
      <c r="Y243" s="311">
        <v>0</v>
      </c>
      <c r="Z243" s="263">
        <f t="shared" si="147"/>
        <v>0</v>
      </c>
      <c r="AA243" s="263">
        <v>0</v>
      </c>
      <c r="AB243" s="263">
        <v>0</v>
      </c>
      <c r="AC243" s="263">
        <v>0</v>
      </c>
    </row>
    <row r="244" spans="1:30" s="4" customFormat="1" ht="40.9" customHeight="1" outlineLevel="1" x14ac:dyDescent="0.2">
      <c r="A244" s="309" t="s">
        <v>1226</v>
      </c>
      <c r="B244" s="340" t="s">
        <v>1209</v>
      </c>
      <c r="C244" s="286">
        <f t="shared" si="148"/>
        <v>3.3319999999999999</v>
      </c>
      <c r="D244" s="298">
        <f t="shared" si="149"/>
        <v>104913</v>
      </c>
      <c r="E244" s="296">
        <v>0</v>
      </c>
      <c r="F244" s="255">
        <f t="shared" si="145"/>
        <v>0</v>
      </c>
      <c r="G244" s="255">
        <v>0</v>
      </c>
      <c r="H244" s="249">
        <v>0</v>
      </c>
      <c r="I244" s="249">
        <v>0</v>
      </c>
      <c r="J244" s="286">
        <v>3.3319999999999999</v>
      </c>
      <c r="K244" s="263">
        <f t="shared" si="143"/>
        <v>104913</v>
      </c>
      <c r="L244" s="263">
        <v>0</v>
      </c>
      <c r="M244" s="263">
        <v>98828</v>
      </c>
      <c r="N244" s="263">
        <v>6085</v>
      </c>
      <c r="O244" s="311">
        <v>0</v>
      </c>
      <c r="P244" s="263">
        <f t="shared" si="146"/>
        <v>0</v>
      </c>
      <c r="Q244" s="263">
        <v>0</v>
      </c>
      <c r="R244" s="263">
        <v>0</v>
      </c>
      <c r="S244" s="263">
        <v>0</v>
      </c>
      <c r="T244" s="311">
        <v>0</v>
      </c>
      <c r="U244" s="263">
        <f t="shared" si="150"/>
        <v>0</v>
      </c>
      <c r="V244" s="263">
        <v>0</v>
      </c>
      <c r="W244" s="263">
        <v>0</v>
      </c>
      <c r="X244" s="263">
        <v>0</v>
      </c>
      <c r="Y244" s="311">
        <v>0</v>
      </c>
      <c r="Z244" s="263">
        <f t="shared" si="147"/>
        <v>0</v>
      </c>
      <c r="AA244" s="263">
        <v>0</v>
      </c>
      <c r="AB244" s="263">
        <v>0</v>
      </c>
      <c r="AC244" s="263">
        <v>0</v>
      </c>
    </row>
    <row r="245" spans="1:30" s="4" customFormat="1" ht="36" customHeight="1" outlineLevel="1" x14ac:dyDescent="0.2">
      <c r="A245" s="309" t="s">
        <v>1227</v>
      </c>
      <c r="B245" s="340" t="s">
        <v>1210</v>
      </c>
      <c r="C245" s="286">
        <f t="shared" si="148"/>
        <v>1</v>
      </c>
      <c r="D245" s="298">
        <f t="shared" si="149"/>
        <v>26543</v>
      </c>
      <c r="E245" s="296">
        <v>0</v>
      </c>
      <c r="F245" s="255">
        <f t="shared" si="145"/>
        <v>0</v>
      </c>
      <c r="G245" s="255">
        <v>0</v>
      </c>
      <c r="H245" s="249">
        <v>0</v>
      </c>
      <c r="I245" s="249">
        <v>0</v>
      </c>
      <c r="J245" s="286">
        <v>1</v>
      </c>
      <c r="K245" s="263">
        <f t="shared" si="143"/>
        <v>26543</v>
      </c>
      <c r="L245" s="263">
        <v>0</v>
      </c>
      <c r="M245" s="263">
        <v>25003</v>
      </c>
      <c r="N245" s="263">
        <v>1540</v>
      </c>
      <c r="O245" s="311">
        <v>0</v>
      </c>
      <c r="P245" s="263">
        <f t="shared" si="146"/>
        <v>0</v>
      </c>
      <c r="Q245" s="263">
        <v>0</v>
      </c>
      <c r="R245" s="263">
        <v>0</v>
      </c>
      <c r="S245" s="263">
        <v>0</v>
      </c>
      <c r="T245" s="311">
        <v>0</v>
      </c>
      <c r="U245" s="263">
        <f t="shared" si="150"/>
        <v>0</v>
      </c>
      <c r="V245" s="263">
        <v>0</v>
      </c>
      <c r="W245" s="263">
        <v>0</v>
      </c>
      <c r="X245" s="263">
        <v>0</v>
      </c>
      <c r="Y245" s="311">
        <v>0</v>
      </c>
      <c r="Z245" s="263">
        <f t="shared" si="147"/>
        <v>0</v>
      </c>
      <c r="AA245" s="263">
        <v>0</v>
      </c>
      <c r="AB245" s="263">
        <v>0</v>
      </c>
      <c r="AC245" s="263">
        <v>0</v>
      </c>
    </row>
    <row r="246" spans="1:30" s="4" customFormat="1" ht="40.9" customHeight="1" outlineLevel="1" x14ac:dyDescent="0.2">
      <c r="A246" s="309" t="s">
        <v>1228</v>
      </c>
      <c r="B246" s="340" t="s">
        <v>1211</v>
      </c>
      <c r="C246" s="286">
        <f t="shared" si="148"/>
        <v>1.02</v>
      </c>
      <c r="D246" s="298">
        <f t="shared" si="149"/>
        <v>20712</v>
      </c>
      <c r="E246" s="296">
        <v>0</v>
      </c>
      <c r="F246" s="255">
        <f t="shared" si="145"/>
        <v>0</v>
      </c>
      <c r="G246" s="255">
        <v>0</v>
      </c>
      <c r="H246" s="249">
        <v>0</v>
      </c>
      <c r="I246" s="249">
        <v>0</v>
      </c>
      <c r="J246" s="286">
        <v>1.02</v>
      </c>
      <c r="K246" s="263">
        <f t="shared" si="143"/>
        <v>20712</v>
      </c>
      <c r="L246" s="263">
        <v>0</v>
      </c>
      <c r="M246" s="263">
        <v>19511</v>
      </c>
      <c r="N246" s="263">
        <v>1201</v>
      </c>
      <c r="O246" s="311">
        <v>0</v>
      </c>
      <c r="P246" s="263">
        <f t="shared" si="146"/>
        <v>0</v>
      </c>
      <c r="Q246" s="263">
        <v>0</v>
      </c>
      <c r="R246" s="263">
        <v>0</v>
      </c>
      <c r="S246" s="263">
        <v>0</v>
      </c>
      <c r="T246" s="311">
        <v>0</v>
      </c>
      <c r="U246" s="263">
        <f t="shared" si="150"/>
        <v>0</v>
      </c>
      <c r="V246" s="263">
        <v>0</v>
      </c>
      <c r="W246" s="263">
        <v>0</v>
      </c>
      <c r="X246" s="263">
        <v>0</v>
      </c>
      <c r="Y246" s="311">
        <v>0</v>
      </c>
      <c r="Z246" s="263">
        <f t="shared" si="147"/>
        <v>0</v>
      </c>
      <c r="AA246" s="263">
        <v>0</v>
      </c>
      <c r="AB246" s="263">
        <v>0</v>
      </c>
      <c r="AC246" s="263">
        <v>0</v>
      </c>
    </row>
    <row r="247" spans="1:30" s="4" customFormat="1" ht="46.9" customHeight="1" outlineLevel="1" x14ac:dyDescent="0.2">
      <c r="A247" s="309" t="s">
        <v>1229</v>
      </c>
      <c r="B247" s="340" t="s">
        <v>1212</v>
      </c>
      <c r="C247" s="286">
        <f t="shared" ref="C247:C254" si="151">E247+J247+O247+T247+Y247</f>
        <v>0.30399999999999999</v>
      </c>
      <c r="D247" s="298">
        <f t="shared" ref="D247:D254" si="152">F247+K247+P247+U247+Z247</f>
        <v>15325</v>
      </c>
      <c r="E247" s="296">
        <v>0</v>
      </c>
      <c r="F247" s="255">
        <f t="shared" ref="F247:F254" si="153">G247+H247+I247</f>
        <v>0</v>
      </c>
      <c r="G247" s="255">
        <v>0</v>
      </c>
      <c r="H247" s="249">
        <v>0</v>
      </c>
      <c r="I247" s="249">
        <v>0</v>
      </c>
      <c r="J247" s="286">
        <v>0.30399999999999999</v>
      </c>
      <c r="K247" s="263">
        <f t="shared" si="143"/>
        <v>15325</v>
      </c>
      <c r="L247" s="263">
        <v>0</v>
      </c>
      <c r="M247" s="263">
        <v>14436</v>
      </c>
      <c r="N247" s="263">
        <v>889</v>
      </c>
      <c r="O247" s="311">
        <v>0</v>
      </c>
      <c r="P247" s="263">
        <f t="shared" ref="P247:P254" si="154">Q247+R247+S247</f>
        <v>0</v>
      </c>
      <c r="Q247" s="263">
        <v>0</v>
      </c>
      <c r="R247" s="263">
        <v>0</v>
      </c>
      <c r="S247" s="263">
        <v>0</v>
      </c>
      <c r="T247" s="311">
        <v>0</v>
      </c>
      <c r="U247" s="263">
        <f t="shared" ref="U247:U254" si="155">V247+W247+X247</f>
        <v>0</v>
      </c>
      <c r="V247" s="263">
        <v>0</v>
      </c>
      <c r="W247" s="263">
        <v>0</v>
      </c>
      <c r="X247" s="263">
        <v>0</v>
      </c>
      <c r="Y247" s="311">
        <v>0</v>
      </c>
      <c r="Z247" s="263">
        <f t="shared" ref="Z247:Z254" si="156">AA247+AB247+AC247</f>
        <v>0</v>
      </c>
      <c r="AA247" s="263">
        <v>0</v>
      </c>
      <c r="AB247" s="263">
        <v>0</v>
      </c>
      <c r="AC247" s="263">
        <v>0</v>
      </c>
    </row>
    <row r="248" spans="1:30" s="4" customFormat="1" ht="46.9" customHeight="1" outlineLevel="1" x14ac:dyDescent="0.2">
      <c r="A248" s="309"/>
      <c r="B248" s="340" t="s">
        <v>1445</v>
      </c>
      <c r="C248" s="286">
        <f t="shared" ref="C248" si="157">E248+J248+O248+T248+Y248</f>
        <v>0</v>
      </c>
      <c r="D248" s="298">
        <f t="shared" ref="D248" si="158">F248+K248+P248+U248+Z248</f>
        <v>11819</v>
      </c>
      <c r="E248" s="296">
        <v>0</v>
      </c>
      <c r="F248" s="255">
        <f t="shared" ref="F248" si="159">G248+H248+I248</f>
        <v>0</v>
      </c>
      <c r="G248" s="255">
        <v>0</v>
      </c>
      <c r="H248" s="249">
        <v>0</v>
      </c>
      <c r="I248" s="249">
        <v>0</v>
      </c>
      <c r="J248" s="286">
        <v>0</v>
      </c>
      <c r="K248" s="263">
        <f t="shared" si="143"/>
        <v>11819</v>
      </c>
      <c r="L248" s="263">
        <v>0</v>
      </c>
      <c r="M248" s="263">
        <v>11133</v>
      </c>
      <c r="N248" s="263">
        <v>686</v>
      </c>
      <c r="O248" s="311">
        <v>0</v>
      </c>
      <c r="P248" s="263">
        <f t="shared" ref="P248" si="160">Q248+R248+S248</f>
        <v>0</v>
      </c>
      <c r="Q248" s="263">
        <v>0</v>
      </c>
      <c r="R248" s="263">
        <v>0</v>
      </c>
      <c r="S248" s="263">
        <v>0</v>
      </c>
      <c r="T248" s="311">
        <v>0</v>
      </c>
      <c r="U248" s="263">
        <f t="shared" ref="U248" si="161">V248+W248+X248</f>
        <v>0</v>
      </c>
      <c r="V248" s="263">
        <v>0</v>
      </c>
      <c r="W248" s="263">
        <v>0</v>
      </c>
      <c r="X248" s="263">
        <v>0</v>
      </c>
      <c r="Y248" s="311">
        <v>0</v>
      </c>
      <c r="Z248" s="263">
        <f t="shared" ref="Z248" si="162">AA248+AB248+AC248</f>
        <v>0</v>
      </c>
      <c r="AA248" s="263">
        <v>0</v>
      </c>
      <c r="AB248" s="263">
        <v>0</v>
      </c>
      <c r="AC248" s="263">
        <v>0</v>
      </c>
    </row>
    <row r="249" spans="1:30" s="4" customFormat="1" ht="39" customHeight="1" outlineLevel="1" x14ac:dyDescent="0.2">
      <c r="A249" s="309" t="s">
        <v>1230</v>
      </c>
      <c r="B249" s="340" t="s">
        <v>1213</v>
      </c>
      <c r="C249" s="286">
        <f t="shared" si="151"/>
        <v>0.85</v>
      </c>
      <c r="D249" s="298">
        <f t="shared" si="152"/>
        <v>36791</v>
      </c>
      <c r="E249" s="296">
        <v>0</v>
      </c>
      <c r="F249" s="255">
        <f t="shared" si="153"/>
        <v>0</v>
      </c>
      <c r="G249" s="255">
        <v>0</v>
      </c>
      <c r="H249" s="249">
        <v>0</v>
      </c>
      <c r="I249" s="249">
        <v>0</v>
      </c>
      <c r="J249" s="286">
        <v>0</v>
      </c>
      <c r="K249" s="263">
        <f t="shared" si="143"/>
        <v>0</v>
      </c>
      <c r="L249" s="263">
        <v>0</v>
      </c>
      <c r="M249" s="263">
        <v>0</v>
      </c>
      <c r="N249" s="263">
        <v>0</v>
      </c>
      <c r="O249" s="311">
        <v>0.85</v>
      </c>
      <c r="P249" s="263">
        <f t="shared" si="154"/>
        <v>36791</v>
      </c>
      <c r="Q249" s="263">
        <v>0</v>
      </c>
      <c r="R249" s="263">
        <v>34657</v>
      </c>
      <c r="S249" s="263">
        <v>2134</v>
      </c>
      <c r="T249" s="311">
        <v>0</v>
      </c>
      <c r="U249" s="263">
        <f t="shared" si="155"/>
        <v>0</v>
      </c>
      <c r="V249" s="263">
        <v>0</v>
      </c>
      <c r="W249" s="263">
        <v>0</v>
      </c>
      <c r="X249" s="263">
        <v>0</v>
      </c>
      <c r="Y249" s="311">
        <v>0</v>
      </c>
      <c r="Z249" s="263">
        <f t="shared" si="156"/>
        <v>0</v>
      </c>
      <c r="AA249" s="263">
        <v>0</v>
      </c>
      <c r="AB249" s="263">
        <v>0</v>
      </c>
      <c r="AC249" s="263">
        <v>0</v>
      </c>
    </row>
    <row r="250" spans="1:30" s="4" customFormat="1" ht="31.9" customHeight="1" outlineLevel="1" x14ac:dyDescent="0.2">
      <c r="A250" s="309" t="s">
        <v>1231</v>
      </c>
      <c r="B250" s="340" t="s">
        <v>1214</v>
      </c>
      <c r="C250" s="286">
        <f t="shared" si="151"/>
        <v>2.15</v>
      </c>
      <c r="D250" s="298">
        <f t="shared" si="152"/>
        <v>98782.5</v>
      </c>
      <c r="E250" s="296">
        <v>0</v>
      </c>
      <c r="F250" s="255">
        <f t="shared" si="153"/>
        <v>0</v>
      </c>
      <c r="G250" s="255">
        <v>0</v>
      </c>
      <c r="H250" s="249">
        <v>0</v>
      </c>
      <c r="I250" s="249">
        <v>0</v>
      </c>
      <c r="J250" s="286">
        <v>0</v>
      </c>
      <c r="K250" s="263">
        <f t="shared" si="143"/>
        <v>0</v>
      </c>
      <c r="L250" s="263">
        <v>0</v>
      </c>
      <c r="M250" s="263">
        <v>0</v>
      </c>
      <c r="N250" s="263">
        <v>0</v>
      </c>
      <c r="O250" s="311">
        <v>2.15</v>
      </c>
      <c r="P250" s="263">
        <f>Q250+R250+S250</f>
        <v>98782.5</v>
      </c>
      <c r="Q250" s="263">
        <v>0</v>
      </c>
      <c r="R250" s="263">
        <v>93053</v>
      </c>
      <c r="S250" s="263">
        <f>5729+0.5</f>
        <v>5729.5</v>
      </c>
      <c r="T250" s="311">
        <v>0</v>
      </c>
      <c r="U250" s="263">
        <f t="shared" si="155"/>
        <v>0</v>
      </c>
      <c r="V250" s="263">
        <v>0</v>
      </c>
      <c r="W250" s="263">
        <v>0</v>
      </c>
      <c r="X250" s="263">
        <v>0</v>
      </c>
      <c r="Y250" s="311">
        <v>0</v>
      </c>
      <c r="Z250" s="263">
        <f t="shared" si="156"/>
        <v>0</v>
      </c>
      <c r="AA250" s="263">
        <v>0</v>
      </c>
      <c r="AB250" s="263">
        <v>0</v>
      </c>
      <c r="AC250" s="263">
        <v>0</v>
      </c>
    </row>
    <row r="251" spans="1:30" s="4" customFormat="1" ht="46.9" customHeight="1" outlineLevel="1" x14ac:dyDescent="0.2">
      <c r="A251" s="309" t="s">
        <v>1232</v>
      </c>
      <c r="B251" s="340" t="s">
        <v>1215</v>
      </c>
      <c r="C251" s="286">
        <f t="shared" si="151"/>
        <v>3.5</v>
      </c>
      <c r="D251" s="298">
        <f>F251+K251+P251+U251+Z251</f>
        <v>113899</v>
      </c>
      <c r="E251" s="296">
        <v>0</v>
      </c>
      <c r="F251" s="255">
        <f t="shared" si="153"/>
        <v>0</v>
      </c>
      <c r="G251" s="255">
        <v>0</v>
      </c>
      <c r="H251" s="249">
        <v>0</v>
      </c>
      <c r="I251" s="249">
        <v>0</v>
      </c>
      <c r="J251" s="286">
        <v>0</v>
      </c>
      <c r="K251" s="263">
        <f t="shared" si="143"/>
        <v>0</v>
      </c>
      <c r="L251" s="263">
        <v>0</v>
      </c>
      <c r="M251" s="263">
        <v>0</v>
      </c>
      <c r="N251" s="263">
        <v>0</v>
      </c>
      <c r="O251" s="311">
        <v>3.5</v>
      </c>
      <c r="P251" s="263">
        <f t="shared" si="154"/>
        <v>113899</v>
      </c>
      <c r="Q251" s="263">
        <v>0</v>
      </c>
      <c r="R251" s="263">
        <v>107293</v>
      </c>
      <c r="S251" s="263">
        <v>6606</v>
      </c>
      <c r="T251" s="311">
        <v>0</v>
      </c>
      <c r="U251" s="263">
        <f t="shared" si="155"/>
        <v>0</v>
      </c>
      <c r="V251" s="263">
        <v>0</v>
      </c>
      <c r="W251" s="263">
        <v>0</v>
      </c>
      <c r="X251" s="263">
        <v>0</v>
      </c>
      <c r="Y251" s="311">
        <v>0</v>
      </c>
      <c r="Z251" s="263">
        <f t="shared" si="156"/>
        <v>0</v>
      </c>
      <c r="AA251" s="263">
        <v>0</v>
      </c>
      <c r="AB251" s="263">
        <v>0</v>
      </c>
      <c r="AC251" s="263">
        <v>0</v>
      </c>
    </row>
    <row r="252" spans="1:30" s="4" customFormat="1" ht="37.9" customHeight="1" outlineLevel="1" x14ac:dyDescent="0.2">
      <c r="A252" s="309" t="s">
        <v>1246</v>
      </c>
      <c r="B252" s="340" t="s">
        <v>1216</v>
      </c>
      <c r="C252" s="286">
        <f t="shared" si="151"/>
        <v>0.65</v>
      </c>
      <c r="D252" s="298">
        <f t="shared" si="152"/>
        <v>9890</v>
      </c>
      <c r="E252" s="296">
        <v>0</v>
      </c>
      <c r="F252" s="255">
        <f t="shared" si="153"/>
        <v>0</v>
      </c>
      <c r="G252" s="255">
        <v>0</v>
      </c>
      <c r="H252" s="249">
        <v>0</v>
      </c>
      <c r="I252" s="249">
        <v>0</v>
      </c>
      <c r="J252" s="286">
        <v>0</v>
      </c>
      <c r="K252" s="263">
        <f t="shared" si="143"/>
        <v>0</v>
      </c>
      <c r="L252" s="263">
        <v>0</v>
      </c>
      <c r="M252" s="263">
        <v>0</v>
      </c>
      <c r="N252" s="263">
        <v>0</v>
      </c>
      <c r="O252" s="311">
        <v>0.65</v>
      </c>
      <c r="P252" s="263">
        <f t="shared" si="154"/>
        <v>9890</v>
      </c>
      <c r="Q252" s="263">
        <v>0</v>
      </c>
      <c r="R252" s="263">
        <v>9316</v>
      </c>
      <c r="S252" s="263">
        <v>574</v>
      </c>
      <c r="T252" s="311">
        <v>0</v>
      </c>
      <c r="U252" s="263">
        <f t="shared" si="155"/>
        <v>0</v>
      </c>
      <c r="V252" s="263">
        <v>0</v>
      </c>
      <c r="W252" s="263">
        <v>0</v>
      </c>
      <c r="X252" s="263">
        <v>0</v>
      </c>
      <c r="Y252" s="311">
        <v>0</v>
      </c>
      <c r="Z252" s="263">
        <f t="shared" si="156"/>
        <v>0</v>
      </c>
      <c r="AA252" s="263">
        <v>0</v>
      </c>
      <c r="AB252" s="263">
        <v>0</v>
      </c>
      <c r="AC252" s="263">
        <v>0</v>
      </c>
    </row>
    <row r="253" spans="1:30" s="4" customFormat="1" ht="33" customHeight="1" outlineLevel="1" x14ac:dyDescent="0.2">
      <c r="A253" s="309" t="s">
        <v>1354</v>
      </c>
      <c r="B253" s="340" t="s">
        <v>1217</v>
      </c>
      <c r="C253" s="286">
        <f t="shared" si="151"/>
        <v>1.7</v>
      </c>
      <c r="D253" s="298">
        <f t="shared" si="152"/>
        <v>88090</v>
      </c>
      <c r="E253" s="296">
        <v>0</v>
      </c>
      <c r="F253" s="255">
        <f t="shared" si="153"/>
        <v>0</v>
      </c>
      <c r="G253" s="255">
        <v>0</v>
      </c>
      <c r="H253" s="249">
        <v>0</v>
      </c>
      <c r="I253" s="249">
        <v>0</v>
      </c>
      <c r="J253" s="286">
        <v>0</v>
      </c>
      <c r="K253" s="263">
        <f t="shared" si="143"/>
        <v>0</v>
      </c>
      <c r="L253" s="263">
        <v>0</v>
      </c>
      <c r="M253" s="263">
        <v>0</v>
      </c>
      <c r="N253" s="263">
        <v>0</v>
      </c>
      <c r="O253" s="311">
        <v>1.7</v>
      </c>
      <c r="P253" s="263">
        <f t="shared" si="154"/>
        <v>88090</v>
      </c>
      <c r="Q253" s="263">
        <v>0</v>
      </c>
      <c r="R253" s="263">
        <v>82981</v>
      </c>
      <c r="S253" s="263">
        <v>5109</v>
      </c>
      <c r="T253" s="311">
        <v>0</v>
      </c>
      <c r="U253" s="263">
        <f t="shared" si="155"/>
        <v>0</v>
      </c>
      <c r="V253" s="263">
        <v>0</v>
      </c>
      <c r="W253" s="263">
        <v>0</v>
      </c>
      <c r="X253" s="263">
        <v>0</v>
      </c>
      <c r="Y253" s="311">
        <v>0</v>
      </c>
      <c r="Z253" s="263">
        <f t="shared" si="156"/>
        <v>0</v>
      </c>
      <c r="AA253" s="263">
        <v>0</v>
      </c>
      <c r="AB253" s="263">
        <v>0</v>
      </c>
      <c r="AC253" s="263">
        <v>0</v>
      </c>
    </row>
    <row r="254" spans="1:30" s="4" customFormat="1" ht="36" customHeight="1" outlineLevel="1" x14ac:dyDescent="0.2">
      <c r="A254" s="309" t="s">
        <v>1392</v>
      </c>
      <c r="B254" s="340" t="s">
        <v>1218</v>
      </c>
      <c r="C254" s="286">
        <f t="shared" si="151"/>
        <v>0.6</v>
      </c>
      <c r="D254" s="298">
        <f t="shared" si="152"/>
        <v>20930</v>
      </c>
      <c r="E254" s="296">
        <v>0</v>
      </c>
      <c r="F254" s="255">
        <f t="shared" si="153"/>
        <v>0</v>
      </c>
      <c r="G254" s="255">
        <v>0</v>
      </c>
      <c r="H254" s="249">
        <v>0</v>
      </c>
      <c r="I254" s="249">
        <v>0</v>
      </c>
      <c r="J254" s="286">
        <v>0</v>
      </c>
      <c r="K254" s="263">
        <f t="shared" si="143"/>
        <v>0</v>
      </c>
      <c r="L254" s="263">
        <v>0</v>
      </c>
      <c r="M254" s="263">
        <v>0</v>
      </c>
      <c r="N254" s="263">
        <v>0</v>
      </c>
      <c r="O254" s="311">
        <v>0.6</v>
      </c>
      <c r="P254" s="263">
        <f t="shared" si="154"/>
        <v>20930</v>
      </c>
      <c r="Q254" s="263">
        <v>0</v>
      </c>
      <c r="R254" s="263">
        <v>19716</v>
      </c>
      <c r="S254" s="263">
        <v>1214</v>
      </c>
      <c r="T254" s="311">
        <v>0</v>
      </c>
      <c r="U254" s="263">
        <f t="shared" si="155"/>
        <v>0</v>
      </c>
      <c r="V254" s="263">
        <v>0</v>
      </c>
      <c r="W254" s="263">
        <v>0</v>
      </c>
      <c r="X254" s="263">
        <v>0</v>
      </c>
      <c r="Y254" s="311">
        <v>0</v>
      </c>
      <c r="Z254" s="263">
        <f t="shared" si="156"/>
        <v>0</v>
      </c>
      <c r="AA254" s="263">
        <v>0</v>
      </c>
      <c r="AB254" s="263">
        <v>0</v>
      </c>
      <c r="AC254" s="263">
        <v>0</v>
      </c>
    </row>
    <row r="255" spans="1:30" s="4" customFormat="1" ht="27" customHeight="1" outlineLevel="1" x14ac:dyDescent="0.2">
      <c r="A255" s="309"/>
      <c r="B255" s="340" t="s">
        <v>1009</v>
      </c>
      <c r="C255" s="286">
        <f t="shared" ref="C255" si="163">E255+J255+O255+T255+Y255</f>
        <v>0</v>
      </c>
      <c r="D255" s="298">
        <f>F255+K255+P255+U255+Z255</f>
        <v>11233.9</v>
      </c>
      <c r="E255" s="296">
        <v>0</v>
      </c>
      <c r="F255" s="255">
        <f>H255+I255</f>
        <v>11232</v>
      </c>
      <c r="G255" s="255">
        <v>0</v>
      </c>
      <c r="H255" s="249">
        <v>10692</v>
      </c>
      <c r="I255" s="249">
        <v>540</v>
      </c>
      <c r="J255" s="286">
        <v>0</v>
      </c>
      <c r="K255" s="263">
        <f t="shared" si="143"/>
        <v>1.9</v>
      </c>
      <c r="L255" s="263">
        <v>0</v>
      </c>
      <c r="M255" s="263">
        <v>1.9</v>
      </c>
      <c r="N255" s="263">
        <v>0</v>
      </c>
      <c r="O255" s="311">
        <v>0</v>
      </c>
      <c r="P255" s="263">
        <f t="shared" ref="P255" si="164">Q255+R255+S255</f>
        <v>0</v>
      </c>
      <c r="Q255" s="263">
        <v>0</v>
      </c>
      <c r="R255" s="263">
        <v>0</v>
      </c>
      <c r="S255" s="263">
        <v>0</v>
      </c>
      <c r="T255" s="311">
        <v>0</v>
      </c>
      <c r="U255" s="263">
        <f t="shared" ref="U255" si="165">V255+W255+X255</f>
        <v>0</v>
      </c>
      <c r="V255" s="263">
        <v>0</v>
      </c>
      <c r="W255" s="263">
        <v>0</v>
      </c>
      <c r="X255" s="263">
        <v>0</v>
      </c>
      <c r="Y255" s="311">
        <v>0</v>
      </c>
      <c r="Z255" s="263">
        <f t="shared" ref="Z255" si="166">AA255+AB255+AC255</f>
        <v>0</v>
      </c>
      <c r="AA255" s="263">
        <v>0</v>
      </c>
      <c r="AB255" s="263">
        <v>0</v>
      </c>
      <c r="AC255" s="263">
        <v>0</v>
      </c>
    </row>
    <row r="256" spans="1:30" s="8" customFormat="1" ht="42" customHeight="1" x14ac:dyDescent="0.2">
      <c r="A256" s="309"/>
      <c r="B256" s="321" t="s">
        <v>84</v>
      </c>
      <c r="C256" s="349">
        <f t="shared" ref="C256:AC256" si="167">SUM(C110:C255)</f>
        <v>1405.0619999999997</v>
      </c>
      <c r="D256" s="254">
        <f>SUM(D110:D255)</f>
        <v>4292418.8000000007</v>
      </c>
      <c r="E256" s="349">
        <f t="shared" si="167"/>
        <v>315.35999999999996</v>
      </c>
      <c r="F256" s="254">
        <f>SUM(F110:F255)</f>
        <v>809679</v>
      </c>
      <c r="G256" s="254">
        <f t="shared" si="167"/>
        <v>0</v>
      </c>
      <c r="H256" s="254">
        <f t="shared" si="167"/>
        <v>766047</v>
      </c>
      <c r="I256" s="254">
        <f t="shared" si="167"/>
        <v>43632</v>
      </c>
      <c r="J256" s="349">
        <f t="shared" si="167"/>
        <v>13.296000000000001</v>
      </c>
      <c r="K256" s="254">
        <f t="shared" si="167"/>
        <v>590388.9</v>
      </c>
      <c r="L256" s="254">
        <f t="shared" si="167"/>
        <v>0</v>
      </c>
      <c r="M256" s="254">
        <f t="shared" si="167"/>
        <v>497850.9</v>
      </c>
      <c r="N256" s="254">
        <f t="shared" si="167"/>
        <v>92538</v>
      </c>
      <c r="O256" s="349">
        <f t="shared" si="167"/>
        <v>9.4499999999999993</v>
      </c>
      <c r="P256" s="254">
        <f t="shared" si="167"/>
        <v>430266.5</v>
      </c>
      <c r="Q256" s="254">
        <f t="shared" si="167"/>
        <v>0</v>
      </c>
      <c r="R256" s="254">
        <f t="shared" si="167"/>
        <v>347016</v>
      </c>
      <c r="S256" s="254">
        <f t="shared" si="167"/>
        <v>83250.5</v>
      </c>
      <c r="T256" s="349">
        <f t="shared" si="167"/>
        <v>550.58100000000002</v>
      </c>
      <c r="U256" s="254">
        <f t="shared" si="167"/>
        <v>1179046</v>
      </c>
      <c r="V256" s="254">
        <f t="shared" si="167"/>
        <v>0</v>
      </c>
      <c r="W256" s="254">
        <f t="shared" si="167"/>
        <v>1116300</v>
      </c>
      <c r="X256" s="254">
        <f t="shared" si="167"/>
        <v>62746</v>
      </c>
      <c r="Y256" s="349">
        <f t="shared" si="167"/>
        <v>516.375</v>
      </c>
      <c r="Z256" s="254">
        <f t="shared" si="167"/>
        <v>1283038</v>
      </c>
      <c r="AA256" s="258">
        <f t="shared" si="167"/>
        <v>0</v>
      </c>
      <c r="AB256" s="254">
        <f t="shared" si="167"/>
        <v>1225718</v>
      </c>
      <c r="AC256" s="254">
        <f t="shared" si="167"/>
        <v>57320</v>
      </c>
      <c r="AD256" s="7"/>
    </row>
    <row r="257" spans="1:31" s="71" customFormat="1" ht="30" customHeight="1" x14ac:dyDescent="0.2">
      <c r="A257" s="440" t="s">
        <v>828</v>
      </c>
      <c r="B257" s="440"/>
      <c r="C257" s="440"/>
      <c r="D257" s="440"/>
      <c r="E257" s="440"/>
      <c r="F257" s="440"/>
      <c r="G257" s="440"/>
      <c r="H257" s="440"/>
      <c r="I257" s="440"/>
      <c r="J257" s="440"/>
      <c r="K257" s="440"/>
      <c r="L257" s="440"/>
      <c r="M257" s="440"/>
      <c r="N257" s="440"/>
      <c r="O257" s="440"/>
      <c r="P257" s="440"/>
      <c r="Q257" s="440"/>
      <c r="R257" s="440"/>
      <c r="S257" s="440"/>
      <c r="T257" s="440"/>
      <c r="U257" s="440"/>
      <c r="V257" s="440"/>
      <c r="W257" s="440"/>
      <c r="X257" s="440"/>
      <c r="Y257" s="440"/>
      <c r="Z257" s="440"/>
      <c r="AA257" s="440"/>
      <c r="AB257" s="440"/>
      <c r="AC257" s="440"/>
    </row>
    <row r="258" spans="1:31" s="8" customFormat="1" ht="78" customHeight="1" outlineLevel="1" x14ac:dyDescent="0.2">
      <c r="A258" s="319" t="s">
        <v>8</v>
      </c>
      <c r="B258" s="350" t="s">
        <v>101</v>
      </c>
      <c r="C258" s="311">
        <f>E258+J258+O258+T258+Y258</f>
        <v>761.7</v>
      </c>
      <c r="D258" s="263">
        <f>F258+K258+P258+U258+Z258</f>
        <v>866906</v>
      </c>
      <c r="E258" s="311">
        <v>85.67</v>
      </c>
      <c r="F258" s="255">
        <f>G258+H258+I258</f>
        <v>142702</v>
      </c>
      <c r="G258" s="263">
        <v>0</v>
      </c>
      <c r="H258" s="263">
        <v>135000</v>
      </c>
      <c r="I258" s="263">
        <v>7702</v>
      </c>
      <c r="J258" s="311">
        <v>15</v>
      </c>
      <c r="K258" s="255">
        <f>SUM(L258:N258)</f>
        <v>6615</v>
      </c>
      <c r="L258" s="263">
        <v>0</v>
      </c>
      <c r="M258" s="263">
        <v>0</v>
      </c>
      <c r="N258" s="263">
        <v>6615</v>
      </c>
      <c r="O258" s="311">
        <v>13.03</v>
      </c>
      <c r="P258" s="263">
        <f>Q258+R258+S258</f>
        <v>6615</v>
      </c>
      <c r="Q258" s="263">
        <v>0</v>
      </c>
      <c r="R258" s="263">
        <v>0</v>
      </c>
      <c r="S258" s="263">
        <v>6615</v>
      </c>
      <c r="T258" s="311">
        <v>321</v>
      </c>
      <c r="U258" s="263">
        <f>V258+W258+X258</f>
        <v>352679</v>
      </c>
      <c r="V258" s="263">
        <v>0</v>
      </c>
      <c r="W258" s="263">
        <v>338219</v>
      </c>
      <c r="X258" s="263">
        <v>14460</v>
      </c>
      <c r="Y258" s="311">
        <v>327</v>
      </c>
      <c r="Z258" s="263">
        <f>AA258+AB258+AC258</f>
        <v>358295</v>
      </c>
      <c r="AA258" s="263">
        <v>0</v>
      </c>
      <c r="AB258" s="263">
        <f>ROUND(358295*0.959,0)</f>
        <v>343605</v>
      </c>
      <c r="AC258" s="263">
        <f>ROUND(358295*0.041,0)</f>
        <v>14690</v>
      </c>
      <c r="AE258" s="7"/>
    </row>
    <row r="259" spans="1:31" s="6" customFormat="1" ht="125.45" customHeight="1" outlineLevel="1" x14ac:dyDescent="0.2">
      <c r="A259" s="319" t="s">
        <v>9</v>
      </c>
      <c r="B259" s="350" t="s">
        <v>102</v>
      </c>
      <c r="C259" s="311">
        <v>0</v>
      </c>
      <c r="D259" s="263">
        <f>F259+K259+P259+U259+Z259</f>
        <v>7988</v>
      </c>
      <c r="E259" s="311">
        <v>0</v>
      </c>
      <c r="F259" s="255">
        <v>0</v>
      </c>
      <c r="G259" s="263">
        <v>0</v>
      </c>
      <c r="H259" s="263">
        <v>0</v>
      </c>
      <c r="I259" s="263">
        <v>0</v>
      </c>
      <c r="J259" s="311">
        <v>0</v>
      </c>
      <c r="K259" s="255">
        <f>SUM(L259:N259)</f>
        <v>0</v>
      </c>
      <c r="L259" s="263">
        <v>0</v>
      </c>
      <c r="M259" s="263">
        <v>0</v>
      </c>
      <c r="N259" s="263">
        <v>0</v>
      </c>
      <c r="O259" s="311">
        <v>0</v>
      </c>
      <c r="P259" s="263">
        <v>0</v>
      </c>
      <c r="Q259" s="263">
        <v>0</v>
      </c>
      <c r="R259" s="263">
        <v>0</v>
      </c>
      <c r="S259" s="263">
        <v>0</v>
      </c>
      <c r="T259" s="311">
        <v>0</v>
      </c>
      <c r="U259" s="263">
        <f>V259+W259+X259</f>
        <v>3922</v>
      </c>
      <c r="V259" s="263">
        <v>0</v>
      </c>
      <c r="W259" s="263">
        <v>0</v>
      </c>
      <c r="X259" s="263">
        <v>3922</v>
      </c>
      <c r="Y259" s="311">
        <v>0</v>
      </c>
      <c r="Z259" s="263">
        <f>AA259+AB259+AC259</f>
        <v>4066</v>
      </c>
      <c r="AA259" s="263">
        <v>0</v>
      </c>
      <c r="AB259" s="263">
        <v>0</v>
      </c>
      <c r="AC259" s="263">
        <v>4066</v>
      </c>
    </row>
    <row r="260" spans="1:31" s="8" customFormat="1" ht="46.9" customHeight="1" x14ac:dyDescent="0.2">
      <c r="A260" s="319"/>
      <c r="B260" s="351" t="s">
        <v>18</v>
      </c>
      <c r="C260" s="322">
        <f>C258+C259</f>
        <v>761.7</v>
      </c>
      <c r="D260" s="248">
        <f>F260+K260+P260+U260+Z260</f>
        <v>874894</v>
      </c>
      <c r="E260" s="322">
        <f t="shared" ref="E260:J260" si="168">E258+E259</f>
        <v>85.67</v>
      </c>
      <c r="F260" s="254">
        <f>F258+F259</f>
        <v>142702</v>
      </c>
      <c r="G260" s="254">
        <f t="shared" si="168"/>
        <v>0</v>
      </c>
      <c r="H260" s="254">
        <f t="shared" si="168"/>
        <v>135000</v>
      </c>
      <c r="I260" s="254">
        <f t="shared" si="168"/>
        <v>7702</v>
      </c>
      <c r="J260" s="322">
        <f t="shared" si="168"/>
        <v>15</v>
      </c>
      <c r="K260" s="254">
        <f>SUM(L260:N260)</f>
        <v>6615</v>
      </c>
      <c r="L260" s="254">
        <f t="shared" ref="L260:AC260" si="169">L258+L259</f>
        <v>0</v>
      </c>
      <c r="M260" s="254">
        <f t="shared" si="169"/>
        <v>0</v>
      </c>
      <c r="N260" s="254">
        <f t="shared" si="169"/>
        <v>6615</v>
      </c>
      <c r="O260" s="322">
        <f t="shared" si="169"/>
        <v>13.03</v>
      </c>
      <c r="P260" s="254">
        <f t="shared" si="169"/>
        <v>6615</v>
      </c>
      <c r="Q260" s="254">
        <f t="shared" si="169"/>
        <v>0</v>
      </c>
      <c r="R260" s="254">
        <f t="shared" si="169"/>
        <v>0</v>
      </c>
      <c r="S260" s="254">
        <f t="shared" si="169"/>
        <v>6615</v>
      </c>
      <c r="T260" s="322">
        <f t="shared" si="169"/>
        <v>321</v>
      </c>
      <c r="U260" s="254">
        <f t="shared" si="169"/>
        <v>356601</v>
      </c>
      <c r="V260" s="254">
        <f t="shared" si="169"/>
        <v>0</v>
      </c>
      <c r="W260" s="254">
        <f t="shared" si="169"/>
        <v>338219</v>
      </c>
      <c r="X260" s="254">
        <f t="shared" si="169"/>
        <v>18382</v>
      </c>
      <c r="Y260" s="322">
        <f t="shared" si="169"/>
        <v>327</v>
      </c>
      <c r="Z260" s="254">
        <f t="shared" si="169"/>
        <v>362361</v>
      </c>
      <c r="AA260" s="254">
        <f t="shared" si="169"/>
        <v>0</v>
      </c>
      <c r="AB260" s="254">
        <f t="shared" si="169"/>
        <v>343605</v>
      </c>
      <c r="AC260" s="254">
        <f t="shared" si="169"/>
        <v>18756</v>
      </c>
      <c r="AD260" s="7"/>
    </row>
    <row r="261" spans="1:31" s="8" customFormat="1" ht="42" customHeight="1" x14ac:dyDescent="0.2">
      <c r="A261" s="431" t="s">
        <v>839</v>
      </c>
      <c r="B261" s="432"/>
      <c r="C261" s="432"/>
      <c r="D261" s="432"/>
      <c r="E261" s="432"/>
      <c r="F261" s="432"/>
      <c r="G261" s="432"/>
      <c r="H261" s="432"/>
      <c r="I261" s="432"/>
      <c r="J261" s="432"/>
      <c r="K261" s="432"/>
      <c r="L261" s="432"/>
      <c r="M261" s="432"/>
      <c r="N261" s="432"/>
      <c r="O261" s="432"/>
      <c r="P261" s="432"/>
      <c r="Q261" s="432"/>
      <c r="R261" s="432"/>
      <c r="S261" s="432"/>
      <c r="T261" s="432"/>
      <c r="U261" s="432"/>
      <c r="V261" s="432"/>
      <c r="W261" s="432"/>
      <c r="X261" s="432"/>
      <c r="Y261" s="432"/>
      <c r="Z261" s="432"/>
      <c r="AA261" s="432"/>
      <c r="AB261" s="432"/>
      <c r="AC261" s="433"/>
      <c r="AD261" s="7"/>
    </row>
    <row r="262" spans="1:31" s="8" customFormat="1" ht="25.15" customHeight="1" x14ac:dyDescent="0.2">
      <c r="A262" s="352"/>
      <c r="B262" s="353" t="s">
        <v>231</v>
      </c>
      <c r="C262" s="354"/>
      <c r="D262" s="355"/>
      <c r="E262" s="322"/>
      <c r="F262" s="258"/>
      <c r="G262" s="258"/>
      <c r="H262" s="258"/>
      <c r="I262" s="258"/>
      <c r="J262" s="322"/>
      <c r="K262" s="349"/>
      <c r="L262" s="258"/>
      <c r="M262" s="258"/>
      <c r="N262" s="258"/>
      <c r="O262" s="322"/>
      <c r="P262" s="356"/>
      <c r="Q262" s="258"/>
      <c r="R262" s="258"/>
      <c r="S262" s="354"/>
      <c r="T262" s="322"/>
      <c r="U262" s="357"/>
      <c r="V262" s="258"/>
      <c r="W262" s="258"/>
      <c r="X262" s="258"/>
      <c r="Y262" s="322"/>
      <c r="Z262" s="358"/>
      <c r="AA262" s="358"/>
      <c r="AB262" s="358"/>
      <c r="AC262" s="358"/>
      <c r="AD262" s="7"/>
    </row>
    <row r="263" spans="1:31" s="8" customFormat="1" ht="31.15" customHeight="1" x14ac:dyDescent="0.2">
      <c r="A263" s="359" t="s">
        <v>751</v>
      </c>
      <c r="B263" s="353" t="s">
        <v>442</v>
      </c>
      <c r="C263" s="354">
        <f>SUM(C264:C392)</f>
        <v>250.72000000000006</v>
      </c>
      <c r="D263" s="360">
        <f>F263+K263+P263+U263+Z263</f>
        <v>62633</v>
      </c>
      <c r="E263" s="354">
        <f t="shared" ref="E263:AC263" si="170">SUM(E264:E392)</f>
        <v>0</v>
      </c>
      <c r="F263" s="259">
        <f t="shared" si="170"/>
        <v>0</v>
      </c>
      <c r="G263" s="259">
        <f t="shared" si="170"/>
        <v>0</v>
      </c>
      <c r="H263" s="259">
        <f t="shared" si="170"/>
        <v>0</v>
      </c>
      <c r="I263" s="259">
        <f t="shared" si="170"/>
        <v>0</v>
      </c>
      <c r="J263" s="354">
        <f t="shared" si="170"/>
        <v>0</v>
      </c>
      <c r="K263" s="259">
        <f t="shared" ref="K263:K326" si="171">SUM(L263:N263)</f>
        <v>0</v>
      </c>
      <c r="L263" s="259">
        <f t="shared" si="170"/>
        <v>0</v>
      </c>
      <c r="M263" s="259">
        <f t="shared" si="170"/>
        <v>0</v>
      </c>
      <c r="N263" s="259">
        <f t="shared" si="170"/>
        <v>0</v>
      </c>
      <c r="O263" s="354">
        <f t="shared" si="170"/>
        <v>0</v>
      </c>
      <c r="P263" s="360">
        <f>Q263+R263+S263</f>
        <v>0</v>
      </c>
      <c r="Q263" s="259">
        <f t="shared" si="170"/>
        <v>0</v>
      </c>
      <c r="R263" s="259">
        <f t="shared" si="170"/>
        <v>0</v>
      </c>
      <c r="S263" s="259">
        <f t="shared" si="170"/>
        <v>0</v>
      </c>
      <c r="T263" s="354">
        <f>SUM(T264:T392)</f>
        <v>115.18</v>
      </c>
      <c r="U263" s="360">
        <f>V263+W263+X263</f>
        <v>28773</v>
      </c>
      <c r="V263" s="259">
        <f t="shared" si="170"/>
        <v>0</v>
      </c>
      <c r="W263" s="259">
        <f t="shared" si="170"/>
        <v>0</v>
      </c>
      <c r="X263" s="259">
        <f t="shared" si="170"/>
        <v>28773</v>
      </c>
      <c r="Y263" s="354">
        <f t="shared" si="170"/>
        <v>135.53999999999996</v>
      </c>
      <c r="Z263" s="259">
        <f t="shared" si="170"/>
        <v>33860</v>
      </c>
      <c r="AA263" s="259">
        <f t="shared" si="170"/>
        <v>0</v>
      </c>
      <c r="AB263" s="259">
        <f t="shared" si="170"/>
        <v>0</v>
      </c>
      <c r="AC263" s="259">
        <f t="shared" si="170"/>
        <v>33860</v>
      </c>
      <c r="AD263" s="7"/>
    </row>
    <row r="264" spans="1:31" s="8" customFormat="1" ht="34.9" customHeight="1" outlineLevel="1" x14ac:dyDescent="0.2">
      <c r="A264" s="352" t="s">
        <v>752</v>
      </c>
      <c r="B264" s="324" t="s">
        <v>232</v>
      </c>
      <c r="C264" s="286">
        <f t="shared" ref="C264:C327" si="172">E264+J264+O264+T264+Y264</f>
        <v>5.13</v>
      </c>
      <c r="D264" s="361">
        <f t="shared" ref="D264:D326" si="173">F264+K264+P264+U264+Z264</f>
        <v>1281</v>
      </c>
      <c r="E264" s="311">
        <v>0</v>
      </c>
      <c r="F264" s="260">
        <f t="shared" ref="F264:F327" si="174">G264+H264+I264</f>
        <v>0</v>
      </c>
      <c r="G264" s="361">
        <v>0</v>
      </c>
      <c r="H264" s="361">
        <v>0</v>
      </c>
      <c r="I264" s="361">
        <v>0</v>
      </c>
      <c r="J264" s="311">
        <v>0</v>
      </c>
      <c r="K264" s="260">
        <f t="shared" si="171"/>
        <v>0</v>
      </c>
      <c r="L264" s="361">
        <v>0</v>
      </c>
      <c r="M264" s="361">
        <v>0</v>
      </c>
      <c r="N264" s="361">
        <v>0</v>
      </c>
      <c r="O264" s="29">
        <v>0</v>
      </c>
      <c r="P264" s="361">
        <f t="shared" ref="P264:P327" si="175">Q264+R264+S264</f>
        <v>0</v>
      </c>
      <c r="Q264" s="361">
        <v>0</v>
      </c>
      <c r="R264" s="361">
        <v>0</v>
      </c>
      <c r="S264" s="362">
        <v>0</v>
      </c>
      <c r="T264" s="29">
        <f>ROUND(5.125,2)</f>
        <v>5.13</v>
      </c>
      <c r="U264" s="361">
        <f t="shared" ref="U264:U327" si="176">V264+W264+X264</f>
        <v>1281</v>
      </c>
      <c r="V264" s="361">
        <v>0</v>
      </c>
      <c r="W264" s="361">
        <v>0</v>
      </c>
      <c r="X264" s="362">
        <v>1281</v>
      </c>
      <c r="Y264" s="29">
        <v>0</v>
      </c>
      <c r="Z264" s="361">
        <f t="shared" ref="Z264:Z327" si="177">AA264+AB264+AC264</f>
        <v>0</v>
      </c>
      <c r="AA264" s="361">
        <v>0</v>
      </c>
      <c r="AB264" s="361">
        <v>0</v>
      </c>
      <c r="AC264" s="362">
        <v>0</v>
      </c>
      <c r="AD264" s="7"/>
    </row>
    <row r="265" spans="1:31" s="8" customFormat="1" ht="34.9" customHeight="1" outlineLevel="1" x14ac:dyDescent="0.2">
      <c r="A265" s="352" t="s">
        <v>469</v>
      </c>
      <c r="B265" s="324" t="s">
        <v>233</v>
      </c>
      <c r="C265" s="286">
        <f t="shared" si="172"/>
        <v>2.7</v>
      </c>
      <c r="D265" s="361">
        <f t="shared" si="173"/>
        <v>675</v>
      </c>
      <c r="E265" s="311">
        <v>0</v>
      </c>
      <c r="F265" s="260">
        <f t="shared" si="174"/>
        <v>0</v>
      </c>
      <c r="G265" s="361">
        <v>0</v>
      </c>
      <c r="H265" s="361">
        <v>0</v>
      </c>
      <c r="I265" s="361">
        <v>0</v>
      </c>
      <c r="J265" s="311">
        <v>0</v>
      </c>
      <c r="K265" s="260">
        <f t="shared" si="171"/>
        <v>0</v>
      </c>
      <c r="L265" s="361">
        <v>0</v>
      </c>
      <c r="M265" s="361">
        <v>0</v>
      </c>
      <c r="N265" s="361">
        <v>0</v>
      </c>
      <c r="O265" s="29">
        <v>0</v>
      </c>
      <c r="P265" s="361">
        <f t="shared" si="175"/>
        <v>0</v>
      </c>
      <c r="Q265" s="361">
        <v>0</v>
      </c>
      <c r="R265" s="361">
        <v>0</v>
      </c>
      <c r="S265" s="362">
        <v>0</v>
      </c>
      <c r="T265" s="29">
        <v>2.7</v>
      </c>
      <c r="U265" s="361">
        <f t="shared" si="176"/>
        <v>675</v>
      </c>
      <c r="V265" s="361">
        <v>0</v>
      </c>
      <c r="W265" s="361">
        <v>0</v>
      </c>
      <c r="X265" s="362">
        <v>675</v>
      </c>
      <c r="Y265" s="29">
        <v>0</v>
      </c>
      <c r="Z265" s="361">
        <f t="shared" si="177"/>
        <v>0</v>
      </c>
      <c r="AA265" s="361">
        <v>0</v>
      </c>
      <c r="AB265" s="361">
        <v>0</v>
      </c>
      <c r="AC265" s="362">
        <v>0</v>
      </c>
      <c r="AD265" s="7"/>
    </row>
    <row r="266" spans="1:31" s="8" customFormat="1" ht="24" customHeight="1" outlineLevel="1" x14ac:dyDescent="0.2">
      <c r="A266" s="352" t="s">
        <v>470</v>
      </c>
      <c r="B266" s="324" t="s">
        <v>234</v>
      </c>
      <c r="C266" s="286">
        <f t="shared" si="172"/>
        <v>2.56</v>
      </c>
      <c r="D266" s="361">
        <f t="shared" si="173"/>
        <v>639</v>
      </c>
      <c r="E266" s="311">
        <v>0</v>
      </c>
      <c r="F266" s="260">
        <f t="shared" si="174"/>
        <v>0</v>
      </c>
      <c r="G266" s="361">
        <v>0</v>
      </c>
      <c r="H266" s="361">
        <v>0</v>
      </c>
      <c r="I266" s="361">
        <v>0</v>
      </c>
      <c r="J266" s="311">
        <v>0</v>
      </c>
      <c r="K266" s="260">
        <f t="shared" si="171"/>
        <v>0</v>
      </c>
      <c r="L266" s="361">
        <v>0</v>
      </c>
      <c r="M266" s="361">
        <v>0</v>
      </c>
      <c r="N266" s="361">
        <v>0</v>
      </c>
      <c r="O266" s="29">
        <v>0</v>
      </c>
      <c r="P266" s="361">
        <f t="shared" si="175"/>
        <v>0</v>
      </c>
      <c r="Q266" s="361">
        <v>0</v>
      </c>
      <c r="R266" s="361">
        <v>0</v>
      </c>
      <c r="S266" s="362">
        <v>0</v>
      </c>
      <c r="T266" s="29">
        <f>ROUND(2.555,2)</f>
        <v>2.56</v>
      </c>
      <c r="U266" s="361">
        <f t="shared" si="176"/>
        <v>639</v>
      </c>
      <c r="V266" s="361">
        <v>0</v>
      </c>
      <c r="W266" s="361">
        <v>0</v>
      </c>
      <c r="X266" s="362">
        <v>639</v>
      </c>
      <c r="Y266" s="29">
        <v>0</v>
      </c>
      <c r="Z266" s="361">
        <f t="shared" si="177"/>
        <v>0</v>
      </c>
      <c r="AA266" s="361">
        <v>0</v>
      </c>
      <c r="AB266" s="361">
        <v>0</v>
      </c>
      <c r="AC266" s="362">
        <v>0</v>
      </c>
      <c r="AD266" s="7"/>
    </row>
    <row r="267" spans="1:31" s="8" customFormat="1" ht="27" customHeight="1" outlineLevel="1" x14ac:dyDescent="0.2">
      <c r="A267" s="352" t="s">
        <v>471</v>
      </c>
      <c r="B267" s="363" t="s">
        <v>235</v>
      </c>
      <c r="C267" s="286">
        <f t="shared" si="172"/>
        <v>3.3</v>
      </c>
      <c r="D267" s="361">
        <f t="shared" si="173"/>
        <v>824</v>
      </c>
      <c r="E267" s="311">
        <v>0</v>
      </c>
      <c r="F267" s="260">
        <f t="shared" si="174"/>
        <v>0</v>
      </c>
      <c r="G267" s="361">
        <v>0</v>
      </c>
      <c r="H267" s="361">
        <v>0</v>
      </c>
      <c r="I267" s="361">
        <v>0</v>
      </c>
      <c r="J267" s="311">
        <v>0</v>
      </c>
      <c r="K267" s="260">
        <f t="shared" si="171"/>
        <v>0</v>
      </c>
      <c r="L267" s="361">
        <v>0</v>
      </c>
      <c r="M267" s="361">
        <v>0</v>
      </c>
      <c r="N267" s="361">
        <v>0</v>
      </c>
      <c r="O267" s="29">
        <v>0</v>
      </c>
      <c r="P267" s="361">
        <f t="shared" si="175"/>
        <v>0</v>
      </c>
      <c r="Q267" s="361">
        <v>0</v>
      </c>
      <c r="R267" s="361">
        <v>0</v>
      </c>
      <c r="S267" s="362">
        <v>0</v>
      </c>
      <c r="T267" s="29">
        <f>ROUND(3.295,2)</f>
        <v>3.3</v>
      </c>
      <c r="U267" s="361">
        <f t="shared" si="176"/>
        <v>824</v>
      </c>
      <c r="V267" s="361">
        <v>0</v>
      </c>
      <c r="W267" s="361">
        <v>0</v>
      </c>
      <c r="X267" s="362">
        <v>824</v>
      </c>
      <c r="Y267" s="29">
        <v>0</v>
      </c>
      <c r="Z267" s="361">
        <f t="shared" si="177"/>
        <v>0</v>
      </c>
      <c r="AA267" s="361">
        <v>0</v>
      </c>
      <c r="AB267" s="361">
        <v>0</v>
      </c>
      <c r="AC267" s="362">
        <v>0</v>
      </c>
      <c r="AD267" s="7"/>
    </row>
    <row r="268" spans="1:31" s="8" customFormat="1" ht="46.9" customHeight="1" outlineLevel="1" x14ac:dyDescent="0.2">
      <c r="A268" s="352" t="s">
        <v>472</v>
      </c>
      <c r="B268" s="324" t="s">
        <v>236</v>
      </c>
      <c r="C268" s="286">
        <f t="shared" si="172"/>
        <v>1.25</v>
      </c>
      <c r="D268" s="361">
        <f t="shared" si="173"/>
        <v>313</v>
      </c>
      <c r="E268" s="311">
        <v>0</v>
      </c>
      <c r="F268" s="260">
        <f t="shared" si="174"/>
        <v>0</v>
      </c>
      <c r="G268" s="361">
        <v>0</v>
      </c>
      <c r="H268" s="361">
        <v>0</v>
      </c>
      <c r="I268" s="361">
        <v>0</v>
      </c>
      <c r="J268" s="311">
        <v>0</v>
      </c>
      <c r="K268" s="260">
        <f t="shared" si="171"/>
        <v>0</v>
      </c>
      <c r="L268" s="361">
        <v>0</v>
      </c>
      <c r="M268" s="361">
        <v>0</v>
      </c>
      <c r="N268" s="361">
        <v>0</v>
      </c>
      <c r="O268" s="29">
        <v>0</v>
      </c>
      <c r="P268" s="361">
        <f t="shared" si="175"/>
        <v>0</v>
      </c>
      <c r="Q268" s="361">
        <v>0</v>
      </c>
      <c r="R268" s="361">
        <v>0</v>
      </c>
      <c r="S268" s="362">
        <v>0</v>
      </c>
      <c r="T268" s="29">
        <v>1.25</v>
      </c>
      <c r="U268" s="361">
        <f t="shared" si="176"/>
        <v>313</v>
      </c>
      <c r="V268" s="361">
        <v>0</v>
      </c>
      <c r="W268" s="361">
        <v>0</v>
      </c>
      <c r="X268" s="362">
        <v>313</v>
      </c>
      <c r="Y268" s="29">
        <v>0</v>
      </c>
      <c r="Z268" s="361">
        <f t="shared" si="177"/>
        <v>0</v>
      </c>
      <c r="AA268" s="361">
        <v>0</v>
      </c>
      <c r="AB268" s="361">
        <v>0</v>
      </c>
      <c r="AC268" s="362">
        <v>0</v>
      </c>
      <c r="AD268" s="7"/>
    </row>
    <row r="269" spans="1:31" s="8" customFormat="1" ht="46.9" customHeight="1" outlineLevel="1" x14ac:dyDescent="0.2">
      <c r="A269" s="352" t="s">
        <v>473</v>
      </c>
      <c r="B269" s="324" t="s">
        <v>841</v>
      </c>
      <c r="C269" s="286">
        <f t="shared" si="172"/>
        <v>2.08</v>
      </c>
      <c r="D269" s="361">
        <f t="shared" si="173"/>
        <v>519</v>
      </c>
      <c r="E269" s="311">
        <v>0</v>
      </c>
      <c r="F269" s="260">
        <f t="shared" si="174"/>
        <v>0</v>
      </c>
      <c r="G269" s="361">
        <v>0</v>
      </c>
      <c r="H269" s="361">
        <v>0</v>
      </c>
      <c r="I269" s="361">
        <v>0</v>
      </c>
      <c r="J269" s="311">
        <v>0</v>
      </c>
      <c r="K269" s="260">
        <f t="shared" si="171"/>
        <v>0</v>
      </c>
      <c r="L269" s="361">
        <v>0</v>
      </c>
      <c r="M269" s="361">
        <v>0</v>
      </c>
      <c r="N269" s="361">
        <v>0</v>
      </c>
      <c r="O269" s="29">
        <v>0</v>
      </c>
      <c r="P269" s="361">
        <f t="shared" si="175"/>
        <v>0</v>
      </c>
      <c r="Q269" s="361">
        <v>0</v>
      </c>
      <c r="R269" s="361">
        <v>0</v>
      </c>
      <c r="S269" s="362">
        <v>0</v>
      </c>
      <c r="T269" s="29">
        <f>ROUND(2.075,2)</f>
        <v>2.08</v>
      </c>
      <c r="U269" s="361">
        <f t="shared" si="176"/>
        <v>519</v>
      </c>
      <c r="V269" s="361">
        <v>0</v>
      </c>
      <c r="W269" s="361">
        <v>0</v>
      </c>
      <c r="X269" s="362">
        <v>519</v>
      </c>
      <c r="Y269" s="29">
        <v>0</v>
      </c>
      <c r="Z269" s="361">
        <f t="shared" si="177"/>
        <v>0</v>
      </c>
      <c r="AA269" s="361">
        <v>0</v>
      </c>
      <c r="AB269" s="361">
        <v>0</v>
      </c>
      <c r="AC269" s="362">
        <v>0</v>
      </c>
      <c r="AD269" s="7"/>
    </row>
    <row r="270" spans="1:31" s="8" customFormat="1" ht="20.45" customHeight="1" outlineLevel="1" x14ac:dyDescent="0.2">
      <c r="A270" s="352" t="s">
        <v>474</v>
      </c>
      <c r="B270" s="324" t="s">
        <v>237</v>
      </c>
      <c r="C270" s="286">
        <f t="shared" si="172"/>
        <v>0.57999999999999996</v>
      </c>
      <c r="D270" s="361">
        <f t="shared" si="173"/>
        <v>144</v>
      </c>
      <c r="E270" s="311">
        <v>0</v>
      </c>
      <c r="F270" s="260">
        <f t="shared" si="174"/>
        <v>0</v>
      </c>
      <c r="G270" s="361">
        <v>0</v>
      </c>
      <c r="H270" s="361">
        <v>0</v>
      </c>
      <c r="I270" s="361">
        <v>0</v>
      </c>
      <c r="J270" s="311">
        <v>0</v>
      </c>
      <c r="K270" s="260">
        <f t="shared" si="171"/>
        <v>0</v>
      </c>
      <c r="L270" s="361">
        <v>0</v>
      </c>
      <c r="M270" s="361">
        <v>0</v>
      </c>
      <c r="N270" s="361">
        <v>0</v>
      </c>
      <c r="O270" s="29">
        <v>0</v>
      </c>
      <c r="P270" s="361">
        <f t="shared" si="175"/>
        <v>0</v>
      </c>
      <c r="Q270" s="361">
        <v>0</v>
      </c>
      <c r="R270" s="361">
        <v>0</v>
      </c>
      <c r="S270" s="362">
        <v>0</v>
      </c>
      <c r="T270" s="29">
        <f>ROUND(0.575,2)</f>
        <v>0.57999999999999996</v>
      </c>
      <c r="U270" s="361">
        <f t="shared" si="176"/>
        <v>144</v>
      </c>
      <c r="V270" s="361">
        <v>0</v>
      </c>
      <c r="W270" s="361">
        <v>0</v>
      </c>
      <c r="X270" s="362">
        <v>144</v>
      </c>
      <c r="Y270" s="29">
        <v>0</v>
      </c>
      <c r="Z270" s="361">
        <f t="shared" si="177"/>
        <v>0</v>
      </c>
      <c r="AA270" s="361">
        <v>0</v>
      </c>
      <c r="AB270" s="361">
        <v>0</v>
      </c>
      <c r="AC270" s="362">
        <v>0</v>
      </c>
      <c r="AD270" s="7"/>
    </row>
    <row r="271" spans="1:31" s="8" customFormat="1" ht="22.15" customHeight="1" outlineLevel="1" x14ac:dyDescent="0.2">
      <c r="A271" s="352" t="s">
        <v>475</v>
      </c>
      <c r="B271" s="324" t="s">
        <v>238</v>
      </c>
      <c r="C271" s="286">
        <f t="shared" si="172"/>
        <v>2.34</v>
      </c>
      <c r="D271" s="361">
        <f t="shared" si="173"/>
        <v>584</v>
      </c>
      <c r="E271" s="311">
        <v>0</v>
      </c>
      <c r="F271" s="260">
        <f t="shared" si="174"/>
        <v>0</v>
      </c>
      <c r="G271" s="361">
        <v>0</v>
      </c>
      <c r="H271" s="361">
        <v>0</v>
      </c>
      <c r="I271" s="361">
        <v>0</v>
      </c>
      <c r="J271" s="311">
        <v>0</v>
      </c>
      <c r="K271" s="260">
        <f t="shared" si="171"/>
        <v>0</v>
      </c>
      <c r="L271" s="361">
        <v>0</v>
      </c>
      <c r="M271" s="361">
        <v>0</v>
      </c>
      <c r="N271" s="361">
        <v>0</v>
      </c>
      <c r="O271" s="29">
        <v>0</v>
      </c>
      <c r="P271" s="361">
        <f t="shared" si="175"/>
        <v>0</v>
      </c>
      <c r="Q271" s="361">
        <v>0</v>
      </c>
      <c r="R271" s="361">
        <v>0</v>
      </c>
      <c r="S271" s="362">
        <v>0</v>
      </c>
      <c r="T271" s="29">
        <f>ROUND(2.335,2)</f>
        <v>2.34</v>
      </c>
      <c r="U271" s="361">
        <f t="shared" si="176"/>
        <v>584</v>
      </c>
      <c r="V271" s="361">
        <v>0</v>
      </c>
      <c r="W271" s="361">
        <v>0</v>
      </c>
      <c r="X271" s="362">
        <v>584</v>
      </c>
      <c r="Y271" s="29">
        <v>0</v>
      </c>
      <c r="Z271" s="361">
        <f t="shared" si="177"/>
        <v>0</v>
      </c>
      <c r="AA271" s="361">
        <v>0</v>
      </c>
      <c r="AB271" s="361">
        <v>0</v>
      </c>
      <c r="AC271" s="362">
        <v>0</v>
      </c>
      <c r="AD271" s="7"/>
    </row>
    <row r="272" spans="1:31" s="8" customFormat="1" ht="24" customHeight="1" outlineLevel="1" x14ac:dyDescent="0.2">
      <c r="A272" s="352" t="s">
        <v>476</v>
      </c>
      <c r="B272" s="324" t="s">
        <v>239</v>
      </c>
      <c r="C272" s="286">
        <f t="shared" si="172"/>
        <v>4.6899999999999995</v>
      </c>
      <c r="D272" s="361">
        <f t="shared" si="173"/>
        <v>1173</v>
      </c>
      <c r="E272" s="311">
        <v>0</v>
      </c>
      <c r="F272" s="260">
        <f t="shared" si="174"/>
        <v>0</v>
      </c>
      <c r="G272" s="361">
        <v>0</v>
      </c>
      <c r="H272" s="361">
        <v>0</v>
      </c>
      <c r="I272" s="361">
        <v>0</v>
      </c>
      <c r="J272" s="311">
        <v>0</v>
      </c>
      <c r="K272" s="260">
        <f t="shared" si="171"/>
        <v>0</v>
      </c>
      <c r="L272" s="361">
        <v>0</v>
      </c>
      <c r="M272" s="361">
        <v>0</v>
      </c>
      <c r="N272" s="361">
        <v>0</v>
      </c>
      <c r="O272" s="29">
        <v>0</v>
      </c>
      <c r="P272" s="361">
        <f t="shared" si="175"/>
        <v>0</v>
      </c>
      <c r="Q272" s="361">
        <v>0</v>
      </c>
      <c r="R272" s="361">
        <v>0</v>
      </c>
      <c r="S272" s="362">
        <v>0</v>
      </c>
      <c r="T272" s="29">
        <v>4.6899999999999995</v>
      </c>
      <c r="U272" s="361">
        <f t="shared" si="176"/>
        <v>1173</v>
      </c>
      <c r="V272" s="361">
        <v>0</v>
      </c>
      <c r="W272" s="361">
        <v>0</v>
      </c>
      <c r="X272" s="362">
        <v>1173</v>
      </c>
      <c r="Y272" s="29">
        <v>0</v>
      </c>
      <c r="Z272" s="361">
        <f t="shared" si="177"/>
        <v>0</v>
      </c>
      <c r="AA272" s="361">
        <v>0</v>
      </c>
      <c r="AB272" s="361">
        <v>0</v>
      </c>
      <c r="AC272" s="362">
        <v>0</v>
      </c>
      <c r="AD272" s="7"/>
    </row>
    <row r="273" spans="1:30" s="8" customFormat="1" ht="46.9" customHeight="1" outlineLevel="1" x14ac:dyDescent="0.2">
      <c r="A273" s="352" t="s">
        <v>477</v>
      </c>
      <c r="B273" s="324" t="s">
        <v>240</v>
      </c>
      <c r="C273" s="286">
        <f t="shared" si="172"/>
        <v>0.75</v>
      </c>
      <c r="D273" s="361">
        <f t="shared" si="173"/>
        <v>188</v>
      </c>
      <c r="E273" s="311">
        <v>0</v>
      </c>
      <c r="F273" s="260">
        <f t="shared" si="174"/>
        <v>0</v>
      </c>
      <c r="G273" s="361">
        <v>0</v>
      </c>
      <c r="H273" s="361">
        <v>0</v>
      </c>
      <c r="I273" s="361">
        <v>0</v>
      </c>
      <c r="J273" s="311">
        <v>0</v>
      </c>
      <c r="K273" s="260">
        <f t="shared" si="171"/>
        <v>0</v>
      </c>
      <c r="L273" s="361">
        <v>0</v>
      </c>
      <c r="M273" s="361">
        <v>0</v>
      </c>
      <c r="N273" s="361">
        <v>0</v>
      </c>
      <c r="O273" s="29">
        <v>0</v>
      </c>
      <c r="P273" s="361">
        <f t="shared" si="175"/>
        <v>0</v>
      </c>
      <c r="Q273" s="361">
        <v>0</v>
      </c>
      <c r="R273" s="361">
        <v>0</v>
      </c>
      <c r="S273" s="362">
        <v>0</v>
      </c>
      <c r="T273" s="29">
        <v>0.75</v>
      </c>
      <c r="U273" s="361">
        <f t="shared" si="176"/>
        <v>188</v>
      </c>
      <c r="V273" s="361">
        <v>0</v>
      </c>
      <c r="W273" s="361">
        <v>0</v>
      </c>
      <c r="X273" s="362">
        <v>188</v>
      </c>
      <c r="Y273" s="29">
        <v>0</v>
      </c>
      <c r="Z273" s="361">
        <f t="shared" si="177"/>
        <v>0</v>
      </c>
      <c r="AA273" s="361">
        <v>0</v>
      </c>
      <c r="AB273" s="361">
        <v>0</v>
      </c>
      <c r="AC273" s="362">
        <v>0</v>
      </c>
      <c r="AD273" s="7"/>
    </row>
    <row r="274" spans="1:30" s="8" customFormat="1" ht="32.450000000000003" customHeight="1" outlineLevel="1" x14ac:dyDescent="0.2">
      <c r="A274" s="352" t="s">
        <v>478</v>
      </c>
      <c r="B274" s="324" t="s">
        <v>842</v>
      </c>
      <c r="C274" s="286">
        <f t="shared" si="172"/>
        <v>1.88</v>
      </c>
      <c r="D274" s="361">
        <f t="shared" si="173"/>
        <v>470</v>
      </c>
      <c r="E274" s="311">
        <v>0</v>
      </c>
      <c r="F274" s="260">
        <f t="shared" si="174"/>
        <v>0</v>
      </c>
      <c r="G274" s="361">
        <v>0</v>
      </c>
      <c r="H274" s="361">
        <v>0</v>
      </c>
      <c r="I274" s="361">
        <v>0</v>
      </c>
      <c r="J274" s="311">
        <v>0</v>
      </c>
      <c r="K274" s="260">
        <f t="shared" si="171"/>
        <v>0</v>
      </c>
      <c r="L274" s="361">
        <v>0</v>
      </c>
      <c r="M274" s="361">
        <v>0</v>
      </c>
      <c r="N274" s="361">
        <v>0</v>
      </c>
      <c r="O274" s="29">
        <v>0</v>
      </c>
      <c r="P274" s="361">
        <f t="shared" si="175"/>
        <v>0</v>
      </c>
      <c r="Q274" s="361">
        <v>0</v>
      </c>
      <c r="R274" s="361">
        <v>0</v>
      </c>
      <c r="S274" s="362">
        <v>0</v>
      </c>
      <c r="T274" s="29">
        <v>1.88</v>
      </c>
      <c r="U274" s="361">
        <f t="shared" si="176"/>
        <v>470</v>
      </c>
      <c r="V274" s="361">
        <v>0</v>
      </c>
      <c r="W274" s="361">
        <v>0</v>
      </c>
      <c r="X274" s="362">
        <v>470</v>
      </c>
      <c r="Y274" s="29">
        <v>0</v>
      </c>
      <c r="Z274" s="361">
        <f t="shared" si="177"/>
        <v>0</v>
      </c>
      <c r="AA274" s="361">
        <v>0</v>
      </c>
      <c r="AB274" s="361">
        <v>0</v>
      </c>
      <c r="AC274" s="362">
        <v>0</v>
      </c>
      <c r="AD274" s="7"/>
    </row>
    <row r="275" spans="1:30" s="8" customFormat="1" ht="22.9" customHeight="1" outlineLevel="1" x14ac:dyDescent="0.2">
      <c r="A275" s="352" t="s">
        <v>479</v>
      </c>
      <c r="B275" s="324" t="s">
        <v>241</v>
      </c>
      <c r="C275" s="286">
        <f t="shared" si="172"/>
        <v>1</v>
      </c>
      <c r="D275" s="361">
        <f t="shared" si="173"/>
        <v>250</v>
      </c>
      <c r="E275" s="311">
        <v>0</v>
      </c>
      <c r="F275" s="260">
        <f t="shared" si="174"/>
        <v>0</v>
      </c>
      <c r="G275" s="361">
        <v>0</v>
      </c>
      <c r="H275" s="361">
        <v>0</v>
      </c>
      <c r="I275" s="361">
        <v>0</v>
      </c>
      <c r="J275" s="311">
        <v>0</v>
      </c>
      <c r="K275" s="260">
        <f t="shared" si="171"/>
        <v>0</v>
      </c>
      <c r="L275" s="361">
        <v>0</v>
      </c>
      <c r="M275" s="361">
        <v>0</v>
      </c>
      <c r="N275" s="361">
        <v>0</v>
      </c>
      <c r="O275" s="29">
        <v>0</v>
      </c>
      <c r="P275" s="361">
        <f t="shared" si="175"/>
        <v>0</v>
      </c>
      <c r="Q275" s="361">
        <v>0</v>
      </c>
      <c r="R275" s="361">
        <v>0</v>
      </c>
      <c r="S275" s="362">
        <v>0</v>
      </c>
      <c r="T275" s="29">
        <v>1</v>
      </c>
      <c r="U275" s="361">
        <f t="shared" si="176"/>
        <v>250</v>
      </c>
      <c r="V275" s="361">
        <v>0</v>
      </c>
      <c r="W275" s="361">
        <v>0</v>
      </c>
      <c r="X275" s="362">
        <v>250</v>
      </c>
      <c r="Y275" s="29">
        <v>0</v>
      </c>
      <c r="Z275" s="361">
        <f t="shared" si="177"/>
        <v>0</v>
      </c>
      <c r="AA275" s="361">
        <v>0</v>
      </c>
      <c r="AB275" s="361">
        <v>0</v>
      </c>
      <c r="AC275" s="362">
        <v>0</v>
      </c>
      <c r="AD275" s="7"/>
    </row>
    <row r="276" spans="1:30" s="8" customFormat="1" ht="41.45" customHeight="1" outlineLevel="1" x14ac:dyDescent="0.2">
      <c r="A276" s="352" t="s">
        <v>480</v>
      </c>
      <c r="B276" s="324" t="s">
        <v>242</v>
      </c>
      <c r="C276" s="286">
        <f t="shared" si="172"/>
        <v>0.61</v>
      </c>
      <c r="D276" s="361">
        <f t="shared" si="173"/>
        <v>153</v>
      </c>
      <c r="E276" s="311">
        <v>0</v>
      </c>
      <c r="F276" s="260">
        <f t="shared" si="174"/>
        <v>0</v>
      </c>
      <c r="G276" s="361">
        <v>0</v>
      </c>
      <c r="H276" s="361">
        <v>0</v>
      </c>
      <c r="I276" s="361">
        <v>0</v>
      </c>
      <c r="J276" s="311">
        <v>0</v>
      </c>
      <c r="K276" s="260">
        <f t="shared" si="171"/>
        <v>0</v>
      </c>
      <c r="L276" s="361">
        <v>0</v>
      </c>
      <c r="M276" s="361">
        <v>0</v>
      </c>
      <c r="N276" s="361">
        <v>0</v>
      </c>
      <c r="O276" s="29">
        <v>0</v>
      </c>
      <c r="P276" s="361">
        <f t="shared" si="175"/>
        <v>0</v>
      </c>
      <c r="Q276" s="361">
        <v>0</v>
      </c>
      <c r="R276" s="361">
        <v>0</v>
      </c>
      <c r="S276" s="362">
        <v>0</v>
      </c>
      <c r="T276" s="29">
        <v>0.61</v>
      </c>
      <c r="U276" s="361">
        <f t="shared" si="176"/>
        <v>153</v>
      </c>
      <c r="V276" s="361">
        <v>0</v>
      </c>
      <c r="W276" s="361">
        <v>0</v>
      </c>
      <c r="X276" s="362">
        <v>153</v>
      </c>
      <c r="Y276" s="29">
        <v>0</v>
      </c>
      <c r="Z276" s="361">
        <f t="shared" si="177"/>
        <v>0</v>
      </c>
      <c r="AA276" s="361">
        <v>0</v>
      </c>
      <c r="AB276" s="361">
        <v>0</v>
      </c>
      <c r="AC276" s="362">
        <v>0</v>
      </c>
      <c r="AD276" s="7"/>
    </row>
    <row r="277" spans="1:30" s="8" customFormat="1" ht="39.6" customHeight="1" outlineLevel="1" x14ac:dyDescent="0.2">
      <c r="A277" s="352" t="s">
        <v>481</v>
      </c>
      <c r="B277" s="324" t="s">
        <v>243</v>
      </c>
      <c r="C277" s="286">
        <f t="shared" si="172"/>
        <v>9.5499999999999989</v>
      </c>
      <c r="D277" s="361">
        <f t="shared" si="173"/>
        <v>2388</v>
      </c>
      <c r="E277" s="311">
        <v>0</v>
      </c>
      <c r="F277" s="260">
        <f t="shared" si="174"/>
        <v>0</v>
      </c>
      <c r="G277" s="361">
        <v>0</v>
      </c>
      <c r="H277" s="361">
        <v>0</v>
      </c>
      <c r="I277" s="361">
        <v>0</v>
      </c>
      <c r="J277" s="311">
        <v>0</v>
      </c>
      <c r="K277" s="260">
        <f t="shared" si="171"/>
        <v>0</v>
      </c>
      <c r="L277" s="361">
        <v>0</v>
      </c>
      <c r="M277" s="361">
        <v>0</v>
      </c>
      <c r="N277" s="361">
        <v>0</v>
      </c>
      <c r="O277" s="29">
        <v>0</v>
      </c>
      <c r="P277" s="361">
        <f t="shared" si="175"/>
        <v>0</v>
      </c>
      <c r="Q277" s="361">
        <v>0</v>
      </c>
      <c r="R277" s="361">
        <v>0</v>
      </c>
      <c r="S277" s="362">
        <v>0</v>
      </c>
      <c r="T277" s="29">
        <v>9.5499999999999989</v>
      </c>
      <c r="U277" s="361">
        <f t="shared" si="176"/>
        <v>2388</v>
      </c>
      <c r="V277" s="361">
        <v>0</v>
      </c>
      <c r="W277" s="361">
        <v>0</v>
      </c>
      <c r="X277" s="362">
        <v>2388</v>
      </c>
      <c r="Y277" s="29">
        <v>0</v>
      </c>
      <c r="Z277" s="361">
        <f t="shared" si="177"/>
        <v>0</v>
      </c>
      <c r="AA277" s="361">
        <v>0</v>
      </c>
      <c r="AB277" s="361">
        <v>0</v>
      </c>
      <c r="AC277" s="362">
        <v>0</v>
      </c>
      <c r="AD277" s="7"/>
    </row>
    <row r="278" spans="1:30" s="8" customFormat="1" ht="25.9" customHeight="1" outlineLevel="1" x14ac:dyDescent="0.2">
      <c r="A278" s="352" t="s">
        <v>482</v>
      </c>
      <c r="B278" s="324" t="s">
        <v>244</v>
      </c>
      <c r="C278" s="286">
        <f t="shared" si="172"/>
        <v>1.95</v>
      </c>
      <c r="D278" s="361">
        <f t="shared" si="173"/>
        <v>486</v>
      </c>
      <c r="E278" s="311">
        <v>0</v>
      </c>
      <c r="F278" s="260">
        <f t="shared" si="174"/>
        <v>0</v>
      </c>
      <c r="G278" s="361">
        <v>0</v>
      </c>
      <c r="H278" s="361">
        <v>0</v>
      </c>
      <c r="I278" s="361">
        <v>0</v>
      </c>
      <c r="J278" s="311">
        <v>0</v>
      </c>
      <c r="K278" s="260">
        <f t="shared" si="171"/>
        <v>0</v>
      </c>
      <c r="L278" s="361">
        <v>0</v>
      </c>
      <c r="M278" s="361">
        <v>0</v>
      </c>
      <c r="N278" s="361">
        <v>0</v>
      </c>
      <c r="O278" s="29">
        <v>0</v>
      </c>
      <c r="P278" s="361">
        <f t="shared" si="175"/>
        <v>0</v>
      </c>
      <c r="Q278" s="361">
        <v>0</v>
      </c>
      <c r="R278" s="361">
        <v>0</v>
      </c>
      <c r="S278" s="362">
        <v>0</v>
      </c>
      <c r="T278" s="29">
        <f>ROUND(1.945,2)</f>
        <v>1.95</v>
      </c>
      <c r="U278" s="361">
        <f t="shared" si="176"/>
        <v>486</v>
      </c>
      <c r="V278" s="361">
        <v>0</v>
      </c>
      <c r="W278" s="361">
        <v>0</v>
      </c>
      <c r="X278" s="362">
        <v>486</v>
      </c>
      <c r="Y278" s="29">
        <v>0</v>
      </c>
      <c r="Z278" s="361">
        <f t="shared" si="177"/>
        <v>0</v>
      </c>
      <c r="AA278" s="361">
        <v>0</v>
      </c>
      <c r="AB278" s="361">
        <v>0</v>
      </c>
      <c r="AC278" s="362">
        <v>0</v>
      </c>
      <c r="AD278" s="7"/>
    </row>
    <row r="279" spans="1:30" s="8" customFormat="1" ht="30" customHeight="1" outlineLevel="1" x14ac:dyDescent="0.2">
      <c r="A279" s="352" t="s">
        <v>483</v>
      </c>
      <c r="B279" s="324" t="s">
        <v>245</v>
      </c>
      <c r="C279" s="286">
        <f t="shared" si="172"/>
        <v>3.76</v>
      </c>
      <c r="D279" s="361">
        <f t="shared" si="173"/>
        <v>939</v>
      </c>
      <c r="E279" s="311">
        <v>0</v>
      </c>
      <c r="F279" s="260">
        <f t="shared" si="174"/>
        <v>0</v>
      </c>
      <c r="G279" s="361">
        <v>0</v>
      </c>
      <c r="H279" s="361">
        <v>0</v>
      </c>
      <c r="I279" s="361">
        <v>0</v>
      </c>
      <c r="J279" s="311">
        <v>0</v>
      </c>
      <c r="K279" s="260">
        <f t="shared" si="171"/>
        <v>0</v>
      </c>
      <c r="L279" s="361">
        <v>0</v>
      </c>
      <c r="M279" s="361">
        <v>0</v>
      </c>
      <c r="N279" s="361">
        <v>0</v>
      </c>
      <c r="O279" s="29">
        <v>0</v>
      </c>
      <c r="P279" s="361">
        <f t="shared" si="175"/>
        <v>0</v>
      </c>
      <c r="Q279" s="361">
        <v>0</v>
      </c>
      <c r="R279" s="361">
        <v>0</v>
      </c>
      <c r="S279" s="362">
        <v>0</v>
      </c>
      <c r="T279" s="29">
        <f>ROUND(3.755,2)</f>
        <v>3.76</v>
      </c>
      <c r="U279" s="361">
        <f t="shared" si="176"/>
        <v>939</v>
      </c>
      <c r="V279" s="361">
        <v>0</v>
      </c>
      <c r="W279" s="361">
        <v>0</v>
      </c>
      <c r="X279" s="362">
        <v>939</v>
      </c>
      <c r="Y279" s="29">
        <v>0</v>
      </c>
      <c r="Z279" s="361">
        <f t="shared" si="177"/>
        <v>0</v>
      </c>
      <c r="AA279" s="361">
        <v>0</v>
      </c>
      <c r="AB279" s="361">
        <v>0</v>
      </c>
      <c r="AC279" s="362">
        <v>0</v>
      </c>
      <c r="AD279" s="7"/>
    </row>
    <row r="280" spans="1:30" s="8" customFormat="1" ht="34.15" customHeight="1" outlineLevel="1" x14ac:dyDescent="0.2">
      <c r="A280" s="352" t="s">
        <v>484</v>
      </c>
      <c r="B280" s="324" t="s">
        <v>246</v>
      </c>
      <c r="C280" s="286">
        <f t="shared" si="172"/>
        <v>0.8899999999999999</v>
      </c>
      <c r="D280" s="361">
        <f t="shared" si="173"/>
        <v>223</v>
      </c>
      <c r="E280" s="311">
        <v>0</v>
      </c>
      <c r="F280" s="260">
        <f t="shared" si="174"/>
        <v>0</v>
      </c>
      <c r="G280" s="361">
        <v>0</v>
      </c>
      <c r="H280" s="361">
        <v>0</v>
      </c>
      <c r="I280" s="361">
        <v>0</v>
      </c>
      <c r="J280" s="311">
        <v>0</v>
      </c>
      <c r="K280" s="260">
        <f t="shared" si="171"/>
        <v>0</v>
      </c>
      <c r="L280" s="361">
        <v>0</v>
      </c>
      <c r="M280" s="361">
        <v>0</v>
      </c>
      <c r="N280" s="361">
        <v>0</v>
      </c>
      <c r="O280" s="29">
        <v>0</v>
      </c>
      <c r="P280" s="361">
        <f t="shared" si="175"/>
        <v>0</v>
      </c>
      <c r="Q280" s="361">
        <v>0</v>
      </c>
      <c r="R280" s="361">
        <v>0</v>
      </c>
      <c r="S280" s="362">
        <v>0</v>
      </c>
      <c r="T280" s="29">
        <v>0.8899999999999999</v>
      </c>
      <c r="U280" s="361">
        <f t="shared" si="176"/>
        <v>223</v>
      </c>
      <c r="V280" s="361">
        <v>0</v>
      </c>
      <c r="W280" s="361">
        <v>0</v>
      </c>
      <c r="X280" s="362">
        <v>223</v>
      </c>
      <c r="Y280" s="29">
        <v>0</v>
      </c>
      <c r="Z280" s="361">
        <f t="shared" si="177"/>
        <v>0</v>
      </c>
      <c r="AA280" s="361">
        <v>0</v>
      </c>
      <c r="AB280" s="361">
        <v>0</v>
      </c>
      <c r="AC280" s="362">
        <v>0</v>
      </c>
      <c r="AD280" s="7"/>
    </row>
    <row r="281" spans="1:30" s="8" customFormat="1" ht="46.9" customHeight="1" outlineLevel="1" x14ac:dyDescent="0.2">
      <c r="A281" s="352" t="s">
        <v>485</v>
      </c>
      <c r="B281" s="324" t="s">
        <v>247</v>
      </c>
      <c r="C281" s="286">
        <f t="shared" si="172"/>
        <v>0.55000000000000004</v>
      </c>
      <c r="D281" s="361">
        <f t="shared" si="173"/>
        <v>138</v>
      </c>
      <c r="E281" s="311">
        <v>0</v>
      </c>
      <c r="F281" s="260">
        <f t="shared" si="174"/>
        <v>0</v>
      </c>
      <c r="G281" s="361">
        <v>0</v>
      </c>
      <c r="H281" s="361">
        <v>0</v>
      </c>
      <c r="I281" s="361">
        <v>0</v>
      </c>
      <c r="J281" s="311">
        <v>0</v>
      </c>
      <c r="K281" s="260">
        <f t="shared" si="171"/>
        <v>0</v>
      </c>
      <c r="L281" s="361">
        <v>0</v>
      </c>
      <c r="M281" s="361">
        <v>0</v>
      </c>
      <c r="N281" s="361">
        <v>0</v>
      </c>
      <c r="O281" s="29">
        <v>0</v>
      </c>
      <c r="P281" s="361">
        <f t="shared" si="175"/>
        <v>0</v>
      </c>
      <c r="Q281" s="361">
        <v>0</v>
      </c>
      <c r="R281" s="361">
        <v>0</v>
      </c>
      <c r="S281" s="362">
        <v>0</v>
      </c>
      <c r="T281" s="29">
        <v>0.55000000000000004</v>
      </c>
      <c r="U281" s="361">
        <f t="shared" si="176"/>
        <v>138</v>
      </c>
      <c r="V281" s="361">
        <v>0</v>
      </c>
      <c r="W281" s="361">
        <v>0</v>
      </c>
      <c r="X281" s="362">
        <v>138</v>
      </c>
      <c r="Y281" s="29">
        <v>0</v>
      </c>
      <c r="Z281" s="361">
        <f t="shared" si="177"/>
        <v>0</v>
      </c>
      <c r="AA281" s="361">
        <v>0</v>
      </c>
      <c r="AB281" s="361">
        <v>0</v>
      </c>
      <c r="AC281" s="362">
        <v>0</v>
      </c>
      <c r="AD281" s="7"/>
    </row>
    <row r="282" spans="1:30" s="8" customFormat="1" ht="32.450000000000003" customHeight="1" outlineLevel="1" x14ac:dyDescent="0.2">
      <c r="A282" s="352" t="s">
        <v>486</v>
      </c>
      <c r="B282" s="324" t="s">
        <v>843</v>
      </c>
      <c r="C282" s="286">
        <f t="shared" si="172"/>
        <v>1.6600000000000001</v>
      </c>
      <c r="D282" s="361">
        <f t="shared" si="173"/>
        <v>415.00000000000006</v>
      </c>
      <c r="E282" s="311">
        <v>0</v>
      </c>
      <c r="F282" s="260">
        <f t="shared" si="174"/>
        <v>0</v>
      </c>
      <c r="G282" s="361">
        <v>0</v>
      </c>
      <c r="H282" s="361">
        <v>0</v>
      </c>
      <c r="I282" s="361">
        <v>0</v>
      </c>
      <c r="J282" s="311">
        <v>0</v>
      </c>
      <c r="K282" s="260">
        <f t="shared" si="171"/>
        <v>0</v>
      </c>
      <c r="L282" s="361">
        <v>0</v>
      </c>
      <c r="M282" s="361">
        <v>0</v>
      </c>
      <c r="N282" s="361">
        <v>0</v>
      </c>
      <c r="O282" s="29">
        <v>0</v>
      </c>
      <c r="P282" s="361">
        <f t="shared" si="175"/>
        <v>0</v>
      </c>
      <c r="Q282" s="361">
        <v>0</v>
      </c>
      <c r="R282" s="361">
        <v>0</v>
      </c>
      <c r="S282" s="362">
        <v>0</v>
      </c>
      <c r="T282" s="29">
        <v>1.6600000000000001</v>
      </c>
      <c r="U282" s="361">
        <f t="shared" si="176"/>
        <v>415.00000000000006</v>
      </c>
      <c r="V282" s="361">
        <v>0</v>
      </c>
      <c r="W282" s="361">
        <v>0</v>
      </c>
      <c r="X282" s="362">
        <v>415.00000000000006</v>
      </c>
      <c r="Y282" s="29">
        <v>0</v>
      </c>
      <c r="Z282" s="361">
        <f t="shared" si="177"/>
        <v>0</v>
      </c>
      <c r="AA282" s="361">
        <v>0</v>
      </c>
      <c r="AB282" s="361">
        <v>0</v>
      </c>
      <c r="AC282" s="362">
        <v>0</v>
      </c>
      <c r="AD282" s="7"/>
    </row>
    <row r="283" spans="1:30" s="8" customFormat="1" ht="43.15" customHeight="1" outlineLevel="1" x14ac:dyDescent="0.2">
      <c r="A283" s="352" t="s">
        <v>487</v>
      </c>
      <c r="B283" s="324" t="s">
        <v>248</v>
      </c>
      <c r="C283" s="286">
        <f t="shared" si="172"/>
        <v>0.25</v>
      </c>
      <c r="D283" s="361">
        <f t="shared" si="173"/>
        <v>63</v>
      </c>
      <c r="E283" s="311">
        <v>0</v>
      </c>
      <c r="F283" s="260">
        <f t="shared" si="174"/>
        <v>0</v>
      </c>
      <c r="G283" s="361">
        <v>0</v>
      </c>
      <c r="H283" s="361">
        <v>0</v>
      </c>
      <c r="I283" s="361">
        <v>0</v>
      </c>
      <c r="J283" s="311">
        <v>0</v>
      </c>
      <c r="K283" s="260">
        <f t="shared" si="171"/>
        <v>0</v>
      </c>
      <c r="L283" s="361">
        <v>0</v>
      </c>
      <c r="M283" s="361">
        <v>0</v>
      </c>
      <c r="N283" s="361">
        <v>0</v>
      </c>
      <c r="O283" s="29">
        <v>0</v>
      </c>
      <c r="P283" s="361">
        <f t="shared" si="175"/>
        <v>0</v>
      </c>
      <c r="Q283" s="361">
        <v>0</v>
      </c>
      <c r="R283" s="361">
        <v>0</v>
      </c>
      <c r="S283" s="362">
        <v>0</v>
      </c>
      <c r="T283" s="29">
        <v>0.25</v>
      </c>
      <c r="U283" s="361">
        <f t="shared" si="176"/>
        <v>63</v>
      </c>
      <c r="V283" s="361">
        <v>0</v>
      </c>
      <c r="W283" s="361">
        <v>0</v>
      </c>
      <c r="X283" s="362">
        <v>63</v>
      </c>
      <c r="Y283" s="29">
        <v>0</v>
      </c>
      <c r="Z283" s="361">
        <f t="shared" si="177"/>
        <v>0</v>
      </c>
      <c r="AA283" s="361">
        <v>0</v>
      </c>
      <c r="AB283" s="361">
        <v>0</v>
      </c>
      <c r="AC283" s="362">
        <v>0</v>
      </c>
      <c r="AD283" s="7"/>
    </row>
    <row r="284" spans="1:30" s="8" customFormat="1" ht="33" customHeight="1" outlineLevel="1" x14ac:dyDescent="0.2">
      <c r="A284" s="352" t="s">
        <v>488</v>
      </c>
      <c r="B284" s="324" t="s">
        <v>249</v>
      </c>
      <c r="C284" s="286">
        <f t="shared" si="172"/>
        <v>1.03</v>
      </c>
      <c r="D284" s="361">
        <f t="shared" si="173"/>
        <v>256</v>
      </c>
      <c r="E284" s="311">
        <v>0</v>
      </c>
      <c r="F284" s="260">
        <f t="shared" si="174"/>
        <v>0</v>
      </c>
      <c r="G284" s="361">
        <v>0</v>
      </c>
      <c r="H284" s="361">
        <v>0</v>
      </c>
      <c r="I284" s="361">
        <v>0</v>
      </c>
      <c r="J284" s="311">
        <v>0</v>
      </c>
      <c r="K284" s="260">
        <f t="shared" si="171"/>
        <v>0</v>
      </c>
      <c r="L284" s="361">
        <v>0</v>
      </c>
      <c r="M284" s="361">
        <v>0</v>
      </c>
      <c r="N284" s="361">
        <v>0</v>
      </c>
      <c r="O284" s="29">
        <v>0</v>
      </c>
      <c r="P284" s="361">
        <f t="shared" si="175"/>
        <v>0</v>
      </c>
      <c r="Q284" s="361">
        <v>0</v>
      </c>
      <c r="R284" s="361">
        <v>0</v>
      </c>
      <c r="S284" s="362">
        <v>0</v>
      </c>
      <c r="T284" s="29">
        <f>ROUND(1.025,2)</f>
        <v>1.03</v>
      </c>
      <c r="U284" s="361">
        <f t="shared" si="176"/>
        <v>256</v>
      </c>
      <c r="V284" s="361">
        <v>0</v>
      </c>
      <c r="W284" s="361">
        <v>0</v>
      </c>
      <c r="X284" s="362">
        <v>256</v>
      </c>
      <c r="Y284" s="29">
        <v>0</v>
      </c>
      <c r="Z284" s="361">
        <f t="shared" si="177"/>
        <v>0</v>
      </c>
      <c r="AA284" s="361">
        <v>0</v>
      </c>
      <c r="AB284" s="361">
        <v>0</v>
      </c>
      <c r="AC284" s="362">
        <v>0</v>
      </c>
      <c r="AD284" s="7"/>
    </row>
    <row r="285" spans="1:30" s="8" customFormat="1" ht="26.45" customHeight="1" outlineLevel="1" x14ac:dyDescent="0.2">
      <c r="A285" s="352" t="s">
        <v>489</v>
      </c>
      <c r="B285" s="324" t="s">
        <v>250</v>
      </c>
      <c r="C285" s="286">
        <f t="shared" si="172"/>
        <v>2</v>
      </c>
      <c r="D285" s="361">
        <f t="shared" si="173"/>
        <v>500</v>
      </c>
      <c r="E285" s="311">
        <v>0</v>
      </c>
      <c r="F285" s="260">
        <f t="shared" si="174"/>
        <v>0</v>
      </c>
      <c r="G285" s="361">
        <v>0</v>
      </c>
      <c r="H285" s="361">
        <v>0</v>
      </c>
      <c r="I285" s="361">
        <v>0</v>
      </c>
      <c r="J285" s="311">
        <v>0</v>
      </c>
      <c r="K285" s="260">
        <f t="shared" si="171"/>
        <v>0</v>
      </c>
      <c r="L285" s="361">
        <v>0</v>
      </c>
      <c r="M285" s="361">
        <v>0</v>
      </c>
      <c r="N285" s="361">
        <v>0</v>
      </c>
      <c r="O285" s="29">
        <v>0</v>
      </c>
      <c r="P285" s="361">
        <f t="shared" si="175"/>
        <v>0</v>
      </c>
      <c r="Q285" s="361">
        <v>0</v>
      </c>
      <c r="R285" s="361">
        <v>0</v>
      </c>
      <c r="S285" s="362">
        <v>0</v>
      </c>
      <c r="T285" s="29">
        <v>2</v>
      </c>
      <c r="U285" s="361">
        <f t="shared" si="176"/>
        <v>500</v>
      </c>
      <c r="V285" s="361">
        <v>0</v>
      </c>
      <c r="W285" s="361">
        <v>0</v>
      </c>
      <c r="X285" s="362">
        <v>500</v>
      </c>
      <c r="Y285" s="29">
        <v>0</v>
      </c>
      <c r="Z285" s="361">
        <f t="shared" si="177"/>
        <v>0</v>
      </c>
      <c r="AA285" s="361">
        <v>0</v>
      </c>
      <c r="AB285" s="361">
        <v>0</v>
      </c>
      <c r="AC285" s="362">
        <v>0</v>
      </c>
      <c r="AD285" s="7"/>
    </row>
    <row r="286" spans="1:30" s="8" customFormat="1" ht="32.450000000000003" customHeight="1" outlineLevel="1" x14ac:dyDescent="0.2">
      <c r="A286" s="352" t="s">
        <v>490</v>
      </c>
      <c r="B286" s="324" t="s">
        <v>251</v>
      </c>
      <c r="C286" s="286">
        <f t="shared" si="172"/>
        <v>2.88</v>
      </c>
      <c r="D286" s="361">
        <f t="shared" si="173"/>
        <v>719</v>
      </c>
      <c r="E286" s="311">
        <v>0</v>
      </c>
      <c r="F286" s="260">
        <f t="shared" si="174"/>
        <v>0</v>
      </c>
      <c r="G286" s="361">
        <v>0</v>
      </c>
      <c r="H286" s="361">
        <v>0</v>
      </c>
      <c r="I286" s="361">
        <v>0</v>
      </c>
      <c r="J286" s="311">
        <v>0</v>
      </c>
      <c r="K286" s="260">
        <f t="shared" si="171"/>
        <v>0</v>
      </c>
      <c r="L286" s="361">
        <v>0</v>
      </c>
      <c r="M286" s="361">
        <v>0</v>
      </c>
      <c r="N286" s="361">
        <v>0</v>
      </c>
      <c r="O286" s="29">
        <v>0</v>
      </c>
      <c r="P286" s="361">
        <f t="shared" si="175"/>
        <v>0</v>
      </c>
      <c r="Q286" s="361">
        <v>0</v>
      </c>
      <c r="R286" s="361">
        <v>0</v>
      </c>
      <c r="S286" s="362">
        <v>0</v>
      </c>
      <c r="T286" s="29">
        <f>ROUND(2.875,2)</f>
        <v>2.88</v>
      </c>
      <c r="U286" s="361">
        <f t="shared" si="176"/>
        <v>719</v>
      </c>
      <c r="V286" s="361">
        <v>0</v>
      </c>
      <c r="W286" s="361">
        <v>0</v>
      </c>
      <c r="X286" s="362">
        <v>719</v>
      </c>
      <c r="Y286" s="29">
        <v>0</v>
      </c>
      <c r="Z286" s="361">
        <f t="shared" si="177"/>
        <v>0</v>
      </c>
      <c r="AA286" s="361">
        <v>0</v>
      </c>
      <c r="AB286" s="361">
        <v>0</v>
      </c>
      <c r="AC286" s="362">
        <v>0</v>
      </c>
      <c r="AD286" s="7"/>
    </row>
    <row r="287" spans="1:30" s="8" customFormat="1" ht="36" customHeight="1" outlineLevel="1" x14ac:dyDescent="0.2">
      <c r="A287" s="352" t="s">
        <v>491</v>
      </c>
      <c r="B287" s="324" t="s">
        <v>252</v>
      </c>
      <c r="C287" s="286">
        <f t="shared" si="172"/>
        <v>3.7800000000000002</v>
      </c>
      <c r="D287" s="361">
        <f t="shared" si="173"/>
        <v>945.00000000000011</v>
      </c>
      <c r="E287" s="311">
        <v>0</v>
      </c>
      <c r="F287" s="260">
        <f t="shared" si="174"/>
        <v>0</v>
      </c>
      <c r="G287" s="361">
        <v>0</v>
      </c>
      <c r="H287" s="361">
        <v>0</v>
      </c>
      <c r="I287" s="361">
        <v>0</v>
      </c>
      <c r="J287" s="311">
        <v>0</v>
      </c>
      <c r="K287" s="260">
        <f t="shared" si="171"/>
        <v>0</v>
      </c>
      <c r="L287" s="361">
        <v>0</v>
      </c>
      <c r="M287" s="361">
        <v>0</v>
      </c>
      <c r="N287" s="361">
        <v>0</v>
      </c>
      <c r="O287" s="29">
        <v>0</v>
      </c>
      <c r="P287" s="361">
        <f t="shared" si="175"/>
        <v>0</v>
      </c>
      <c r="Q287" s="361">
        <v>0</v>
      </c>
      <c r="R287" s="361">
        <v>0</v>
      </c>
      <c r="S287" s="362">
        <v>0</v>
      </c>
      <c r="T287" s="29">
        <v>3.7800000000000002</v>
      </c>
      <c r="U287" s="361">
        <f t="shared" si="176"/>
        <v>945.00000000000011</v>
      </c>
      <c r="V287" s="361">
        <v>0</v>
      </c>
      <c r="W287" s="361">
        <v>0</v>
      </c>
      <c r="X287" s="362">
        <v>945.00000000000011</v>
      </c>
      <c r="Y287" s="29">
        <v>0</v>
      </c>
      <c r="Z287" s="361">
        <f t="shared" si="177"/>
        <v>0</v>
      </c>
      <c r="AA287" s="361">
        <v>0</v>
      </c>
      <c r="AB287" s="361">
        <v>0</v>
      </c>
      <c r="AC287" s="362">
        <v>0</v>
      </c>
      <c r="AD287" s="7"/>
    </row>
    <row r="288" spans="1:30" s="8" customFormat="1" ht="46.9" customHeight="1" outlineLevel="1" x14ac:dyDescent="0.2">
      <c r="A288" s="352" t="s">
        <v>492</v>
      </c>
      <c r="B288" s="363" t="s">
        <v>253</v>
      </c>
      <c r="C288" s="286">
        <f t="shared" si="172"/>
        <v>2.29</v>
      </c>
      <c r="D288" s="361">
        <f t="shared" si="173"/>
        <v>573</v>
      </c>
      <c r="E288" s="311">
        <v>0</v>
      </c>
      <c r="F288" s="260">
        <f t="shared" si="174"/>
        <v>0</v>
      </c>
      <c r="G288" s="361">
        <v>0</v>
      </c>
      <c r="H288" s="361">
        <v>0</v>
      </c>
      <c r="I288" s="361">
        <v>0</v>
      </c>
      <c r="J288" s="311">
        <v>0</v>
      </c>
      <c r="K288" s="260">
        <f t="shared" si="171"/>
        <v>0</v>
      </c>
      <c r="L288" s="361">
        <v>0</v>
      </c>
      <c r="M288" s="361">
        <v>0</v>
      </c>
      <c r="N288" s="361">
        <v>0</v>
      </c>
      <c r="O288" s="29">
        <v>0</v>
      </c>
      <c r="P288" s="361">
        <f t="shared" si="175"/>
        <v>0</v>
      </c>
      <c r="Q288" s="361">
        <v>0</v>
      </c>
      <c r="R288" s="361">
        <v>0</v>
      </c>
      <c r="S288" s="362">
        <v>0</v>
      </c>
      <c r="T288" s="29">
        <v>2.29</v>
      </c>
      <c r="U288" s="361">
        <f t="shared" si="176"/>
        <v>573</v>
      </c>
      <c r="V288" s="361">
        <v>0</v>
      </c>
      <c r="W288" s="361">
        <v>0</v>
      </c>
      <c r="X288" s="362">
        <v>573</v>
      </c>
      <c r="Y288" s="29">
        <v>0</v>
      </c>
      <c r="Z288" s="361">
        <f t="shared" si="177"/>
        <v>0</v>
      </c>
      <c r="AA288" s="361">
        <v>0</v>
      </c>
      <c r="AB288" s="361">
        <v>0</v>
      </c>
      <c r="AC288" s="362">
        <v>0</v>
      </c>
      <c r="AD288" s="7"/>
    </row>
    <row r="289" spans="1:30" s="8" customFormat="1" ht="62.45" customHeight="1" outlineLevel="1" x14ac:dyDescent="0.2">
      <c r="A289" s="352" t="s">
        <v>493</v>
      </c>
      <c r="B289" s="363" t="s">
        <v>254</v>
      </c>
      <c r="C289" s="286">
        <f t="shared" si="172"/>
        <v>4.88</v>
      </c>
      <c r="D289" s="361">
        <f t="shared" si="173"/>
        <v>1219</v>
      </c>
      <c r="E289" s="311">
        <v>0</v>
      </c>
      <c r="F289" s="260">
        <f t="shared" si="174"/>
        <v>0</v>
      </c>
      <c r="G289" s="361">
        <v>0</v>
      </c>
      <c r="H289" s="361">
        <v>0</v>
      </c>
      <c r="I289" s="361">
        <v>0</v>
      </c>
      <c r="J289" s="311">
        <v>0</v>
      </c>
      <c r="K289" s="260">
        <f t="shared" si="171"/>
        <v>0</v>
      </c>
      <c r="L289" s="361">
        <v>0</v>
      </c>
      <c r="M289" s="361">
        <v>0</v>
      </c>
      <c r="N289" s="361">
        <v>0</v>
      </c>
      <c r="O289" s="29">
        <v>0</v>
      </c>
      <c r="P289" s="361">
        <f t="shared" si="175"/>
        <v>0</v>
      </c>
      <c r="Q289" s="361">
        <v>0</v>
      </c>
      <c r="R289" s="361">
        <v>0</v>
      </c>
      <c r="S289" s="362">
        <v>0</v>
      </c>
      <c r="T289" s="29">
        <f>ROUND(4.875,2)</f>
        <v>4.88</v>
      </c>
      <c r="U289" s="361">
        <f t="shared" si="176"/>
        <v>1219</v>
      </c>
      <c r="V289" s="361">
        <v>0</v>
      </c>
      <c r="W289" s="361">
        <v>0</v>
      </c>
      <c r="X289" s="362">
        <v>1219</v>
      </c>
      <c r="Y289" s="29">
        <v>0</v>
      </c>
      <c r="Z289" s="361">
        <f t="shared" si="177"/>
        <v>0</v>
      </c>
      <c r="AA289" s="361">
        <v>0</v>
      </c>
      <c r="AB289" s="361">
        <v>0</v>
      </c>
      <c r="AC289" s="362">
        <v>0</v>
      </c>
      <c r="AD289" s="7"/>
    </row>
    <row r="290" spans="1:30" s="8" customFormat="1" ht="31.9" customHeight="1" outlineLevel="1" x14ac:dyDescent="0.2">
      <c r="A290" s="352" t="s">
        <v>494</v>
      </c>
      <c r="B290" s="363" t="s">
        <v>255</v>
      </c>
      <c r="C290" s="286">
        <f t="shared" si="172"/>
        <v>4.55</v>
      </c>
      <c r="D290" s="361">
        <f t="shared" si="173"/>
        <v>1138</v>
      </c>
      <c r="E290" s="311">
        <v>0</v>
      </c>
      <c r="F290" s="260">
        <f t="shared" si="174"/>
        <v>0</v>
      </c>
      <c r="G290" s="361">
        <v>0</v>
      </c>
      <c r="H290" s="361">
        <v>0</v>
      </c>
      <c r="I290" s="361">
        <v>0</v>
      </c>
      <c r="J290" s="311">
        <v>0</v>
      </c>
      <c r="K290" s="260">
        <f t="shared" si="171"/>
        <v>0</v>
      </c>
      <c r="L290" s="361">
        <v>0</v>
      </c>
      <c r="M290" s="361">
        <v>0</v>
      </c>
      <c r="N290" s="361">
        <v>0</v>
      </c>
      <c r="O290" s="29">
        <v>0</v>
      </c>
      <c r="P290" s="361">
        <f t="shared" si="175"/>
        <v>0</v>
      </c>
      <c r="Q290" s="361">
        <v>0</v>
      </c>
      <c r="R290" s="361">
        <v>0</v>
      </c>
      <c r="S290" s="362">
        <v>0</v>
      </c>
      <c r="T290" s="29">
        <v>4.55</v>
      </c>
      <c r="U290" s="361">
        <f t="shared" si="176"/>
        <v>1138</v>
      </c>
      <c r="V290" s="361">
        <v>0</v>
      </c>
      <c r="W290" s="361">
        <v>0</v>
      </c>
      <c r="X290" s="362">
        <v>1138</v>
      </c>
      <c r="Y290" s="29">
        <v>0</v>
      </c>
      <c r="Z290" s="361">
        <f t="shared" si="177"/>
        <v>0</v>
      </c>
      <c r="AA290" s="361">
        <v>0</v>
      </c>
      <c r="AB290" s="361">
        <v>0</v>
      </c>
      <c r="AC290" s="362">
        <v>0</v>
      </c>
      <c r="AD290" s="7"/>
    </row>
    <row r="291" spans="1:30" s="8" customFormat="1" ht="26.45" customHeight="1" outlineLevel="1" x14ac:dyDescent="0.2">
      <c r="A291" s="352" t="s">
        <v>495</v>
      </c>
      <c r="B291" s="363" t="s">
        <v>256</v>
      </c>
      <c r="C291" s="286">
        <f t="shared" si="172"/>
        <v>3.77</v>
      </c>
      <c r="D291" s="361">
        <f t="shared" si="173"/>
        <v>941</v>
      </c>
      <c r="E291" s="311">
        <v>0</v>
      </c>
      <c r="F291" s="260">
        <f t="shared" si="174"/>
        <v>0</v>
      </c>
      <c r="G291" s="361">
        <v>0</v>
      </c>
      <c r="H291" s="361">
        <v>0</v>
      </c>
      <c r="I291" s="361">
        <v>0</v>
      </c>
      <c r="J291" s="311">
        <v>0</v>
      </c>
      <c r="K291" s="260">
        <f t="shared" si="171"/>
        <v>0</v>
      </c>
      <c r="L291" s="361">
        <v>0</v>
      </c>
      <c r="M291" s="361">
        <v>0</v>
      </c>
      <c r="N291" s="361">
        <v>0</v>
      </c>
      <c r="O291" s="29">
        <v>0</v>
      </c>
      <c r="P291" s="361">
        <f t="shared" si="175"/>
        <v>0</v>
      </c>
      <c r="Q291" s="361">
        <v>0</v>
      </c>
      <c r="R291" s="361">
        <v>0</v>
      </c>
      <c r="S291" s="362">
        <v>0</v>
      </c>
      <c r="T291" s="29">
        <f>ROUND(3.765,2)</f>
        <v>3.77</v>
      </c>
      <c r="U291" s="361">
        <f t="shared" si="176"/>
        <v>941</v>
      </c>
      <c r="V291" s="361">
        <v>0</v>
      </c>
      <c r="W291" s="361">
        <v>0</v>
      </c>
      <c r="X291" s="362">
        <v>941</v>
      </c>
      <c r="Y291" s="29">
        <v>0</v>
      </c>
      <c r="Z291" s="361">
        <f t="shared" si="177"/>
        <v>0</v>
      </c>
      <c r="AA291" s="361">
        <v>0</v>
      </c>
      <c r="AB291" s="361">
        <v>0</v>
      </c>
      <c r="AC291" s="362">
        <v>0</v>
      </c>
      <c r="AD291" s="7"/>
    </row>
    <row r="292" spans="1:30" s="8" customFormat="1" ht="31.15" customHeight="1" outlineLevel="1" x14ac:dyDescent="0.2">
      <c r="A292" s="352" t="s">
        <v>496</v>
      </c>
      <c r="B292" s="363" t="s">
        <v>257</v>
      </c>
      <c r="C292" s="286">
        <f t="shared" si="172"/>
        <v>1.08</v>
      </c>
      <c r="D292" s="361">
        <f t="shared" si="173"/>
        <v>269</v>
      </c>
      <c r="E292" s="311">
        <v>0</v>
      </c>
      <c r="F292" s="260">
        <f t="shared" si="174"/>
        <v>0</v>
      </c>
      <c r="G292" s="361">
        <v>0</v>
      </c>
      <c r="H292" s="361">
        <v>0</v>
      </c>
      <c r="I292" s="361">
        <v>0</v>
      </c>
      <c r="J292" s="311">
        <v>0</v>
      </c>
      <c r="K292" s="260">
        <f t="shared" si="171"/>
        <v>0</v>
      </c>
      <c r="L292" s="361">
        <v>0</v>
      </c>
      <c r="M292" s="361">
        <v>0</v>
      </c>
      <c r="N292" s="361">
        <v>0</v>
      </c>
      <c r="O292" s="29">
        <v>0</v>
      </c>
      <c r="P292" s="361">
        <f t="shared" si="175"/>
        <v>0</v>
      </c>
      <c r="Q292" s="361">
        <v>0</v>
      </c>
      <c r="R292" s="361">
        <v>0</v>
      </c>
      <c r="S292" s="362">
        <v>0</v>
      </c>
      <c r="T292" s="29">
        <f>ROUND(1.075,2)</f>
        <v>1.08</v>
      </c>
      <c r="U292" s="361">
        <f t="shared" si="176"/>
        <v>269</v>
      </c>
      <c r="V292" s="361">
        <v>0</v>
      </c>
      <c r="W292" s="361">
        <v>0</v>
      </c>
      <c r="X292" s="362">
        <v>269</v>
      </c>
      <c r="Y292" s="29">
        <v>0</v>
      </c>
      <c r="Z292" s="361">
        <f t="shared" si="177"/>
        <v>0</v>
      </c>
      <c r="AA292" s="361">
        <v>0</v>
      </c>
      <c r="AB292" s="361">
        <v>0</v>
      </c>
      <c r="AC292" s="362">
        <v>0</v>
      </c>
      <c r="AD292" s="7"/>
    </row>
    <row r="293" spans="1:30" s="8" customFormat="1" ht="32.450000000000003" customHeight="1" outlineLevel="1" x14ac:dyDescent="0.2">
      <c r="A293" s="352" t="s">
        <v>497</v>
      </c>
      <c r="B293" s="363" t="s">
        <v>258</v>
      </c>
      <c r="C293" s="286">
        <f t="shared" si="172"/>
        <v>3.53</v>
      </c>
      <c r="D293" s="361">
        <f t="shared" si="173"/>
        <v>883</v>
      </c>
      <c r="E293" s="311">
        <v>0</v>
      </c>
      <c r="F293" s="260">
        <f t="shared" si="174"/>
        <v>0</v>
      </c>
      <c r="G293" s="361">
        <v>0</v>
      </c>
      <c r="H293" s="361">
        <v>0</v>
      </c>
      <c r="I293" s="361">
        <v>0</v>
      </c>
      <c r="J293" s="311">
        <v>0</v>
      </c>
      <c r="K293" s="260">
        <f t="shared" si="171"/>
        <v>0</v>
      </c>
      <c r="L293" s="361">
        <v>0</v>
      </c>
      <c r="M293" s="361">
        <v>0</v>
      </c>
      <c r="N293" s="361">
        <v>0</v>
      </c>
      <c r="O293" s="29">
        <v>0</v>
      </c>
      <c r="P293" s="361">
        <f t="shared" si="175"/>
        <v>0</v>
      </c>
      <c r="Q293" s="361">
        <v>0</v>
      </c>
      <c r="R293" s="361">
        <v>0</v>
      </c>
      <c r="S293" s="362">
        <v>0</v>
      </c>
      <c r="T293" s="29">
        <v>3.53</v>
      </c>
      <c r="U293" s="361">
        <f t="shared" si="176"/>
        <v>883</v>
      </c>
      <c r="V293" s="361">
        <v>0</v>
      </c>
      <c r="W293" s="361">
        <v>0</v>
      </c>
      <c r="X293" s="362">
        <v>883</v>
      </c>
      <c r="Y293" s="29">
        <v>0</v>
      </c>
      <c r="Z293" s="361">
        <f t="shared" si="177"/>
        <v>0</v>
      </c>
      <c r="AA293" s="361">
        <v>0</v>
      </c>
      <c r="AB293" s="361">
        <v>0</v>
      </c>
      <c r="AC293" s="362">
        <v>0</v>
      </c>
      <c r="AD293" s="7"/>
    </row>
    <row r="294" spans="1:30" s="8" customFormat="1" ht="30.6" customHeight="1" outlineLevel="1" x14ac:dyDescent="0.2">
      <c r="A294" s="352" t="s">
        <v>498</v>
      </c>
      <c r="B294" s="363" t="s">
        <v>259</v>
      </c>
      <c r="C294" s="286">
        <f t="shared" si="172"/>
        <v>2.1</v>
      </c>
      <c r="D294" s="361">
        <f t="shared" si="173"/>
        <v>525</v>
      </c>
      <c r="E294" s="311">
        <v>0</v>
      </c>
      <c r="F294" s="260">
        <f t="shared" si="174"/>
        <v>0</v>
      </c>
      <c r="G294" s="361">
        <v>0</v>
      </c>
      <c r="H294" s="361">
        <v>0</v>
      </c>
      <c r="I294" s="361">
        <v>0</v>
      </c>
      <c r="J294" s="311">
        <v>0</v>
      </c>
      <c r="K294" s="260">
        <f t="shared" si="171"/>
        <v>0</v>
      </c>
      <c r="L294" s="361">
        <v>0</v>
      </c>
      <c r="M294" s="361">
        <v>0</v>
      </c>
      <c r="N294" s="361">
        <v>0</v>
      </c>
      <c r="O294" s="29">
        <v>0</v>
      </c>
      <c r="P294" s="361">
        <f t="shared" si="175"/>
        <v>0</v>
      </c>
      <c r="Q294" s="361">
        <v>0</v>
      </c>
      <c r="R294" s="361">
        <v>0</v>
      </c>
      <c r="S294" s="362">
        <v>0</v>
      </c>
      <c r="T294" s="29">
        <v>2.1</v>
      </c>
      <c r="U294" s="361">
        <f t="shared" si="176"/>
        <v>525</v>
      </c>
      <c r="V294" s="361">
        <v>0</v>
      </c>
      <c r="W294" s="361">
        <v>0</v>
      </c>
      <c r="X294" s="362">
        <v>525</v>
      </c>
      <c r="Y294" s="29">
        <v>0</v>
      </c>
      <c r="Z294" s="361">
        <f t="shared" si="177"/>
        <v>0</v>
      </c>
      <c r="AA294" s="361">
        <v>0</v>
      </c>
      <c r="AB294" s="361">
        <v>0</v>
      </c>
      <c r="AC294" s="362">
        <v>0</v>
      </c>
      <c r="AD294" s="7"/>
    </row>
    <row r="295" spans="1:30" s="8" customFormat="1" ht="39" customHeight="1" outlineLevel="1" x14ac:dyDescent="0.2">
      <c r="A295" s="352" t="s">
        <v>499</v>
      </c>
      <c r="B295" s="363" t="s">
        <v>260</v>
      </c>
      <c r="C295" s="286">
        <f t="shared" si="172"/>
        <v>1.04</v>
      </c>
      <c r="D295" s="361">
        <f t="shared" si="173"/>
        <v>259</v>
      </c>
      <c r="E295" s="311">
        <v>0</v>
      </c>
      <c r="F295" s="260">
        <f t="shared" si="174"/>
        <v>0</v>
      </c>
      <c r="G295" s="361">
        <v>0</v>
      </c>
      <c r="H295" s="361">
        <v>0</v>
      </c>
      <c r="I295" s="361">
        <v>0</v>
      </c>
      <c r="J295" s="311">
        <v>0</v>
      </c>
      <c r="K295" s="260">
        <f t="shared" si="171"/>
        <v>0</v>
      </c>
      <c r="L295" s="361">
        <v>0</v>
      </c>
      <c r="M295" s="361">
        <v>0</v>
      </c>
      <c r="N295" s="361">
        <v>0</v>
      </c>
      <c r="O295" s="29">
        <v>0</v>
      </c>
      <c r="P295" s="361">
        <f t="shared" si="175"/>
        <v>0</v>
      </c>
      <c r="Q295" s="361">
        <v>0</v>
      </c>
      <c r="R295" s="361">
        <v>0</v>
      </c>
      <c r="S295" s="362">
        <v>0</v>
      </c>
      <c r="T295" s="29">
        <f>ROUND(1.035,2)</f>
        <v>1.04</v>
      </c>
      <c r="U295" s="361">
        <f t="shared" si="176"/>
        <v>259</v>
      </c>
      <c r="V295" s="361">
        <v>0</v>
      </c>
      <c r="W295" s="361">
        <v>0</v>
      </c>
      <c r="X295" s="362">
        <v>259</v>
      </c>
      <c r="Y295" s="29">
        <v>0</v>
      </c>
      <c r="Z295" s="361">
        <f t="shared" si="177"/>
        <v>0</v>
      </c>
      <c r="AA295" s="361">
        <v>0</v>
      </c>
      <c r="AB295" s="361">
        <v>0</v>
      </c>
      <c r="AC295" s="362">
        <v>0</v>
      </c>
      <c r="AD295" s="7"/>
    </row>
    <row r="296" spans="1:30" s="8" customFormat="1" ht="50.45" customHeight="1" outlineLevel="1" x14ac:dyDescent="0.2">
      <c r="A296" s="352" t="s">
        <v>500</v>
      </c>
      <c r="B296" s="363" t="s">
        <v>261</v>
      </c>
      <c r="C296" s="286">
        <f t="shared" si="172"/>
        <v>0.33</v>
      </c>
      <c r="D296" s="361">
        <f t="shared" si="173"/>
        <v>81</v>
      </c>
      <c r="E296" s="311">
        <v>0</v>
      </c>
      <c r="F296" s="260">
        <f t="shared" si="174"/>
        <v>0</v>
      </c>
      <c r="G296" s="361">
        <v>0</v>
      </c>
      <c r="H296" s="361">
        <v>0</v>
      </c>
      <c r="I296" s="361">
        <v>0</v>
      </c>
      <c r="J296" s="311">
        <v>0</v>
      </c>
      <c r="K296" s="260">
        <f t="shared" si="171"/>
        <v>0</v>
      </c>
      <c r="L296" s="361">
        <v>0</v>
      </c>
      <c r="M296" s="361">
        <v>0</v>
      </c>
      <c r="N296" s="361">
        <v>0</v>
      </c>
      <c r="O296" s="29">
        <v>0</v>
      </c>
      <c r="P296" s="361">
        <f t="shared" si="175"/>
        <v>0</v>
      </c>
      <c r="Q296" s="361">
        <v>0</v>
      </c>
      <c r="R296" s="361">
        <v>0</v>
      </c>
      <c r="S296" s="362">
        <v>0</v>
      </c>
      <c r="T296" s="29">
        <f>ROUND(0.325,2)</f>
        <v>0.33</v>
      </c>
      <c r="U296" s="361">
        <f t="shared" si="176"/>
        <v>81</v>
      </c>
      <c r="V296" s="361">
        <v>0</v>
      </c>
      <c r="W296" s="361">
        <v>0</v>
      </c>
      <c r="X296" s="362">
        <v>81</v>
      </c>
      <c r="Y296" s="29">
        <v>0</v>
      </c>
      <c r="Z296" s="361">
        <f t="shared" si="177"/>
        <v>0</v>
      </c>
      <c r="AA296" s="361">
        <v>0</v>
      </c>
      <c r="AB296" s="361">
        <v>0</v>
      </c>
      <c r="AC296" s="362">
        <v>0</v>
      </c>
      <c r="AD296" s="7"/>
    </row>
    <row r="297" spans="1:30" s="8" customFormat="1" ht="31.9" customHeight="1" outlineLevel="1" x14ac:dyDescent="0.2">
      <c r="A297" s="352" t="s">
        <v>501</v>
      </c>
      <c r="B297" s="363" t="s">
        <v>262</v>
      </c>
      <c r="C297" s="286">
        <f t="shared" si="172"/>
        <v>0.91999999999999993</v>
      </c>
      <c r="D297" s="361">
        <f t="shared" si="173"/>
        <v>229.99999999999997</v>
      </c>
      <c r="E297" s="311">
        <v>0</v>
      </c>
      <c r="F297" s="260">
        <f t="shared" si="174"/>
        <v>0</v>
      </c>
      <c r="G297" s="361">
        <v>0</v>
      </c>
      <c r="H297" s="361">
        <v>0</v>
      </c>
      <c r="I297" s="361">
        <v>0</v>
      </c>
      <c r="J297" s="311">
        <v>0</v>
      </c>
      <c r="K297" s="260">
        <f t="shared" si="171"/>
        <v>0</v>
      </c>
      <c r="L297" s="361">
        <v>0</v>
      </c>
      <c r="M297" s="361">
        <v>0</v>
      </c>
      <c r="N297" s="361">
        <v>0</v>
      </c>
      <c r="O297" s="29">
        <v>0</v>
      </c>
      <c r="P297" s="361">
        <f t="shared" si="175"/>
        <v>0</v>
      </c>
      <c r="Q297" s="361">
        <v>0</v>
      </c>
      <c r="R297" s="361">
        <v>0</v>
      </c>
      <c r="S297" s="362">
        <v>0</v>
      </c>
      <c r="T297" s="29">
        <v>0.91999999999999993</v>
      </c>
      <c r="U297" s="361">
        <f t="shared" si="176"/>
        <v>229.99999999999997</v>
      </c>
      <c r="V297" s="361">
        <v>0</v>
      </c>
      <c r="W297" s="361">
        <v>0</v>
      </c>
      <c r="X297" s="362">
        <v>229.99999999999997</v>
      </c>
      <c r="Y297" s="29">
        <v>0</v>
      </c>
      <c r="Z297" s="361">
        <f t="shared" si="177"/>
        <v>0</v>
      </c>
      <c r="AA297" s="361">
        <v>0</v>
      </c>
      <c r="AB297" s="361">
        <v>0</v>
      </c>
      <c r="AC297" s="362">
        <v>0</v>
      </c>
      <c r="AD297" s="7"/>
    </row>
    <row r="298" spans="1:30" s="8" customFormat="1" ht="32.450000000000003" customHeight="1" outlineLevel="1" x14ac:dyDescent="0.2">
      <c r="A298" s="352" t="s">
        <v>502</v>
      </c>
      <c r="B298" s="363" t="s">
        <v>263</v>
      </c>
      <c r="C298" s="286">
        <f t="shared" si="172"/>
        <v>0.88</v>
      </c>
      <c r="D298" s="361">
        <f t="shared" si="173"/>
        <v>219</v>
      </c>
      <c r="E298" s="311">
        <v>0</v>
      </c>
      <c r="F298" s="260">
        <f t="shared" si="174"/>
        <v>0</v>
      </c>
      <c r="G298" s="361">
        <v>0</v>
      </c>
      <c r="H298" s="361">
        <v>0</v>
      </c>
      <c r="I298" s="361">
        <v>0</v>
      </c>
      <c r="J298" s="311">
        <v>0</v>
      </c>
      <c r="K298" s="260">
        <f t="shared" si="171"/>
        <v>0</v>
      </c>
      <c r="L298" s="361">
        <v>0</v>
      </c>
      <c r="M298" s="361">
        <v>0</v>
      </c>
      <c r="N298" s="361">
        <v>0</v>
      </c>
      <c r="O298" s="29">
        <v>0</v>
      </c>
      <c r="P298" s="361">
        <f t="shared" si="175"/>
        <v>0</v>
      </c>
      <c r="Q298" s="361">
        <v>0</v>
      </c>
      <c r="R298" s="361">
        <v>0</v>
      </c>
      <c r="S298" s="362">
        <v>0</v>
      </c>
      <c r="T298" s="29">
        <f>ROUND(0.875,2)</f>
        <v>0.88</v>
      </c>
      <c r="U298" s="361">
        <f t="shared" si="176"/>
        <v>219</v>
      </c>
      <c r="V298" s="361">
        <v>0</v>
      </c>
      <c r="W298" s="361">
        <v>0</v>
      </c>
      <c r="X298" s="362">
        <v>219</v>
      </c>
      <c r="Y298" s="29">
        <v>0</v>
      </c>
      <c r="Z298" s="361">
        <f t="shared" si="177"/>
        <v>0</v>
      </c>
      <c r="AA298" s="361">
        <v>0</v>
      </c>
      <c r="AB298" s="361">
        <v>0</v>
      </c>
      <c r="AC298" s="362">
        <v>0</v>
      </c>
      <c r="AD298" s="7"/>
    </row>
    <row r="299" spans="1:30" s="8" customFormat="1" ht="28.9" customHeight="1" outlineLevel="1" x14ac:dyDescent="0.2">
      <c r="A299" s="352" t="s">
        <v>503</v>
      </c>
      <c r="B299" s="363" t="s">
        <v>264</v>
      </c>
      <c r="C299" s="286">
        <f t="shared" si="172"/>
        <v>1</v>
      </c>
      <c r="D299" s="361">
        <f t="shared" si="173"/>
        <v>250</v>
      </c>
      <c r="E299" s="311">
        <v>0</v>
      </c>
      <c r="F299" s="260">
        <f t="shared" si="174"/>
        <v>0</v>
      </c>
      <c r="G299" s="361">
        <v>0</v>
      </c>
      <c r="H299" s="361">
        <v>0</v>
      </c>
      <c r="I299" s="361">
        <v>0</v>
      </c>
      <c r="J299" s="311">
        <v>0</v>
      </c>
      <c r="K299" s="260">
        <f t="shared" si="171"/>
        <v>0</v>
      </c>
      <c r="L299" s="361">
        <v>0</v>
      </c>
      <c r="M299" s="361">
        <v>0</v>
      </c>
      <c r="N299" s="361">
        <v>0</v>
      </c>
      <c r="O299" s="29">
        <v>0</v>
      </c>
      <c r="P299" s="361">
        <f t="shared" si="175"/>
        <v>0</v>
      </c>
      <c r="Q299" s="361">
        <v>0</v>
      </c>
      <c r="R299" s="361">
        <v>0</v>
      </c>
      <c r="S299" s="362">
        <v>0</v>
      </c>
      <c r="T299" s="29">
        <v>1</v>
      </c>
      <c r="U299" s="361">
        <f t="shared" si="176"/>
        <v>250</v>
      </c>
      <c r="V299" s="361">
        <v>0</v>
      </c>
      <c r="W299" s="361">
        <v>0</v>
      </c>
      <c r="X299" s="362">
        <v>250</v>
      </c>
      <c r="Y299" s="29">
        <v>0</v>
      </c>
      <c r="Z299" s="361">
        <f t="shared" si="177"/>
        <v>0</v>
      </c>
      <c r="AA299" s="361">
        <v>0</v>
      </c>
      <c r="AB299" s="361">
        <v>0</v>
      </c>
      <c r="AC299" s="362">
        <v>0</v>
      </c>
      <c r="AD299" s="7"/>
    </row>
    <row r="300" spans="1:30" s="8" customFormat="1" ht="33" customHeight="1" outlineLevel="1" x14ac:dyDescent="0.2">
      <c r="A300" s="352" t="s">
        <v>504</v>
      </c>
      <c r="B300" s="363" t="s">
        <v>265</v>
      </c>
      <c r="C300" s="286">
        <f t="shared" si="172"/>
        <v>0.98</v>
      </c>
      <c r="D300" s="361">
        <f t="shared" si="173"/>
        <v>245</v>
      </c>
      <c r="E300" s="311">
        <v>0</v>
      </c>
      <c r="F300" s="260">
        <f t="shared" si="174"/>
        <v>0</v>
      </c>
      <c r="G300" s="361">
        <v>0</v>
      </c>
      <c r="H300" s="361">
        <v>0</v>
      </c>
      <c r="I300" s="361">
        <v>0</v>
      </c>
      <c r="J300" s="311">
        <v>0</v>
      </c>
      <c r="K300" s="260">
        <f t="shared" si="171"/>
        <v>0</v>
      </c>
      <c r="L300" s="361">
        <v>0</v>
      </c>
      <c r="M300" s="361">
        <v>0</v>
      </c>
      <c r="N300" s="361">
        <v>0</v>
      </c>
      <c r="O300" s="29">
        <v>0</v>
      </c>
      <c r="P300" s="361">
        <f t="shared" si="175"/>
        <v>0</v>
      </c>
      <c r="Q300" s="361">
        <v>0</v>
      </c>
      <c r="R300" s="361">
        <v>0</v>
      </c>
      <c r="S300" s="362">
        <v>0</v>
      </c>
      <c r="T300" s="29">
        <v>0.98</v>
      </c>
      <c r="U300" s="361">
        <f t="shared" si="176"/>
        <v>245</v>
      </c>
      <c r="V300" s="361">
        <v>0</v>
      </c>
      <c r="W300" s="361">
        <v>0</v>
      </c>
      <c r="X300" s="362">
        <v>245</v>
      </c>
      <c r="Y300" s="29">
        <v>0</v>
      </c>
      <c r="Z300" s="361">
        <f t="shared" si="177"/>
        <v>0</v>
      </c>
      <c r="AA300" s="361">
        <v>0</v>
      </c>
      <c r="AB300" s="361">
        <v>0</v>
      </c>
      <c r="AC300" s="362">
        <v>0</v>
      </c>
      <c r="AD300" s="7"/>
    </row>
    <row r="301" spans="1:30" s="8" customFormat="1" ht="31.15" customHeight="1" outlineLevel="1" x14ac:dyDescent="0.2">
      <c r="A301" s="352" t="s">
        <v>505</v>
      </c>
      <c r="B301" s="363" t="s">
        <v>266</v>
      </c>
      <c r="C301" s="286">
        <f t="shared" si="172"/>
        <v>1.33</v>
      </c>
      <c r="D301" s="361">
        <f t="shared" si="173"/>
        <v>331</v>
      </c>
      <c r="E301" s="311">
        <v>0</v>
      </c>
      <c r="F301" s="260">
        <f t="shared" si="174"/>
        <v>0</v>
      </c>
      <c r="G301" s="361">
        <v>0</v>
      </c>
      <c r="H301" s="361">
        <v>0</v>
      </c>
      <c r="I301" s="361">
        <v>0</v>
      </c>
      <c r="J301" s="311">
        <v>0</v>
      </c>
      <c r="K301" s="260">
        <f t="shared" si="171"/>
        <v>0</v>
      </c>
      <c r="L301" s="361">
        <v>0</v>
      </c>
      <c r="M301" s="361">
        <v>0</v>
      </c>
      <c r="N301" s="361">
        <v>0</v>
      </c>
      <c r="O301" s="29">
        <v>0</v>
      </c>
      <c r="P301" s="361">
        <f t="shared" si="175"/>
        <v>0</v>
      </c>
      <c r="Q301" s="361">
        <v>0</v>
      </c>
      <c r="R301" s="361">
        <v>0</v>
      </c>
      <c r="S301" s="362">
        <v>0</v>
      </c>
      <c r="T301" s="29">
        <f>ROUND(1.325,2)</f>
        <v>1.33</v>
      </c>
      <c r="U301" s="361">
        <f t="shared" si="176"/>
        <v>331</v>
      </c>
      <c r="V301" s="361">
        <v>0</v>
      </c>
      <c r="W301" s="361">
        <v>0</v>
      </c>
      <c r="X301" s="362">
        <v>331</v>
      </c>
      <c r="Y301" s="29">
        <v>0</v>
      </c>
      <c r="Z301" s="361">
        <f t="shared" si="177"/>
        <v>0</v>
      </c>
      <c r="AA301" s="361">
        <v>0</v>
      </c>
      <c r="AB301" s="361">
        <v>0</v>
      </c>
      <c r="AC301" s="362">
        <v>0</v>
      </c>
      <c r="AD301" s="7"/>
    </row>
    <row r="302" spans="1:30" s="8" customFormat="1" ht="25.15" customHeight="1" outlineLevel="1" x14ac:dyDescent="0.2">
      <c r="A302" s="352" t="s">
        <v>506</v>
      </c>
      <c r="B302" s="363" t="s">
        <v>267</v>
      </c>
      <c r="C302" s="286">
        <f t="shared" si="172"/>
        <v>3.13</v>
      </c>
      <c r="D302" s="361">
        <f t="shared" si="173"/>
        <v>781</v>
      </c>
      <c r="E302" s="311">
        <v>0</v>
      </c>
      <c r="F302" s="260">
        <f t="shared" si="174"/>
        <v>0</v>
      </c>
      <c r="G302" s="361">
        <v>0</v>
      </c>
      <c r="H302" s="361">
        <v>0</v>
      </c>
      <c r="I302" s="361">
        <v>0</v>
      </c>
      <c r="J302" s="311">
        <v>0</v>
      </c>
      <c r="K302" s="260">
        <f t="shared" si="171"/>
        <v>0</v>
      </c>
      <c r="L302" s="361">
        <v>0</v>
      </c>
      <c r="M302" s="361">
        <v>0</v>
      </c>
      <c r="N302" s="361">
        <v>0</v>
      </c>
      <c r="O302" s="29">
        <v>0</v>
      </c>
      <c r="P302" s="361">
        <f t="shared" si="175"/>
        <v>0</v>
      </c>
      <c r="Q302" s="361">
        <v>0</v>
      </c>
      <c r="R302" s="361">
        <v>0</v>
      </c>
      <c r="S302" s="362">
        <v>0</v>
      </c>
      <c r="T302" s="29">
        <f>ROUND(3.125,2)</f>
        <v>3.13</v>
      </c>
      <c r="U302" s="361">
        <f t="shared" si="176"/>
        <v>781</v>
      </c>
      <c r="V302" s="361">
        <v>0</v>
      </c>
      <c r="W302" s="361">
        <v>0</v>
      </c>
      <c r="X302" s="362">
        <v>781</v>
      </c>
      <c r="Y302" s="29">
        <v>0</v>
      </c>
      <c r="Z302" s="361">
        <f t="shared" si="177"/>
        <v>0</v>
      </c>
      <c r="AA302" s="361">
        <v>0</v>
      </c>
      <c r="AB302" s="361">
        <v>0</v>
      </c>
      <c r="AC302" s="362">
        <v>0</v>
      </c>
      <c r="AD302" s="7"/>
    </row>
    <row r="303" spans="1:30" s="8" customFormat="1" ht="24" customHeight="1" outlineLevel="1" x14ac:dyDescent="0.2">
      <c r="A303" s="352" t="s">
        <v>507</v>
      </c>
      <c r="B303" s="363" t="s">
        <v>268</v>
      </c>
      <c r="C303" s="286">
        <f t="shared" si="172"/>
        <v>1.5</v>
      </c>
      <c r="D303" s="361">
        <f t="shared" si="173"/>
        <v>375</v>
      </c>
      <c r="E303" s="311">
        <v>0</v>
      </c>
      <c r="F303" s="260">
        <f t="shared" si="174"/>
        <v>0</v>
      </c>
      <c r="G303" s="361">
        <v>0</v>
      </c>
      <c r="H303" s="361">
        <v>0</v>
      </c>
      <c r="I303" s="361">
        <v>0</v>
      </c>
      <c r="J303" s="311">
        <v>0</v>
      </c>
      <c r="K303" s="260">
        <f t="shared" si="171"/>
        <v>0</v>
      </c>
      <c r="L303" s="361">
        <v>0</v>
      </c>
      <c r="M303" s="361">
        <v>0</v>
      </c>
      <c r="N303" s="361">
        <v>0</v>
      </c>
      <c r="O303" s="29">
        <v>0</v>
      </c>
      <c r="P303" s="361">
        <f t="shared" si="175"/>
        <v>0</v>
      </c>
      <c r="Q303" s="361">
        <v>0</v>
      </c>
      <c r="R303" s="361">
        <v>0</v>
      </c>
      <c r="S303" s="362">
        <v>0</v>
      </c>
      <c r="T303" s="29">
        <v>1.5</v>
      </c>
      <c r="U303" s="361">
        <f t="shared" si="176"/>
        <v>375</v>
      </c>
      <c r="V303" s="361">
        <v>0</v>
      </c>
      <c r="W303" s="361">
        <v>0</v>
      </c>
      <c r="X303" s="362">
        <v>375</v>
      </c>
      <c r="Y303" s="29">
        <v>0</v>
      </c>
      <c r="Z303" s="361">
        <f t="shared" si="177"/>
        <v>0</v>
      </c>
      <c r="AA303" s="361">
        <v>0</v>
      </c>
      <c r="AB303" s="361">
        <v>0</v>
      </c>
      <c r="AC303" s="362">
        <v>0</v>
      </c>
      <c r="AD303" s="7"/>
    </row>
    <row r="304" spans="1:30" s="8" customFormat="1" ht="32.450000000000003" customHeight="1" outlineLevel="1" x14ac:dyDescent="0.2">
      <c r="A304" s="352" t="s">
        <v>508</v>
      </c>
      <c r="B304" s="363" t="s">
        <v>269</v>
      </c>
      <c r="C304" s="286">
        <f t="shared" si="172"/>
        <v>0.62</v>
      </c>
      <c r="D304" s="361">
        <f t="shared" si="173"/>
        <v>155</v>
      </c>
      <c r="E304" s="311">
        <v>0</v>
      </c>
      <c r="F304" s="260">
        <f t="shared" si="174"/>
        <v>0</v>
      </c>
      <c r="G304" s="361">
        <v>0</v>
      </c>
      <c r="H304" s="361">
        <v>0</v>
      </c>
      <c r="I304" s="361">
        <v>0</v>
      </c>
      <c r="J304" s="311">
        <v>0</v>
      </c>
      <c r="K304" s="260">
        <f t="shared" si="171"/>
        <v>0</v>
      </c>
      <c r="L304" s="361">
        <v>0</v>
      </c>
      <c r="M304" s="361">
        <v>0</v>
      </c>
      <c r="N304" s="361">
        <v>0</v>
      </c>
      <c r="O304" s="29">
        <v>0</v>
      </c>
      <c r="P304" s="361">
        <f t="shared" si="175"/>
        <v>0</v>
      </c>
      <c r="Q304" s="361">
        <v>0</v>
      </c>
      <c r="R304" s="361">
        <v>0</v>
      </c>
      <c r="S304" s="362">
        <v>0</v>
      </c>
      <c r="T304" s="29">
        <v>0.62</v>
      </c>
      <c r="U304" s="361">
        <f t="shared" si="176"/>
        <v>155</v>
      </c>
      <c r="V304" s="361">
        <v>0</v>
      </c>
      <c r="W304" s="361">
        <v>0</v>
      </c>
      <c r="X304" s="362">
        <v>155</v>
      </c>
      <c r="Y304" s="29">
        <v>0</v>
      </c>
      <c r="Z304" s="361">
        <f t="shared" si="177"/>
        <v>0</v>
      </c>
      <c r="AA304" s="361">
        <v>0</v>
      </c>
      <c r="AB304" s="361">
        <v>0</v>
      </c>
      <c r="AC304" s="362">
        <v>0</v>
      </c>
      <c r="AD304" s="7"/>
    </row>
    <row r="305" spans="1:30" s="8" customFormat="1" ht="30.6" customHeight="1" outlineLevel="1" x14ac:dyDescent="0.2">
      <c r="A305" s="352" t="s">
        <v>509</v>
      </c>
      <c r="B305" s="363" t="s">
        <v>270</v>
      </c>
      <c r="C305" s="286">
        <f t="shared" si="172"/>
        <v>3.43</v>
      </c>
      <c r="D305" s="361">
        <f t="shared" si="173"/>
        <v>856</v>
      </c>
      <c r="E305" s="311">
        <v>0</v>
      </c>
      <c r="F305" s="260">
        <f t="shared" si="174"/>
        <v>0</v>
      </c>
      <c r="G305" s="361">
        <v>0</v>
      </c>
      <c r="H305" s="361">
        <v>0</v>
      </c>
      <c r="I305" s="361">
        <v>0</v>
      </c>
      <c r="J305" s="311">
        <v>0</v>
      </c>
      <c r="K305" s="260">
        <f t="shared" si="171"/>
        <v>0</v>
      </c>
      <c r="L305" s="361">
        <v>0</v>
      </c>
      <c r="M305" s="361">
        <v>0</v>
      </c>
      <c r="N305" s="361">
        <v>0</v>
      </c>
      <c r="O305" s="29">
        <v>0</v>
      </c>
      <c r="P305" s="361">
        <f t="shared" si="175"/>
        <v>0</v>
      </c>
      <c r="Q305" s="361">
        <v>0</v>
      </c>
      <c r="R305" s="361">
        <v>0</v>
      </c>
      <c r="S305" s="362">
        <v>0</v>
      </c>
      <c r="T305" s="29">
        <f>ROUND(3.425,2)</f>
        <v>3.43</v>
      </c>
      <c r="U305" s="361">
        <f t="shared" si="176"/>
        <v>856</v>
      </c>
      <c r="V305" s="361">
        <v>0</v>
      </c>
      <c r="W305" s="361">
        <v>0</v>
      </c>
      <c r="X305" s="362">
        <v>856</v>
      </c>
      <c r="Y305" s="29">
        <v>0</v>
      </c>
      <c r="Z305" s="361">
        <f t="shared" si="177"/>
        <v>0</v>
      </c>
      <c r="AA305" s="361">
        <v>0</v>
      </c>
      <c r="AB305" s="361">
        <v>0</v>
      </c>
      <c r="AC305" s="362">
        <v>0</v>
      </c>
      <c r="AD305" s="7"/>
    </row>
    <row r="306" spans="1:30" s="8" customFormat="1" ht="33" customHeight="1" outlineLevel="1" x14ac:dyDescent="0.2">
      <c r="A306" s="352" t="s">
        <v>510</v>
      </c>
      <c r="B306" s="363" t="s">
        <v>271</v>
      </c>
      <c r="C306" s="286">
        <f t="shared" si="172"/>
        <v>3.37</v>
      </c>
      <c r="D306" s="361">
        <f t="shared" si="173"/>
        <v>841</v>
      </c>
      <c r="E306" s="311">
        <v>0</v>
      </c>
      <c r="F306" s="260">
        <f t="shared" si="174"/>
        <v>0</v>
      </c>
      <c r="G306" s="361">
        <v>0</v>
      </c>
      <c r="H306" s="361">
        <v>0</v>
      </c>
      <c r="I306" s="361">
        <v>0</v>
      </c>
      <c r="J306" s="311">
        <v>0</v>
      </c>
      <c r="K306" s="260">
        <f t="shared" si="171"/>
        <v>0</v>
      </c>
      <c r="L306" s="361">
        <v>0</v>
      </c>
      <c r="M306" s="361">
        <v>0</v>
      </c>
      <c r="N306" s="361">
        <v>0</v>
      </c>
      <c r="O306" s="29">
        <v>0</v>
      </c>
      <c r="P306" s="361">
        <f t="shared" si="175"/>
        <v>0</v>
      </c>
      <c r="Q306" s="361">
        <v>0</v>
      </c>
      <c r="R306" s="361">
        <v>0</v>
      </c>
      <c r="S306" s="362">
        <v>0</v>
      </c>
      <c r="T306" s="29">
        <f>ROUND(3.365,2)</f>
        <v>3.37</v>
      </c>
      <c r="U306" s="361">
        <f t="shared" si="176"/>
        <v>841</v>
      </c>
      <c r="V306" s="361">
        <v>0</v>
      </c>
      <c r="W306" s="361">
        <v>0</v>
      </c>
      <c r="X306" s="362">
        <v>841</v>
      </c>
      <c r="Y306" s="29">
        <v>0</v>
      </c>
      <c r="Z306" s="361">
        <f t="shared" si="177"/>
        <v>0</v>
      </c>
      <c r="AA306" s="361">
        <v>0</v>
      </c>
      <c r="AB306" s="361">
        <v>0</v>
      </c>
      <c r="AC306" s="362">
        <v>0</v>
      </c>
      <c r="AD306" s="7"/>
    </row>
    <row r="307" spans="1:30" s="8" customFormat="1" ht="35.450000000000003" customHeight="1" outlineLevel="1" x14ac:dyDescent="0.2">
      <c r="A307" s="352" t="s">
        <v>511</v>
      </c>
      <c r="B307" s="363" t="s">
        <v>272</v>
      </c>
      <c r="C307" s="286">
        <f t="shared" si="172"/>
        <v>5.53</v>
      </c>
      <c r="D307" s="361">
        <f t="shared" si="173"/>
        <v>1383</v>
      </c>
      <c r="E307" s="311">
        <v>0</v>
      </c>
      <c r="F307" s="260">
        <f t="shared" si="174"/>
        <v>0</v>
      </c>
      <c r="G307" s="361">
        <v>0</v>
      </c>
      <c r="H307" s="361">
        <v>0</v>
      </c>
      <c r="I307" s="361">
        <v>0</v>
      </c>
      <c r="J307" s="311">
        <v>0</v>
      </c>
      <c r="K307" s="260">
        <f t="shared" si="171"/>
        <v>0</v>
      </c>
      <c r="L307" s="361">
        <v>0</v>
      </c>
      <c r="M307" s="361">
        <v>0</v>
      </c>
      <c r="N307" s="361">
        <v>0</v>
      </c>
      <c r="O307" s="29">
        <v>0</v>
      </c>
      <c r="P307" s="361">
        <f t="shared" si="175"/>
        <v>0</v>
      </c>
      <c r="Q307" s="361">
        <v>0</v>
      </c>
      <c r="R307" s="361">
        <v>0</v>
      </c>
      <c r="S307" s="362">
        <v>0</v>
      </c>
      <c r="T307" s="29">
        <v>5.53</v>
      </c>
      <c r="U307" s="361">
        <f t="shared" si="176"/>
        <v>1383</v>
      </c>
      <c r="V307" s="361">
        <v>0</v>
      </c>
      <c r="W307" s="361">
        <v>0</v>
      </c>
      <c r="X307" s="362">
        <v>1383</v>
      </c>
      <c r="Y307" s="29">
        <v>0</v>
      </c>
      <c r="Z307" s="361">
        <f t="shared" si="177"/>
        <v>0</v>
      </c>
      <c r="AA307" s="361">
        <v>0</v>
      </c>
      <c r="AB307" s="361">
        <v>0</v>
      </c>
      <c r="AC307" s="362">
        <v>0</v>
      </c>
      <c r="AD307" s="7"/>
    </row>
    <row r="308" spans="1:30" s="8" customFormat="1" ht="33" customHeight="1" outlineLevel="1" x14ac:dyDescent="0.2">
      <c r="A308" s="352" t="s">
        <v>512</v>
      </c>
      <c r="B308" s="363" t="s">
        <v>273</v>
      </c>
      <c r="C308" s="286">
        <f t="shared" si="172"/>
        <v>2.25</v>
      </c>
      <c r="D308" s="361">
        <f t="shared" si="173"/>
        <v>561</v>
      </c>
      <c r="E308" s="311">
        <v>0</v>
      </c>
      <c r="F308" s="260">
        <f t="shared" si="174"/>
        <v>0</v>
      </c>
      <c r="G308" s="361">
        <v>0</v>
      </c>
      <c r="H308" s="361">
        <v>0</v>
      </c>
      <c r="I308" s="361">
        <v>0</v>
      </c>
      <c r="J308" s="311">
        <v>0</v>
      </c>
      <c r="K308" s="260">
        <f t="shared" si="171"/>
        <v>0</v>
      </c>
      <c r="L308" s="361">
        <v>0</v>
      </c>
      <c r="M308" s="361">
        <v>0</v>
      </c>
      <c r="N308" s="361">
        <v>0</v>
      </c>
      <c r="O308" s="29">
        <v>0</v>
      </c>
      <c r="P308" s="361">
        <f t="shared" si="175"/>
        <v>0</v>
      </c>
      <c r="Q308" s="361">
        <v>0</v>
      </c>
      <c r="R308" s="361">
        <v>0</v>
      </c>
      <c r="S308" s="362">
        <v>0</v>
      </c>
      <c r="T308" s="29">
        <f>ROUND(2.245,2)</f>
        <v>2.25</v>
      </c>
      <c r="U308" s="361">
        <f t="shared" si="176"/>
        <v>561</v>
      </c>
      <c r="V308" s="361">
        <v>0</v>
      </c>
      <c r="W308" s="361">
        <v>0</v>
      </c>
      <c r="X308" s="362">
        <v>561</v>
      </c>
      <c r="Y308" s="29">
        <v>0</v>
      </c>
      <c r="Z308" s="361">
        <f t="shared" si="177"/>
        <v>0</v>
      </c>
      <c r="AA308" s="361">
        <v>0</v>
      </c>
      <c r="AB308" s="361">
        <v>0</v>
      </c>
      <c r="AC308" s="362">
        <v>0</v>
      </c>
      <c r="AD308" s="7"/>
    </row>
    <row r="309" spans="1:30" s="8" customFormat="1" ht="31.9" customHeight="1" outlineLevel="1" x14ac:dyDescent="0.2">
      <c r="A309" s="352" t="s">
        <v>513</v>
      </c>
      <c r="B309" s="363" t="s">
        <v>274</v>
      </c>
      <c r="C309" s="286">
        <f t="shared" si="172"/>
        <v>2.25</v>
      </c>
      <c r="D309" s="361">
        <f t="shared" si="173"/>
        <v>561</v>
      </c>
      <c r="E309" s="311">
        <v>0</v>
      </c>
      <c r="F309" s="260">
        <f t="shared" si="174"/>
        <v>0</v>
      </c>
      <c r="G309" s="361">
        <v>0</v>
      </c>
      <c r="H309" s="361">
        <v>0</v>
      </c>
      <c r="I309" s="361">
        <v>0</v>
      </c>
      <c r="J309" s="311">
        <v>0</v>
      </c>
      <c r="K309" s="260">
        <f t="shared" si="171"/>
        <v>0</v>
      </c>
      <c r="L309" s="361">
        <v>0</v>
      </c>
      <c r="M309" s="361">
        <v>0</v>
      </c>
      <c r="N309" s="361">
        <v>0</v>
      </c>
      <c r="O309" s="29">
        <v>0</v>
      </c>
      <c r="P309" s="361">
        <f t="shared" si="175"/>
        <v>0</v>
      </c>
      <c r="Q309" s="361">
        <v>0</v>
      </c>
      <c r="R309" s="361">
        <v>0</v>
      </c>
      <c r="S309" s="362">
        <v>0</v>
      </c>
      <c r="T309" s="29">
        <f>ROUND(2.245,2)</f>
        <v>2.25</v>
      </c>
      <c r="U309" s="361">
        <f t="shared" si="176"/>
        <v>561</v>
      </c>
      <c r="V309" s="361">
        <v>0</v>
      </c>
      <c r="W309" s="361">
        <v>0</v>
      </c>
      <c r="X309" s="362">
        <v>561</v>
      </c>
      <c r="Y309" s="29">
        <v>0</v>
      </c>
      <c r="Z309" s="361">
        <f t="shared" si="177"/>
        <v>0</v>
      </c>
      <c r="AA309" s="361">
        <v>0</v>
      </c>
      <c r="AB309" s="361">
        <v>0</v>
      </c>
      <c r="AC309" s="362">
        <v>0</v>
      </c>
      <c r="AD309" s="7"/>
    </row>
    <row r="310" spans="1:30" s="8" customFormat="1" ht="25.15" customHeight="1" outlineLevel="1" x14ac:dyDescent="0.2">
      <c r="A310" s="352" t="s">
        <v>514</v>
      </c>
      <c r="B310" s="363" t="s">
        <v>275</v>
      </c>
      <c r="C310" s="286">
        <f t="shared" si="172"/>
        <v>3.13</v>
      </c>
      <c r="D310" s="361">
        <f t="shared" si="173"/>
        <v>783</v>
      </c>
      <c r="E310" s="311">
        <v>0</v>
      </c>
      <c r="F310" s="260">
        <f t="shared" si="174"/>
        <v>0</v>
      </c>
      <c r="G310" s="361">
        <v>0</v>
      </c>
      <c r="H310" s="361">
        <v>0</v>
      </c>
      <c r="I310" s="361">
        <v>0</v>
      </c>
      <c r="J310" s="311">
        <v>0</v>
      </c>
      <c r="K310" s="260">
        <f t="shared" si="171"/>
        <v>0</v>
      </c>
      <c r="L310" s="361">
        <v>0</v>
      </c>
      <c r="M310" s="361">
        <v>0</v>
      </c>
      <c r="N310" s="361">
        <v>0</v>
      </c>
      <c r="O310" s="29">
        <v>0</v>
      </c>
      <c r="P310" s="361">
        <f t="shared" si="175"/>
        <v>0</v>
      </c>
      <c r="Q310" s="361">
        <v>0</v>
      </c>
      <c r="R310" s="361">
        <v>0</v>
      </c>
      <c r="S310" s="362">
        <v>0</v>
      </c>
      <c r="T310" s="29">
        <v>3.13</v>
      </c>
      <c r="U310" s="361">
        <f t="shared" si="176"/>
        <v>783</v>
      </c>
      <c r="V310" s="361">
        <v>0</v>
      </c>
      <c r="W310" s="361">
        <v>0</v>
      </c>
      <c r="X310" s="362">
        <v>783</v>
      </c>
      <c r="Y310" s="29">
        <v>0</v>
      </c>
      <c r="Z310" s="361">
        <f t="shared" si="177"/>
        <v>0</v>
      </c>
      <c r="AA310" s="361">
        <v>0</v>
      </c>
      <c r="AB310" s="361">
        <v>0</v>
      </c>
      <c r="AC310" s="362">
        <v>0</v>
      </c>
      <c r="AD310" s="7"/>
    </row>
    <row r="311" spans="1:30" s="8" customFormat="1" ht="24" customHeight="1" outlineLevel="1" x14ac:dyDescent="0.2">
      <c r="A311" s="352" t="s">
        <v>515</v>
      </c>
      <c r="B311" s="363" t="s">
        <v>276</v>
      </c>
      <c r="C311" s="286">
        <f t="shared" si="172"/>
        <v>2.2200000000000002</v>
      </c>
      <c r="D311" s="361">
        <f t="shared" si="173"/>
        <v>554</v>
      </c>
      <c r="E311" s="311">
        <v>0</v>
      </c>
      <c r="F311" s="260">
        <f t="shared" si="174"/>
        <v>0</v>
      </c>
      <c r="G311" s="361">
        <v>0</v>
      </c>
      <c r="H311" s="361">
        <v>0</v>
      </c>
      <c r="I311" s="361">
        <v>0</v>
      </c>
      <c r="J311" s="311">
        <v>0</v>
      </c>
      <c r="K311" s="260">
        <f t="shared" si="171"/>
        <v>0</v>
      </c>
      <c r="L311" s="361">
        <v>0</v>
      </c>
      <c r="M311" s="361">
        <v>0</v>
      </c>
      <c r="N311" s="361">
        <v>0</v>
      </c>
      <c r="O311" s="29">
        <v>0</v>
      </c>
      <c r="P311" s="361">
        <f t="shared" si="175"/>
        <v>0</v>
      </c>
      <c r="Q311" s="361">
        <v>0</v>
      </c>
      <c r="R311" s="361">
        <v>0</v>
      </c>
      <c r="S311" s="362">
        <v>0</v>
      </c>
      <c r="T311" s="29">
        <f>ROUND(2.215,2)</f>
        <v>2.2200000000000002</v>
      </c>
      <c r="U311" s="361">
        <f t="shared" si="176"/>
        <v>554</v>
      </c>
      <c r="V311" s="361">
        <v>0</v>
      </c>
      <c r="W311" s="361">
        <v>0</v>
      </c>
      <c r="X311" s="362">
        <v>554</v>
      </c>
      <c r="Y311" s="29">
        <v>0</v>
      </c>
      <c r="Z311" s="361">
        <f t="shared" si="177"/>
        <v>0</v>
      </c>
      <c r="AA311" s="361">
        <v>0</v>
      </c>
      <c r="AB311" s="361">
        <v>0</v>
      </c>
      <c r="AC311" s="362">
        <v>0</v>
      </c>
      <c r="AD311" s="7"/>
    </row>
    <row r="312" spans="1:30" s="8" customFormat="1" ht="42" customHeight="1" outlineLevel="1" x14ac:dyDescent="0.2">
      <c r="A312" s="352" t="s">
        <v>516</v>
      </c>
      <c r="B312" s="363" t="s">
        <v>277</v>
      </c>
      <c r="C312" s="286">
        <f t="shared" si="172"/>
        <v>1.9</v>
      </c>
      <c r="D312" s="361">
        <f t="shared" si="173"/>
        <v>475</v>
      </c>
      <c r="E312" s="311">
        <v>0</v>
      </c>
      <c r="F312" s="260">
        <f t="shared" si="174"/>
        <v>0</v>
      </c>
      <c r="G312" s="361">
        <v>0</v>
      </c>
      <c r="H312" s="361">
        <v>0</v>
      </c>
      <c r="I312" s="361">
        <v>0</v>
      </c>
      <c r="J312" s="311">
        <v>0</v>
      </c>
      <c r="K312" s="260">
        <f t="shared" si="171"/>
        <v>0</v>
      </c>
      <c r="L312" s="361">
        <v>0</v>
      </c>
      <c r="M312" s="361">
        <v>0</v>
      </c>
      <c r="N312" s="361">
        <v>0</v>
      </c>
      <c r="O312" s="29">
        <v>0</v>
      </c>
      <c r="P312" s="361">
        <f t="shared" si="175"/>
        <v>0</v>
      </c>
      <c r="Q312" s="361">
        <v>0</v>
      </c>
      <c r="R312" s="361">
        <v>0</v>
      </c>
      <c r="S312" s="362">
        <v>0</v>
      </c>
      <c r="T312" s="29">
        <v>1.9</v>
      </c>
      <c r="U312" s="361">
        <f t="shared" si="176"/>
        <v>475</v>
      </c>
      <c r="V312" s="361">
        <v>0</v>
      </c>
      <c r="W312" s="361">
        <v>0</v>
      </c>
      <c r="X312" s="362">
        <v>475</v>
      </c>
      <c r="Y312" s="29">
        <v>0</v>
      </c>
      <c r="Z312" s="361">
        <f t="shared" si="177"/>
        <v>0</v>
      </c>
      <c r="AA312" s="361">
        <v>0</v>
      </c>
      <c r="AB312" s="361">
        <v>0</v>
      </c>
      <c r="AC312" s="362">
        <v>0</v>
      </c>
      <c r="AD312" s="7"/>
    </row>
    <row r="313" spans="1:30" s="8" customFormat="1" ht="28.9" customHeight="1" outlineLevel="1" x14ac:dyDescent="0.2">
      <c r="A313" s="352" t="s">
        <v>517</v>
      </c>
      <c r="B313" s="363" t="s">
        <v>278</v>
      </c>
      <c r="C313" s="286">
        <f t="shared" si="172"/>
        <v>4.8899999999999997</v>
      </c>
      <c r="D313" s="361">
        <f t="shared" si="173"/>
        <v>1221</v>
      </c>
      <c r="E313" s="311">
        <v>0</v>
      </c>
      <c r="F313" s="260">
        <f t="shared" si="174"/>
        <v>0</v>
      </c>
      <c r="G313" s="361">
        <v>0</v>
      </c>
      <c r="H313" s="361">
        <v>0</v>
      </c>
      <c r="I313" s="361">
        <v>0</v>
      </c>
      <c r="J313" s="311">
        <v>0</v>
      </c>
      <c r="K313" s="260">
        <f t="shared" si="171"/>
        <v>0</v>
      </c>
      <c r="L313" s="361">
        <v>0</v>
      </c>
      <c r="M313" s="361">
        <v>0</v>
      </c>
      <c r="N313" s="361">
        <v>0</v>
      </c>
      <c r="O313" s="29">
        <v>0</v>
      </c>
      <c r="P313" s="361">
        <f t="shared" si="175"/>
        <v>0</v>
      </c>
      <c r="Q313" s="361">
        <v>0</v>
      </c>
      <c r="R313" s="361">
        <v>0</v>
      </c>
      <c r="S313" s="362">
        <v>0</v>
      </c>
      <c r="T313" s="29">
        <v>0</v>
      </c>
      <c r="U313" s="361">
        <f t="shared" si="176"/>
        <v>0</v>
      </c>
      <c r="V313" s="361">
        <v>0</v>
      </c>
      <c r="W313" s="361">
        <v>0</v>
      </c>
      <c r="X313" s="362">
        <v>0</v>
      </c>
      <c r="Y313" s="29">
        <f>ROUND(4.885,2)</f>
        <v>4.8899999999999997</v>
      </c>
      <c r="Z313" s="361">
        <f t="shared" si="177"/>
        <v>1221</v>
      </c>
      <c r="AA313" s="361">
        <v>0</v>
      </c>
      <c r="AB313" s="361">
        <v>0</v>
      </c>
      <c r="AC313" s="362">
        <v>1221</v>
      </c>
      <c r="AD313" s="7"/>
    </row>
    <row r="314" spans="1:30" s="8" customFormat="1" ht="42" customHeight="1" outlineLevel="1" x14ac:dyDescent="0.2">
      <c r="A314" s="352" t="s">
        <v>518</v>
      </c>
      <c r="B314" s="363" t="s">
        <v>279</v>
      </c>
      <c r="C314" s="286">
        <f t="shared" si="172"/>
        <v>3.29</v>
      </c>
      <c r="D314" s="361">
        <f t="shared" si="173"/>
        <v>821</v>
      </c>
      <c r="E314" s="311">
        <v>0</v>
      </c>
      <c r="F314" s="260">
        <f t="shared" si="174"/>
        <v>0</v>
      </c>
      <c r="G314" s="361">
        <v>0</v>
      </c>
      <c r="H314" s="361">
        <v>0</v>
      </c>
      <c r="I314" s="361">
        <v>0</v>
      </c>
      <c r="J314" s="311">
        <v>0</v>
      </c>
      <c r="K314" s="260">
        <f t="shared" si="171"/>
        <v>0</v>
      </c>
      <c r="L314" s="361">
        <v>0</v>
      </c>
      <c r="M314" s="361">
        <v>0</v>
      </c>
      <c r="N314" s="361">
        <v>0</v>
      </c>
      <c r="O314" s="29">
        <v>0</v>
      </c>
      <c r="P314" s="361">
        <f t="shared" si="175"/>
        <v>0</v>
      </c>
      <c r="Q314" s="361">
        <v>0</v>
      </c>
      <c r="R314" s="361">
        <v>0</v>
      </c>
      <c r="S314" s="362">
        <v>0</v>
      </c>
      <c r="T314" s="29">
        <v>0</v>
      </c>
      <c r="U314" s="361">
        <f t="shared" si="176"/>
        <v>0</v>
      </c>
      <c r="V314" s="361">
        <v>0</v>
      </c>
      <c r="W314" s="361">
        <v>0</v>
      </c>
      <c r="X314" s="362">
        <v>0</v>
      </c>
      <c r="Y314" s="29">
        <f>ROUND(3.285,2)</f>
        <v>3.29</v>
      </c>
      <c r="Z314" s="361">
        <f t="shared" si="177"/>
        <v>821</v>
      </c>
      <c r="AA314" s="361">
        <v>0</v>
      </c>
      <c r="AB314" s="361">
        <v>0</v>
      </c>
      <c r="AC314" s="362">
        <v>821</v>
      </c>
      <c r="AD314" s="7"/>
    </row>
    <row r="315" spans="1:30" s="8" customFormat="1" ht="23.45" customHeight="1" outlineLevel="1" x14ac:dyDescent="0.2">
      <c r="A315" s="352" t="s">
        <v>519</v>
      </c>
      <c r="B315" s="363" t="s">
        <v>280</v>
      </c>
      <c r="C315" s="286">
        <f t="shared" si="172"/>
        <v>3.58</v>
      </c>
      <c r="D315" s="361">
        <f t="shared" si="173"/>
        <v>895</v>
      </c>
      <c r="E315" s="311">
        <v>0</v>
      </c>
      <c r="F315" s="260">
        <f t="shared" si="174"/>
        <v>0</v>
      </c>
      <c r="G315" s="361">
        <v>0</v>
      </c>
      <c r="H315" s="361">
        <v>0</v>
      </c>
      <c r="I315" s="361">
        <v>0</v>
      </c>
      <c r="J315" s="311">
        <v>0</v>
      </c>
      <c r="K315" s="260">
        <f t="shared" si="171"/>
        <v>0</v>
      </c>
      <c r="L315" s="361">
        <v>0</v>
      </c>
      <c r="M315" s="361">
        <v>0</v>
      </c>
      <c r="N315" s="361">
        <v>0</v>
      </c>
      <c r="O315" s="29">
        <v>0</v>
      </c>
      <c r="P315" s="361">
        <f t="shared" si="175"/>
        <v>0</v>
      </c>
      <c r="Q315" s="361">
        <v>0</v>
      </c>
      <c r="R315" s="361">
        <v>0</v>
      </c>
      <c r="S315" s="362">
        <v>0</v>
      </c>
      <c r="T315" s="29">
        <v>0</v>
      </c>
      <c r="U315" s="361">
        <f t="shared" si="176"/>
        <v>0</v>
      </c>
      <c r="V315" s="361">
        <v>0</v>
      </c>
      <c r="W315" s="361">
        <v>0</v>
      </c>
      <c r="X315" s="362">
        <v>0</v>
      </c>
      <c r="Y315" s="29">
        <v>3.58</v>
      </c>
      <c r="Z315" s="361">
        <f t="shared" si="177"/>
        <v>895</v>
      </c>
      <c r="AA315" s="361">
        <v>0</v>
      </c>
      <c r="AB315" s="361">
        <v>0</v>
      </c>
      <c r="AC315" s="362">
        <v>895</v>
      </c>
      <c r="AD315" s="7"/>
    </row>
    <row r="316" spans="1:30" s="8" customFormat="1" ht="46.9" customHeight="1" outlineLevel="1" x14ac:dyDescent="0.2">
      <c r="A316" s="352" t="s">
        <v>520</v>
      </c>
      <c r="B316" s="363" t="s">
        <v>467</v>
      </c>
      <c r="C316" s="286">
        <f t="shared" si="172"/>
        <v>0.43999999999999995</v>
      </c>
      <c r="D316" s="361">
        <f t="shared" si="173"/>
        <v>110</v>
      </c>
      <c r="E316" s="311">
        <v>0</v>
      </c>
      <c r="F316" s="260">
        <f t="shared" si="174"/>
        <v>0</v>
      </c>
      <c r="G316" s="361">
        <v>0</v>
      </c>
      <c r="H316" s="361">
        <v>0</v>
      </c>
      <c r="I316" s="361">
        <v>0</v>
      </c>
      <c r="J316" s="311">
        <v>0</v>
      </c>
      <c r="K316" s="260">
        <f t="shared" si="171"/>
        <v>0</v>
      </c>
      <c r="L316" s="361">
        <v>0</v>
      </c>
      <c r="M316" s="361">
        <v>0</v>
      </c>
      <c r="N316" s="361">
        <v>0</v>
      </c>
      <c r="O316" s="29">
        <v>0</v>
      </c>
      <c r="P316" s="361">
        <f t="shared" si="175"/>
        <v>0</v>
      </c>
      <c r="Q316" s="361">
        <v>0</v>
      </c>
      <c r="R316" s="361">
        <v>0</v>
      </c>
      <c r="S316" s="362">
        <v>0</v>
      </c>
      <c r="T316" s="29">
        <v>0</v>
      </c>
      <c r="U316" s="361">
        <f t="shared" si="176"/>
        <v>0</v>
      </c>
      <c r="V316" s="361">
        <v>0</v>
      </c>
      <c r="W316" s="361">
        <v>0</v>
      </c>
      <c r="X316" s="362">
        <v>0</v>
      </c>
      <c r="Y316" s="29">
        <v>0.43999999999999995</v>
      </c>
      <c r="Z316" s="361">
        <f t="shared" si="177"/>
        <v>110</v>
      </c>
      <c r="AA316" s="361">
        <v>0</v>
      </c>
      <c r="AB316" s="361">
        <v>0</v>
      </c>
      <c r="AC316" s="362">
        <v>110</v>
      </c>
      <c r="AD316" s="7"/>
    </row>
    <row r="317" spans="1:30" s="8" customFormat="1" ht="27" customHeight="1" outlineLevel="1" x14ac:dyDescent="0.2">
      <c r="A317" s="352" t="s">
        <v>521</v>
      </c>
      <c r="B317" s="363" t="s">
        <v>281</v>
      </c>
      <c r="C317" s="286">
        <f t="shared" si="172"/>
        <v>0.70000000000000007</v>
      </c>
      <c r="D317" s="361">
        <f t="shared" si="173"/>
        <v>175</v>
      </c>
      <c r="E317" s="311">
        <v>0</v>
      </c>
      <c r="F317" s="260">
        <f t="shared" si="174"/>
        <v>0</v>
      </c>
      <c r="G317" s="361">
        <v>0</v>
      </c>
      <c r="H317" s="361">
        <v>0</v>
      </c>
      <c r="I317" s="361">
        <v>0</v>
      </c>
      <c r="J317" s="311">
        <v>0</v>
      </c>
      <c r="K317" s="260">
        <f t="shared" si="171"/>
        <v>0</v>
      </c>
      <c r="L317" s="361">
        <v>0</v>
      </c>
      <c r="M317" s="361">
        <v>0</v>
      </c>
      <c r="N317" s="361">
        <v>0</v>
      </c>
      <c r="O317" s="29">
        <v>0</v>
      </c>
      <c r="P317" s="361">
        <f t="shared" si="175"/>
        <v>0</v>
      </c>
      <c r="Q317" s="361">
        <v>0</v>
      </c>
      <c r="R317" s="361">
        <v>0</v>
      </c>
      <c r="S317" s="362">
        <v>0</v>
      </c>
      <c r="T317" s="29">
        <v>0</v>
      </c>
      <c r="U317" s="361">
        <f t="shared" si="176"/>
        <v>0</v>
      </c>
      <c r="V317" s="361">
        <v>0</v>
      </c>
      <c r="W317" s="361">
        <v>0</v>
      </c>
      <c r="X317" s="362">
        <v>0</v>
      </c>
      <c r="Y317" s="29">
        <v>0.70000000000000007</v>
      </c>
      <c r="Z317" s="361">
        <f t="shared" si="177"/>
        <v>175</v>
      </c>
      <c r="AA317" s="361">
        <v>0</v>
      </c>
      <c r="AB317" s="361">
        <v>0</v>
      </c>
      <c r="AC317" s="362">
        <v>175</v>
      </c>
      <c r="AD317" s="7"/>
    </row>
    <row r="318" spans="1:30" s="8" customFormat="1" ht="34.15" customHeight="1" outlineLevel="1" x14ac:dyDescent="0.2">
      <c r="A318" s="352" t="s">
        <v>522</v>
      </c>
      <c r="B318" s="363" t="s">
        <v>282</v>
      </c>
      <c r="C318" s="286">
        <f t="shared" si="172"/>
        <v>3.4899999999999998</v>
      </c>
      <c r="D318" s="361">
        <f t="shared" si="173"/>
        <v>873</v>
      </c>
      <c r="E318" s="311">
        <v>0</v>
      </c>
      <c r="F318" s="260">
        <f t="shared" si="174"/>
        <v>0</v>
      </c>
      <c r="G318" s="361">
        <v>0</v>
      </c>
      <c r="H318" s="361">
        <v>0</v>
      </c>
      <c r="I318" s="361">
        <v>0</v>
      </c>
      <c r="J318" s="311">
        <v>0</v>
      </c>
      <c r="K318" s="260">
        <f t="shared" si="171"/>
        <v>0</v>
      </c>
      <c r="L318" s="361">
        <v>0</v>
      </c>
      <c r="M318" s="361">
        <v>0</v>
      </c>
      <c r="N318" s="361">
        <v>0</v>
      </c>
      <c r="O318" s="29">
        <v>0</v>
      </c>
      <c r="P318" s="361">
        <f t="shared" si="175"/>
        <v>0</v>
      </c>
      <c r="Q318" s="361">
        <v>0</v>
      </c>
      <c r="R318" s="361">
        <v>0</v>
      </c>
      <c r="S318" s="362">
        <v>0</v>
      </c>
      <c r="T318" s="29">
        <v>0</v>
      </c>
      <c r="U318" s="361">
        <f t="shared" si="176"/>
        <v>0</v>
      </c>
      <c r="V318" s="361">
        <v>0</v>
      </c>
      <c r="W318" s="361">
        <v>0</v>
      </c>
      <c r="X318" s="362">
        <v>0</v>
      </c>
      <c r="Y318" s="29">
        <v>3.4899999999999998</v>
      </c>
      <c r="Z318" s="361">
        <f t="shared" si="177"/>
        <v>873</v>
      </c>
      <c r="AA318" s="361">
        <v>0</v>
      </c>
      <c r="AB318" s="361">
        <v>0</v>
      </c>
      <c r="AC318" s="362">
        <v>873</v>
      </c>
      <c r="AD318" s="7"/>
    </row>
    <row r="319" spans="1:30" s="8" customFormat="1" ht="27" customHeight="1" outlineLevel="1" x14ac:dyDescent="0.2">
      <c r="A319" s="352" t="s">
        <v>523</v>
      </c>
      <c r="B319" s="363" t="s">
        <v>283</v>
      </c>
      <c r="C319" s="286">
        <f t="shared" si="172"/>
        <v>2.97</v>
      </c>
      <c r="D319" s="361">
        <f t="shared" si="173"/>
        <v>741</v>
      </c>
      <c r="E319" s="311">
        <v>0</v>
      </c>
      <c r="F319" s="260">
        <f t="shared" si="174"/>
        <v>0</v>
      </c>
      <c r="G319" s="361">
        <v>0</v>
      </c>
      <c r="H319" s="361">
        <v>0</v>
      </c>
      <c r="I319" s="361">
        <v>0</v>
      </c>
      <c r="J319" s="311">
        <v>0</v>
      </c>
      <c r="K319" s="260">
        <f t="shared" si="171"/>
        <v>0</v>
      </c>
      <c r="L319" s="361">
        <v>0</v>
      </c>
      <c r="M319" s="361">
        <v>0</v>
      </c>
      <c r="N319" s="361">
        <v>0</v>
      </c>
      <c r="O319" s="29">
        <v>0</v>
      </c>
      <c r="P319" s="361">
        <f t="shared" si="175"/>
        <v>0</v>
      </c>
      <c r="Q319" s="361">
        <v>0</v>
      </c>
      <c r="R319" s="361">
        <v>0</v>
      </c>
      <c r="S319" s="362">
        <v>0</v>
      </c>
      <c r="T319" s="29">
        <v>0</v>
      </c>
      <c r="U319" s="361">
        <f t="shared" si="176"/>
        <v>0</v>
      </c>
      <c r="V319" s="361">
        <v>0</v>
      </c>
      <c r="W319" s="361">
        <v>0</v>
      </c>
      <c r="X319" s="362">
        <v>0</v>
      </c>
      <c r="Y319" s="29">
        <f>ROUND(2.965,2)</f>
        <v>2.97</v>
      </c>
      <c r="Z319" s="361">
        <f t="shared" si="177"/>
        <v>741</v>
      </c>
      <c r="AA319" s="361">
        <v>0</v>
      </c>
      <c r="AB319" s="361">
        <v>0</v>
      </c>
      <c r="AC319" s="362">
        <v>741</v>
      </c>
      <c r="AD319" s="7"/>
    </row>
    <row r="320" spans="1:30" s="8" customFormat="1" ht="26.45" customHeight="1" outlineLevel="1" x14ac:dyDescent="0.2">
      <c r="A320" s="352" t="s">
        <v>524</v>
      </c>
      <c r="B320" s="363" t="s">
        <v>284</v>
      </c>
      <c r="C320" s="286">
        <f t="shared" si="172"/>
        <v>1.27</v>
      </c>
      <c r="D320" s="361">
        <f t="shared" si="173"/>
        <v>318</v>
      </c>
      <c r="E320" s="311">
        <v>0</v>
      </c>
      <c r="F320" s="260">
        <f t="shared" si="174"/>
        <v>0</v>
      </c>
      <c r="G320" s="361">
        <v>0</v>
      </c>
      <c r="H320" s="361">
        <v>0</v>
      </c>
      <c r="I320" s="361">
        <v>0</v>
      </c>
      <c r="J320" s="311">
        <v>0</v>
      </c>
      <c r="K320" s="260">
        <f t="shared" si="171"/>
        <v>0</v>
      </c>
      <c r="L320" s="361">
        <v>0</v>
      </c>
      <c r="M320" s="361">
        <v>0</v>
      </c>
      <c r="N320" s="361">
        <v>0</v>
      </c>
      <c r="O320" s="29">
        <v>0</v>
      </c>
      <c r="P320" s="361">
        <f t="shared" si="175"/>
        <v>0</v>
      </c>
      <c r="Q320" s="361">
        <v>0</v>
      </c>
      <c r="R320" s="361">
        <v>0</v>
      </c>
      <c r="S320" s="362">
        <v>0</v>
      </c>
      <c r="T320" s="29">
        <v>0</v>
      </c>
      <c r="U320" s="361">
        <f t="shared" si="176"/>
        <v>0</v>
      </c>
      <c r="V320" s="361">
        <v>0</v>
      </c>
      <c r="W320" s="361">
        <v>0</v>
      </c>
      <c r="X320" s="362">
        <v>0</v>
      </c>
      <c r="Y320" s="29">
        <v>1.27</v>
      </c>
      <c r="Z320" s="361">
        <f t="shared" si="177"/>
        <v>318</v>
      </c>
      <c r="AA320" s="361">
        <v>0</v>
      </c>
      <c r="AB320" s="361">
        <v>0</v>
      </c>
      <c r="AC320" s="362">
        <v>318</v>
      </c>
      <c r="AD320" s="7"/>
    </row>
    <row r="321" spans="1:30" s="8" customFormat="1" ht="25.9" customHeight="1" outlineLevel="1" x14ac:dyDescent="0.2">
      <c r="A321" s="352" t="s">
        <v>525</v>
      </c>
      <c r="B321" s="363" t="s">
        <v>285</v>
      </c>
      <c r="C321" s="286">
        <f t="shared" si="172"/>
        <v>3.61</v>
      </c>
      <c r="D321" s="361">
        <f t="shared" si="173"/>
        <v>903</v>
      </c>
      <c r="E321" s="311">
        <v>0</v>
      </c>
      <c r="F321" s="260">
        <f t="shared" si="174"/>
        <v>0</v>
      </c>
      <c r="G321" s="361">
        <v>0</v>
      </c>
      <c r="H321" s="361">
        <v>0</v>
      </c>
      <c r="I321" s="361">
        <v>0</v>
      </c>
      <c r="J321" s="311">
        <v>0</v>
      </c>
      <c r="K321" s="260">
        <f t="shared" si="171"/>
        <v>0</v>
      </c>
      <c r="L321" s="361">
        <v>0</v>
      </c>
      <c r="M321" s="361">
        <v>0</v>
      </c>
      <c r="N321" s="361">
        <v>0</v>
      </c>
      <c r="O321" s="29">
        <v>0</v>
      </c>
      <c r="P321" s="361">
        <f t="shared" si="175"/>
        <v>0</v>
      </c>
      <c r="Q321" s="361">
        <v>0</v>
      </c>
      <c r="R321" s="361">
        <v>0</v>
      </c>
      <c r="S321" s="362">
        <v>0</v>
      </c>
      <c r="T321" s="29">
        <v>0</v>
      </c>
      <c r="U321" s="361">
        <f t="shared" si="176"/>
        <v>0</v>
      </c>
      <c r="V321" s="361">
        <v>0</v>
      </c>
      <c r="W321" s="361">
        <v>0</v>
      </c>
      <c r="X321" s="362">
        <v>0</v>
      </c>
      <c r="Y321" s="29">
        <v>3.61</v>
      </c>
      <c r="Z321" s="361">
        <f t="shared" si="177"/>
        <v>903</v>
      </c>
      <c r="AA321" s="361">
        <v>0</v>
      </c>
      <c r="AB321" s="361">
        <v>0</v>
      </c>
      <c r="AC321" s="362">
        <v>903</v>
      </c>
      <c r="AD321" s="7"/>
    </row>
    <row r="322" spans="1:30" s="8" customFormat="1" ht="23.45" customHeight="1" outlineLevel="1" x14ac:dyDescent="0.2">
      <c r="A322" s="352" t="s">
        <v>526</v>
      </c>
      <c r="B322" s="363" t="s">
        <v>286</v>
      </c>
      <c r="C322" s="286">
        <f t="shared" si="172"/>
        <v>3.54</v>
      </c>
      <c r="D322" s="361">
        <f t="shared" si="173"/>
        <v>884</v>
      </c>
      <c r="E322" s="311">
        <v>0</v>
      </c>
      <c r="F322" s="260">
        <f t="shared" si="174"/>
        <v>0</v>
      </c>
      <c r="G322" s="361">
        <v>0</v>
      </c>
      <c r="H322" s="361">
        <v>0</v>
      </c>
      <c r="I322" s="361">
        <v>0</v>
      </c>
      <c r="J322" s="311">
        <v>0</v>
      </c>
      <c r="K322" s="260">
        <f t="shared" si="171"/>
        <v>0</v>
      </c>
      <c r="L322" s="361">
        <v>0</v>
      </c>
      <c r="M322" s="361">
        <v>0</v>
      </c>
      <c r="N322" s="361">
        <v>0</v>
      </c>
      <c r="O322" s="29">
        <v>0</v>
      </c>
      <c r="P322" s="361">
        <f t="shared" si="175"/>
        <v>0</v>
      </c>
      <c r="Q322" s="361">
        <v>0</v>
      </c>
      <c r="R322" s="361">
        <v>0</v>
      </c>
      <c r="S322" s="362">
        <v>0</v>
      </c>
      <c r="T322" s="29">
        <v>0</v>
      </c>
      <c r="U322" s="361">
        <f t="shared" si="176"/>
        <v>0</v>
      </c>
      <c r="V322" s="361">
        <v>0</v>
      </c>
      <c r="W322" s="361">
        <v>0</v>
      </c>
      <c r="X322" s="362">
        <v>0</v>
      </c>
      <c r="Y322" s="29">
        <f>ROUND(3.535,2)</f>
        <v>3.54</v>
      </c>
      <c r="Z322" s="361">
        <f t="shared" si="177"/>
        <v>884</v>
      </c>
      <c r="AA322" s="361">
        <v>0</v>
      </c>
      <c r="AB322" s="361">
        <v>0</v>
      </c>
      <c r="AC322" s="362">
        <v>884</v>
      </c>
      <c r="AD322" s="7"/>
    </row>
    <row r="323" spans="1:30" s="8" customFormat="1" ht="25.15" customHeight="1" outlineLevel="1" x14ac:dyDescent="0.2">
      <c r="A323" s="352" t="s">
        <v>527</v>
      </c>
      <c r="B323" s="363" t="s">
        <v>287</v>
      </c>
      <c r="C323" s="286">
        <f t="shared" si="172"/>
        <v>3.48</v>
      </c>
      <c r="D323" s="361">
        <f t="shared" si="173"/>
        <v>869</v>
      </c>
      <c r="E323" s="311">
        <v>0</v>
      </c>
      <c r="F323" s="260">
        <f t="shared" si="174"/>
        <v>0</v>
      </c>
      <c r="G323" s="361">
        <v>0</v>
      </c>
      <c r="H323" s="361">
        <v>0</v>
      </c>
      <c r="I323" s="361">
        <v>0</v>
      </c>
      <c r="J323" s="311">
        <v>0</v>
      </c>
      <c r="K323" s="260">
        <f t="shared" si="171"/>
        <v>0</v>
      </c>
      <c r="L323" s="361">
        <v>0</v>
      </c>
      <c r="M323" s="361">
        <v>0</v>
      </c>
      <c r="N323" s="361">
        <v>0</v>
      </c>
      <c r="O323" s="29">
        <v>0</v>
      </c>
      <c r="P323" s="361">
        <f t="shared" si="175"/>
        <v>0</v>
      </c>
      <c r="Q323" s="361">
        <v>0</v>
      </c>
      <c r="R323" s="361">
        <v>0</v>
      </c>
      <c r="S323" s="362">
        <v>0</v>
      </c>
      <c r="T323" s="29">
        <v>0</v>
      </c>
      <c r="U323" s="361">
        <f t="shared" si="176"/>
        <v>0</v>
      </c>
      <c r="V323" s="361">
        <v>0</v>
      </c>
      <c r="W323" s="361">
        <v>0</v>
      </c>
      <c r="X323" s="362">
        <v>0</v>
      </c>
      <c r="Y323" s="29">
        <f>ROUND(3.475,2)</f>
        <v>3.48</v>
      </c>
      <c r="Z323" s="361">
        <f t="shared" si="177"/>
        <v>869</v>
      </c>
      <c r="AA323" s="361">
        <v>0</v>
      </c>
      <c r="AB323" s="361">
        <v>0</v>
      </c>
      <c r="AC323" s="362">
        <v>869</v>
      </c>
      <c r="AD323" s="7"/>
    </row>
    <row r="324" spans="1:30" s="8" customFormat="1" ht="33" customHeight="1" outlineLevel="1" x14ac:dyDescent="0.2">
      <c r="A324" s="352" t="s">
        <v>528</v>
      </c>
      <c r="B324" s="363" t="s">
        <v>288</v>
      </c>
      <c r="C324" s="286">
        <f t="shared" si="172"/>
        <v>2.58</v>
      </c>
      <c r="D324" s="361">
        <f t="shared" si="173"/>
        <v>645</v>
      </c>
      <c r="E324" s="311">
        <v>0</v>
      </c>
      <c r="F324" s="260">
        <f t="shared" si="174"/>
        <v>0</v>
      </c>
      <c r="G324" s="361">
        <v>0</v>
      </c>
      <c r="H324" s="361">
        <v>0</v>
      </c>
      <c r="I324" s="361">
        <v>0</v>
      </c>
      <c r="J324" s="311">
        <v>0</v>
      </c>
      <c r="K324" s="260">
        <f t="shared" si="171"/>
        <v>0</v>
      </c>
      <c r="L324" s="361">
        <v>0</v>
      </c>
      <c r="M324" s="361">
        <v>0</v>
      </c>
      <c r="N324" s="361">
        <v>0</v>
      </c>
      <c r="O324" s="29">
        <v>0</v>
      </c>
      <c r="P324" s="361">
        <f t="shared" si="175"/>
        <v>0</v>
      </c>
      <c r="Q324" s="361">
        <v>0</v>
      </c>
      <c r="R324" s="361">
        <v>0</v>
      </c>
      <c r="S324" s="362">
        <v>0</v>
      </c>
      <c r="T324" s="29">
        <v>0</v>
      </c>
      <c r="U324" s="361">
        <f t="shared" si="176"/>
        <v>0</v>
      </c>
      <c r="V324" s="361">
        <v>0</v>
      </c>
      <c r="W324" s="361">
        <v>0</v>
      </c>
      <c r="X324" s="362">
        <v>0</v>
      </c>
      <c r="Y324" s="29">
        <v>2.58</v>
      </c>
      <c r="Z324" s="361">
        <f t="shared" si="177"/>
        <v>645</v>
      </c>
      <c r="AA324" s="361">
        <v>0</v>
      </c>
      <c r="AB324" s="361">
        <v>0</v>
      </c>
      <c r="AC324" s="362">
        <v>645</v>
      </c>
      <c r="AD324" s="7"/>
    </row>
    <row r="325" spans="1:30" s="8" customFormat="1" ht="22.9" customHeight="1" outlineLevel="1" x14ac:dyDescent="0.2">
      <c r="A325" s="352" t="s">
        <v>529</v>
      </c>
      <c r="B325" s="363" t="s">
        <v>289</v>
      </c>
      <c r="C325" s="286">
        <f t="shared" si="172"/>
        <v>1.7799999999999998</v>
      </c>
      <c r="D325" s="361">
        <f t="shared" si="173"/>
        <v>445</v>
      </c>
      <c r="E325" s="311">
        <v>0</v>
      </c>
      <c r="F325" s="260">
        <f t="shared" si="174"/>
        <v>0</v>
      </c>
      <c r="G325" s="361">
        <v>0</v>
      </c>
      <c r="H325" s="361">
        <v>0</v>
      </c>
      <c r="I325" s="361">
        <v>0</v>
      </c>
      <c r="J325" s="311">
        <v>0</v>
      </c>
      <c r="K325" s="260">
        <f t="shared" si="171"/>
        <v>0</v>
      </c>
      <c r="L325" s="361">
        <v>0</v>
      </c>
      <c r="M325" s="361">
        <v>0</v>
      </c>
      <c r="N325" s="361">
        <v>0</v>
      </c>
      <c r="O325" s="29">
        <v>0</v>
      </c>
      <c r="P325" s="361">
        <f t="shared" si="175"/>
        <v>0</v>
      </c>
      <c r="Q325" s="361">
        <v>0</v>
      </c>
      <c r="R325" s="361">
        <v>0</v>
      </c>
      <c r="S325" s="362">
        <v>0</v>
      </c>
      <c r="T325" s="29">
        <v>0</v>
      </c>
      <c r="U325" s="361">
        <f t="shared" si="176"/>
        <v>0</v>
      </c>
      <c r="V325" s="361">
        <v>0</v>
      </c>
      <c r="W325" s="361">
        <v>0</v>
      </c>
      <c r="X325" s="362">
        <v>0</v>
      </c>
      <c r="Y325" s="29">
        <v>1.7799999999999998</v>
      </c>
      <c r="Z325" s="361">
        <f t="shared" si="177"/>
        <v>445</v>
      </c>
      <c r="AA325" s="361">
        <v>0</v>
      </c>
      <c r="AB325" s="361">
        <v>0</v>
      </c>
      <c r="AC325" s="362">
        <v>445</v>
      </c>
      <c r="AD325" s="7"/>
    </row>
    <row r="326" spans="1:30" s="8" customFormat="1" ht="40.9" customHeight="1" outlineLevel="1" x14ac:dyDescent="0.2">
      <c r="A326" s="352" t="s">
        <v>530</v>
      </c>
      <c r="B326" s="363" t="s">
        <v>290</v>
      </c>
      <c r="C326" s="286">
        <f t="shared" si="172"/>
        <v>2.06</v>
      </c>
      <c r="D326" s="361">
        <f t="shared" si="173"/>
        <v>515</v>
      </c>
      <c r="E326" s="311">
        <v>0</v>
      </c>
      <c r="F326" s="260">
        <f t="shared" si="174"/>
        <v>0</v>
      </c>
      <c r="G326" s="361">
        <v>0</v>
      </c>
      <c r="H326" s="361">
        <v>0</v>
      </c>
      <c r="I326" s="361">
        <v>0</v>
      </c>
      <c r="J326" s="311">
        <v>0</v>
      </c>
      <c r="K326" s="260">
        <f t="shared" si="171"/>
        <v>0</v>
      </c>
      <c r="L326" s="361">
        <v>0</v>
      </c>
      <c r="M326" s="361">
        <v>0</v>
      </c>
      <c r="N326" s="361">
        <v>0</v>
      </c>
      <c r="O326" s="29">
        <v>0</v>
      </c>
      <c r="P326" s="361">
        <f t="shared" si="175"/>
        <v>0</v>
      </c>
      <c r="Q326" s="361">
        <v>0</v>
      </c>
      <c r="R326" s="361">
        <v>0</v>
      </c>
      <c r="S326" s="362">
        <v>0</v>
      </c>
      <c r="T326" s="29">
        <v>0</v>
      </c>
      <c r="U326" s="361">
        <f t="shared" si="176"/>
        <v>0</v>
      </c>
      <c r="V326" s="361">
        <v>0</v>
      </c>
      <c r="W326" s="361">
        <v>0</v>
      </c>
      <c r="X326" s="362">
        <v>0</v>
      </c>
      <c r="Y326" s="29">
        <v>2.06</v>
      </c>
      <c r="Z326" s="361">
        <f t="shared" si="177"/>
        <v>515</v>
      </c>
      <c r="AA326" s="361">
        <v>0</v>
      </c>
      <c r="AB326" s="361">
        <v>0</v>
      </c>
      <c r="AC326" s="362">
        <v>515</v>
      </c>
      <c r="AD326" s="7"/>
    </row>
    <row r="327" spans="1:30" s="8" customFormat="1" ht="37.15" customHeight="1" outlineLevel="1" x14ac:dyDescent="0.2">
      <c r="A327" s="352" t="s">
        <v>531</v>
      </c>
      <c r="B327" s="363" t="s">
        <v>291</v>
      </c>
      <c r="C327" s="286">
        <f t="shared" si="172"/>
        <v>0.8899999999999999</v>
      </c>
      <c r="D327" s="361">
        <f t="shared" ref="D327:D390" si="178">F327+K327+P327+U327+Z327</f>
        <v>223</v>
      </c>
      <c r="E327" s="311">
        <v>0</v>
      </c>
      <c r="F327" s="260">
        <f t="shared" si="174"/>
        <v>0</v>
      </c>
      <c r="G327" s="361">
        <v>0</v>
      </c>
      <c r="H327" s="361">
        <v>0</v>
      </c>
      <c r="I327" s="361">
        <v>0</v>
      </c>
      <c r="J327" s="311">
        <v>0</v>
      </c>
      <c r="K327" s="260">
        <f t="shared" ref="K327:K390" si="179">SUM(L327:N327)</f>
        <v>0</v>
      </c>
      <c r="L327" s="361">
        <v>0</v>
      </c>
      <c r="M327" s="361">
        <v>0</v>
      </c>
      <c r="N327" s="361">
        <v>0</v>
      </c>
      <c r="O327" s="29">
        <v>0</v>
      </c>
      <c r="P327" s="361">
        <f t="shared" si="175"/>
        <v>0</v>
      </c>
      <c r="Q327" s="361">
        <v>0</v>
      </c>
      <c r="R327" s="361">
        <v>0</v>
      </c>
      <c r="S327" s="362">
        <v>0</v>
      </c>
      <c r="T327" s="29">
        <v>0</v>
      </c>
      <c r="U327" s="361">
        <f t="shared" si="176"/>
        <v>0</v>
      </c>
      <c r="V327" s="361">
        <v>0</v>
      </c>
      <c r="W327" s="361">
        <v>0</v>
      </c>
      <c r="X327" s="362">
        <v>0</v>
      </c>
      <c r="Y327" s="29">
        <v>0.8899999999999999</v>
      </c>
      <c r="Z327" s="361">
        <f t="shared" si="177"/>
        <v>223</v>
      </c>
      <c r="AA327" s="361">
        <v>0</v>
      </c>
      <c r="AB327" s="361">
        <v>0</v>
      </c>
      <c r="AC327" s="362">
        <v>223</v>
      </c>
      <c r="AD327" s="7"/>
    </row>
    <row r="328" spans="1:30" s="8" customFormat="1" ht="26.45" customHeight="1" outlineLevel="1" x14ac:dyDescent="0.2">
      <c r="A328" s="352" t="s">
        <v>532</v>
      </c>
      <c r="B328" s="363" t="s">
        <v>292</v>
      </c>
      <c r="C328" s="286">
        <f t="shared" ref="C328:C391" si="180">E328+J328+O328+T328+Y328</f>
        <v>0.65</v>
      </c>
      <c r="D328" s="361">
        <f t="shared" si="178"/>
        <v>163</v>
      </c>
      <c r="E328" s="311">
        <v>0</v>
      </c>
      <c r="F328" s="260">
        <f t="shared" ref="F328:F391" si="181">G328+H328+I328</f>
        <v>0</v>
      </c>
      <c r="G328" s="361">
        <v>0</v>
      </c>
      <c r="H328" s="361">
        <v>0</v>
      </c>
      <c r="I328" s="361">
        <v>0</v>
      </c>
      <c r="J328" s="311">
        <v>0</v>
      </c>
      <c r="K328" s="260">
        <f t="shared" si="179"/>
        <v>0</v>
      </c>
      <c r="L328" s="361">
        <v>0</v>
      </c>
      <c r="M328" s="361">
        <v>0</v>
      </c>
      <c r="N328" s="361">
        <v>0</v>
      </c>
      <c r="O328" s="29">
        <v>0</v>
      </c>
      <c r="P328" s="361">
        <f t="shared" ref="P328:P391" si="182">Q328+R328+S328</f>
        <v>0</v>
      </c>
      <c r="Q328" s="361">
        <v>0</v>
      </c>
      <c r="R328" s="361">
        <v>0</v>
      </c>
      <c r="S328" s="362">
        <v>0</v>
      </c>
      <c r="T328" s="29">
        <v>0</v>
      </c>
      <c r="U328" s="361">
        <f t="shared" ref="U328:U391" si="183">V328+W328+X328</f>
        <v>0</v>
      </c>
      <c r="V328" s="361">
        <v>0</v>
      </c>
      <c r="W328" s="361">
        <v>0</v>
      </c>
      <c r="X328" s="362">
        <v>0</v>
      </c>
      <c r="Y328" s="29">
        <v>0.65</v>
      </c>
      <c r="Z328" s="361">
        <f t="shared" ref="Z328:Z391" si="184">AA328+AB328+AC328</f>
        <v>163</v>
      </c>
      <c r="AA328" s="361">
        <v>0</v>
      </c>
      <c r="AB328" s="361">
        <v>0</v>
      </c>
      <c r="AC328" s="362">
        <v>163</v>
      </c>
      <c r="AD328" s="7"/>
    </row>
    <row r="329" spans="1:30" s="8" customFormat="1" ht="29.45" customHeight="1" outlineLevel="1" x14ac:dyDescent="0.2">
      <c r="A329" s="352" t="s">
        <v>533</v>
      </c>
      <c r="B329" s="363" t="s">
        <v>293</v>
      </c>
      <c r="C329" s="286">
        <f t="shared" si="180"/>
        <v>0.78</v>
      </c>
      <c r="D329" s="361">
        <f t="shared" si="178"/>
        <v>194</v>
      </c>
      <c r="E329" s="311">
        <v>0</v>
      </c>
      <c r="F329" s="260">
        <f t="shared" si="181"/>
        <v>0</v>
      </c>
      <c r="G329" s="361">
        <v>0</v>
      </c>
      <c r="H329" s="361">
        <v>0</v>
      </c>
      <c r="I329" s="361">
        <v>0</v>
      </c>
      <c r="J329" s="311">
        <v>0</v>
      </c>
      <c r="K329" s="260">
        <f t="shared" si="179"/>
        <v>0</v>
      </c>
      <c r="L329" s="361">
        <v>0</v>
      </c>
      <c r="M329" s="361">
        <v>0</v>
      </c>
      <c r="N329" s="361">
        <v>0</v>
      </c>
      <c r="O329" s="29">
        <v>0</v>
      </c>
      <c r="P329" s="361">
        <f t="shared" si="182"/>
        <v>0</v>
      </c>
      <c r="Q329" s="361">
        <v>0</v>
      </c>
      <c r="R329" s="361">
        <v>0</v>
      </c>
      <c r="S329" s="362">
        <v>0</v>
      </c>
      <c r="T329" s="29">
        <v>0</v>
      </c>
      <c r="U329" s="361">
        <f t="shared" si="183"/>
        <v>0</v>
      </c>
      <c r="V329" s="361">
        <v>0</v>
      </c>
      <c r="W329" s="361">
        <v>0</v>
      </c>
      <c r="X329" s="362">
        <v>0</v>
      </c>
      <c r="Y329" s="29">
        <f>ROUND(0.775,2)</f>
        <v>0.78</v>
      </c>
      <c r="Z329" s="361">
        <f t="shared" si="184"/>
        <v>194</v>
      </c>
      <c r="AA329" s="361">
        <v>0</v>
      </c>
      <c r="AB329" s="361">
        <v>0</v>
      </c>
      <c r="AC329" s="362">
        <v>194</v>
      </c>
      <c r="AD329" s="7"/>
    </row>
    <row r="330" spans="1:30" s="8" customFormat="1" ht="29.45" customHeight="1" outlineLevel="1" x14ac:dyDescent="0.2">
      <c r="A330" s="352" t="s">
        <v>534</v>
      </c>
      <c r="B330" s="363" t="s">
        <v>294</v>
      </c>
      <c r="C330" s="286">
        <f t="shared" si="180"/>
        <v>0.84000000000000008</v>
      </c>
      <c r="D330" s="361">
        <f t="shared" si="178"/>
        <v>210</v>
      </c>
      <c r="E330" s="311">
        <v>0</v>
      </c>
      <c r="F330" s="260">
        <f t="shared" si="181"/>
        <v>0</v>
      </c>
      <c r="G330" s="361">
        <v>0</v>
      </c>
      <c r="H330" s="361">
        <v>0</v>
      </c>
      <c r="I330" s="361">
        <v>0</v>
      </c>
      <c r="J330" s="311">
        <v>0</v>
      </c>
      <c r="K330" s="260">
        <f t="shared" si="179"/>
        <v>0</v>
      </c>
      <c r="L330" s="361">
        <v>0</v>
      </c>
      <c r="M330" s="361">
        <v>0</v>
      </c>
      <c r="N330" s="361">
        <v>0</v>
      </c>
      <c r="O330" s="29">
        <v>0</v>
      </c>
      <c r="P330" s="361">
        <f t="shared" si="182"/>
        <v>0</v>
      </c>
      <c r="Q330" s="361">
        <v>0</v>
      </c>
      <c r="R330" s="361">
        <v>0</v>
      </c>
      <c r="S330" s="362">
        <v>0</v>
      </c>
      <c r="T330" s="29">
        <v>0</v>
      </c>
      <c r="U330" s="361">
        <f t="shared" si="183"/>
        <v>0</v>
      </c>
      <c r="V330" s="361">
        <v>0</v>
      </c>
      <c r="W330" s="361">
        <v>0</v>
      </c>
      <c r="X330" s="362">
        <v>0</v>
      </c>
      <c r="Y330" s="29">
        <v>0.84000000000000008</v>
      </c>
      <c r="Z330" s="361">
        <f t="shared" si="184"/>
        <v>210</v>
      </c>
      <c r="AA330" s="361">
        <v>0</v>
      </c>
      <c r="AB330" s="361">
        <v>0</v>
      </c>
      <c r="AC330" s="362">
        <v>210</v>
      </c>
      <c r="AD330" s="7"/>
    </row>
    <row r="331" spans="1:30" s="8" customFormat="1" ht="23.45" customHeight="1" outlineLevel="1" x14ac:dyDescent="0.2">
      <c r="A331" s="352" t="s">
        <v>535</v>
      </c>
      <c r="B331" s="363" t="s">
        <v>295</v>
      </c>
      <c r="C331" s="286">
        <f t="shared" si="180"/>
        <v>0.82000000000000006</v>
      </c>
      <c r="D331" s="361">
        <f t="shared" si="178"/>
        <v>205</v>
      </c>
      <c r="E331" s="311">
        <v>0</v>
      </c>
      <c r="F331" s="260">
        <f t="shared" si="181"/>
        <v>0</v>
      </c>
      <c r="G331" s="361">
        <v>0</v>
      </c>
      <c r="H331" s="361">
        <v>0</v>
      </c>
      <c r="I331" s="361">
        <v>0</v>
      </c>
      <c r="J331" s="311">
        <v>0</v>
      </c>
      <c r="K331" s="260">
        <f t="shared" si="179"/>
        <v>0</v>
      </c>
      <c r="L331" s="361">
        <v>0</v>
      </c>
      <c r="M331" s="361">
        <v>0</v>
      </c>
      <c r="N331" s="361">
        <v>0</v>
      </c>
      <c r="O331" s="29">
        <v>0</v>
      </c>
      <c r="P331" s="361">
        <f t="shared" si="182"/>
        <v>0</v>
      </c>
      <c r="Q331" s="361">
        <v>0</v>
      </c>
      <c r="R331" s="361">
        <v>0</v>
      </c>
      <c r="S331" s="362">
        <v>0</v>
      </c>
      <c r="T331" s="29">
        <v>0</v>
      </c>
      <c r="U331" s="361">
        <f t="shared" si="183"/>
        <v>0</v>
      </c>
      <c r="V331" s="361">
        <v>0</v>
      </c>
      <c r="W331" s="361">
        <v>0</v>
      </c>
      <c r="X331" s="362">
        <v>0</v>
      </c>
      <c r="Y331" s="29">
        <v>0.82000000000000006</v>
      </c>
      <c r="Z331" s="361">
        <f t="shared" si="184"/>
        <v>205</v>
      </c>
      <c r="AA331" s="361">
        <v>0</v>
      </c>
      <c r="AB331" s="361">
        <v>0</v>
      </c>
      <c r="AC331" s="362">
        <v>205</v>
      </c>
      <c r="AD331" s="7"/>
    </row>
    <row r="332" spans="1:30" s="8" customFormat="1" ht="24" customHeight="1" outlineLevel="1" x14ac:dyDescent="0.2">
      <c r="A332" s="352" t="s">
        <v>536</v>
      </c>
      <c r="B332" s="363" t="s">
        <v>296</v>
      </c>
      <c r="C332" s="286">
        <f t="shared" si="180"/>
        <v>1.71</v>
      </c>
      <c r="D332" s="361">
        <f t="shared" si="178"/>
        <v>426</v>
      </c>
      <c r="E332" s="311">
        <v>0</v>
      </c>
      <c r="F332" s="260">
        <f t="shared" si="181"/>
        <v>0</v>
      </c>
      <c r="G332" s="361">
        <v>0</v>
      </c>
      <c r="H332" s="361">
        <v>0</v>
      </c>
      <c r="I332" s="361">
        <v>0</v>
      </c>
      <c r="J332" s="311">
        <v>0</v>
      </c>
      <c r="K332" s="260">
        <f t="shared" si="179"/>
        <v>0</v>
      </c>
      <c r="L332" s="361">
        <v>0</v>
      </c>
      <c r="M332" s="361">
        <v>0</v>
      </c>
      <c r="N332" s="361">
        <v>0</v>
      </c>
      <c r="O332" s="29">
        <v>0</v>
      </c>
      <c r="P332" s="361">
        <f t="shared" si="182"/>
        <v>0</v>
      </c>
      <c r="Q332" s="361">
        <v>0</v>
      </c>
      <c r="R332" s="361">
        <v>0</v>
      </c>
      <c r="S332" s="362">
        <v>0</v>
      </c>
      <c r="T332" s="29">
        <v>0</v>
      </c>
      <c r="U332" s="361">
        <f t="shared" si="183"/>
        <v>0</v>
      </c>
      <c r="V332" s="361">
        <v>0</v>
      </c>
      <c r="W332" s="361">
        <v>0</v>
      </c>
      <c r="X332" s="362">
        <v>0</v>
      </c>
      <c r="Y332" s="29">
        <f>ROUND(1.705,2)</f>
        <v>1.71</v>
      </c>
      <c r="Z332" s="361">
        <f t="shared" si="184"/>
        <v>426</v>
      </c>
      <c r="AA332" s="361">
        <v>0</v>
      </c>
      <c r="AB332" s="361">
        <v>0</v>
      </c>
      <c r="AC332" s="362">
        <v>426</v>
      </c>
      <c r="AD332" s="7"/>
    </row>
    <row r="333" spans="1:30" s="8" customFormat="1" ht="22.15" customHeight="1" outlineLevel="1" x14ac:dyDescent="0.2">
      <c r="A333" s="352" t="s">
        <v>537</v>
      </c>
      <c r="B333" s="363" t="s">
        <v>297</v>
      </c>
      <c r="C333" s="286">
        <f t="shared" si="180"/>
        <v>0.72</v>
      </c>
      <c r="D333" s="361">
        <f t="shared" si="178"/>
        <v>179</v>
      </c>
      <c r="E333" s="311">
        <v>0</v>
      </c>
      <c r="F333" s="260">
        <f t="shared" si="181"/>
        <v>0</v>
      </c>
      <c r="G333" s="361">
        <v>0</v>
      </c>
      <c r="H333" s="361">
        <v>0</v>
      </c>
      <c r="I333" s="361">
        <v>0</v>
      </c>
      <c r="J333" s="311">
        <v>0</v>
      </c>
      <c r="K333" s="260">
        <f t="shared" si="179"/>
        <v>0</v>
      </c>
      <c r="L333" s="361">
        <v>0</v>
      </c>
      <c r="M333" s="361">
        <v>0</v>
      </c>
      <c r="N333" s="361">
        <v>0</v>
      </c>
      <c r="O333" s="29">
        <v>0</v>
      </c>
      <c r="P333" s="361">
        <f t="shared" si="182"/>
        <v>0</v>
      </c>
      <c r="Q333" s="361">
        <v>0</v>
      </c>
      <c r="R333" s="361">
        <v>0</v>
      </c>
      <c r="S333" s="362">
        <v>0</v>
      </c>
      <c r="T333" s="29">
        <v>0</v>
      </c>
      <c r="U333" s="361">
        <f t="shared" si="183"/>
        <v>0</v>
      </c>
      <c r="V333" s="361">
        <v>0</v>
      </c>
      <c r="W333" s="361">
        <v>0</v>
      </c>
      <c r="X333" s="362">
        <v>0</v>
      </c>
      <c r="Y333" s="29">
        <f>ROUND(0.715,2)</f>
        <v>0.72</v>
      </c>
      <c r="Z333" s="361">
        <f t="shared" si="184"/>
        <v>179</v>
      </c>
      <c r="AA333" s="361">
        <v>0</v>
      </c>
      <c r="AB333" s="361">
        <v>0</v>
      </c>
      <c r="AC333" s="362">
        <v>179</v>
      </c>
      <c r="AD333" s="7"/>
    </row>
    <row r="334" spans="1:30" s="8" customFormat="1" ht="21" customHeight="1" outlineLevel="1" x14ac:dyDescent="0.2">
      <c r="A334" s="352" t="s">
        <v>538</v>
      </c>
      <c r="B334" s="363" t="s">
        <v>298</v>
      </c>
      <c r="C334" s="286">
        <f t="shared" si="180"/>
        <v>3.48</v>
      </c>
      <c r="D334" s="361">
        <f t="shared" si="178"/>
        <v>869</v>
      </c>
      <c r="E334" s="311">
        <v>0</v>
      </c>
      <c r="F334" s="260">
        <f t="shared" si="181"/>
        <v>0</v>
      </c>
      <c r="G334" s="361">
        <v>0</v>
      </c>
      <c r="H334" s="361">
        <v>0</v>
      </c>
      <c r="I334" s="361">
        <v>0</v>
      </c>
      <c r="J334" s="311">
        <v>0</v>
      </c>
      <c r="K334" s="260">
        <f t="shared" si="179"/>
        <v>0</v>
      </c>
      <c r="L334" s="361">
        <v>0</v>
      </c>
      <c r="M334" s="361">
        <v>0</v>
      </c>
      <c r="N334" s="361">
        <v>0</v>
      </c>
      <c r="O334" s="29">
        <v>0</v>
      </c>
      <c r="P334" s="361">
        <f t="shared" si="182"/>
        <v>0</v>
      </c>
      <c r="Q334" s="361">
        <v>0</v>
      </c>
      <c r="R334" s="361">
        <v>0</v>
      </c>
      <c r="S334" s="362">
        <v>0</v>
      </c>
      <c r="T334" s="29">
        <v>0</v>
      </c>
      <c r="U334" s="361">
        <f t="shared" si="183"/>
        <v>0</v>
      </c>
      <c r="V334" s="361">
        <v>0</v>
      </c>
      <c r="W334" s="361">
        <v>0</v>
      </c>
      <c r="X334" s="362">
        <v>0</v>
      </c>
      <c r="Y334" s="29">
        <f>ROUND(3.475,2)</f>
        <v>3.48</v>
      </c>
      <c r="Z334" s="361">
        <f t="shared" si="184"/>
        <v>869</v>
      </c>
      <c r="AA334" s="361">
        <v>0</v>
      </c>
      <c r="AB334" s="361">
        <v>0</v>
      </c>
      <c r="AC334" s="362">
        <v>869</v>
      </c>
      <c r="AD334" s="7"/>
    </row>
    <row r="335" spans="1:30" s="8" customFormat="1" ht="22.9" customHeight="1" outlineLevel="1" x14ac:dyDescent="0.2">
      <c r="A335" s="352" t="s">
        <v>539</v>
      </c>
      <c r="B335" s="363" t="s">
        <v>299</v>
      </c>
      <c r="C335" s="286">
        <f t="shared" si="180"/>
        <v>1.51</v>
      </c>
      <c r="D335" s="361">
        <f t="shared" si="178"/>
        <v>378</v>
      </c>
      <c r="E335" s="311">
        <v>0</v>
      </c>
      <c r="F335" s="260">
        <f t="shared" si="181"/>
        <v>0</v>
      </c>
      <c r="G335" s="361">
        <v>0</v>
      </c>
      <c r="H335" s="361">
        <v>0</v>
      </c>
      <c r="I335" s="361">
        <v>0</v>
      </c>
      <c r="J335" s="311">
        <v>0</v>
      </c>
      <c r="K335" s="260">
        <f t="shared" si="179"/>
        <v>0</v>
      </c>
      <c r="L335" s="361">
        <v>0</v>
      </c>
      <c r="M335" s="361">
        <v>0</v>
      </c>
      <c r="N335" s="361">
        <v>0</v>
      </c>
      <c r="O335" s="29">
        <v>0</v>
      </c>
      <c r="P335" s="361">
        <f t="shared" si="182"/>
        <v>0</v>
      </c>
      <c r="Q335" s="361">
        <v>0</v>
      </c>
      <c r="R335" s="361">
        <v>0</v>
      </c>
      <c r="S335" s="362">
        <v>0</v>
      </c>
      <c r="T335" s="29">
        <v>0</v>
      </c>
      <c r="U335" s="361">
        <f t="shared" si="183"/>
        <v>0</v>
      </c>
      <c r="V335" s="361">
        <v>0</v>
      </c>
      <c r="W335" s="361">
        <v>0</v>
      </c>
      <c r="X335" s="362">
        <v>0</v>
      </c>
      <c r="Y335" s="29">
        <v>1.51</v>
      </c>
      <c r="Z335" s="361">
        <f t="shared" si="184"/>
        <v>378</v>
      </c>
      <c r="AA335" s="361">
        <v>0</v>
      </c>
      <c r="AB335" s="361">
        <v>0</v>
      </c>
      <c r="AC335" s="362">
        <v>378</v>
      </c>
      <c r="AD335" s="7"/>
    </row>
    <row r="336" spans="1:30" s="8" customFormat="1" ht="22.15" customHeight="1" outlineLevel="1" x14ac:dyDescent="0.2">
      <c r="A336" s="352" t="s">
        <v>540</v>
      </c>
      <c r="B336" s="363" t="s">
        <v>300</v>
      </c>
      <c r="C336" s="286">
        <f t="shared" si="180"/>
        <v>1.69</v>
      </c>
      <c r="D336" s="361">
        <f t="shared" si="178"/>
        <v>421</v>
      </c>
      <c r="E336" s="311">
        <v>0</v>
      </c>
      <c r="F336" s="260">
        <f t="shared" si="181"/>
        <v>0</v>
      </c>
      <c r="G336" s="361">
        <v>0</v>
      </c>
      <c r="H336" s="361">
        <v>0</v>
      </c>
      <c r="I336" s="361">
        <v>0</v>
      </c>
      <c r="J336" s="311">
        <v>0</v>
      </c>
      <c r="K336" s="260">
        <f t="shared" si="179"/>
        <v>0</v>
      </c>
      <c r="L336" s="361">
        <v>0</v>
      </c>
      <c r="M336" s="361">
        <v>0</v>
      </c>
      <c r="N336" s="361">
        <v>0</v>
      </c>
      <c r="O336" s="29">
        <v>0</v>
      </c>
      <c r="P336" s="361">
        <f t="shared" si="182"/>
        <v>0</v>
      </c>
      <c r="Q336" s="361">
        <v>0</v>
      </c>
      <c r="R336" s="361">
        <v>0</v>
      </c>
      <c r="S336" s="362">
        <v>0</v>
      </c>
      <c r="T336" s="29">
        <v>0</v>
      </c>
      <c r="U336" s="361">
        <f t="shared" si="183"/>
        <v>0</v>
      </c>
      <c r="V336" s="361">
        <v>0</v>
      </c>
      <c r="W336" s="361">
        <v>0</v>
      </c>
      <c r="X336" s="362">
        <v>0</v>
      </c>
      <c r="Y336" s="29">
        <f>ROUND(1.685,2)</f>
        <v>1.69</v>
      </c>
      <c r="Z336" s="361">
        <f t="shared" si="184"/>
        <v>421</v>
      </c>
      <c r="AA336" s="361">
        <v>0</v>
      </c>
      <c r="AB336" s="361">
        <v>0</v>
      </c>
      <c r="AC336" s="362">
        <v>421</v>
      </c>
      <c r="AD336" s="7"/>
    </row>
    <row r="337" spans="1:30" s="8" customFormat="1" ht="23.45" customHeight="1" outlineLevel="1" x14ac:dyDescent="0.2">
      <c r="A337" s="352" t="s">
        <v>541</v>
      </c>
      <c r="B337" s="363" t="s">
        <v>301</v>
      </c>
      <c r="C337" s="286">
        <f t="shared" si="180"/>
        <v>0.85999999999999988</v>
      </c>
      <c r="D337" s="361">
        <f t="shared" si="178"/>
        <v>215</v>
      </c>
      <c r="E337" s="311">
        <v>0</v>
      </c>
      <c r="F337" s="260">
        <f t="shared" si="181"/>
        <v>0</v>
      </c>
      <c r="G337" s="361">
        <v>0</v>
      </c>
      <c r="H337" s="361">
        <v>0</v>
      </c>
      <c r="I337" s="361">
        <v>0</v>
      </c>
      <c r="J337" s="311">
        <v>0</v>
      </c>
      <c r="K337" s="260">
        <f t="shared" si="179"/>
        <v>0</v>
      </c>
      <c r="L337" s="361">
        <v>0</v>
      </c>
      <c r="M337" s="361">
        <v>0</v>
      </c>
      <c r="N337" s="361">
        <v>0</v>
      </c>
      <c r="O337" s="29">
        <v>0</v>
      </c>
      <c r="P337" s="361">
        <f t="shared" si="182"/>
        <v>0</v>
      </c>
      <c r="Q337" s="361">
        <v>0</v>
      </c>
      <c r="R337" s="361">
        <v>0</v>
      </c>
      <c r="S337" s="362">
        <v>0</v>
      </c>
      <c r="T337" s="29">
        <v>0</v>
      </c>
      <c r="U337" s="361">
        <f t="shared" si="183"/>
        <v>0</v>
      </c>
      <c r="V337" s="361">
        <v>0</v>
      </c>
      <c r="W337" s="361">
        <v>0</v>
      </c>
      <c r="X337" s="362">
        <v>0</v>
      </c>
      <c r="Y337" s="29">
        <v>0.85999999999999988</v>
      </c>
      <c r="Z337" s="361">
        <f t="shared" si="184"/>
        <v>215</v>
      </c>
      <c r="AA337" s="361">
        <v>0</v>
      </c>
      <c r="AB337" s="361">
        <v>0</v>
      </c>
      <c r="AC337" s="362">
        <v>215</v>
      </c>
      <c r="AD337" s="7"/>
    </row>
    <row r="338" spans="1:30" s="8" customFormat="1" ht="23.45" customHeight="1" outlineLevel="1" x14ac:dyDescent="0.2">
      <c r="A338" s="352" t="s">
        <v>542</v>
      </c>
      <c r="B338" s="363" t="s">
        <v>302</v>
      </c>
      <c r="C338" s="286">
        <f t="shared" si="180"/>
        <v>2.29</v>
      </c>
      <c r="D338" s="361">
        <f t="shared" si="178"/>
        <v>573</v>
      </c>
      <c r="E338" s="311">
        <v>0</v>
      </c>
      <c r="F338" s="260">
        <f t="shared" si="181"/>
        <v>0</v>
      </c>
      <c r="G338" s="361">
        <v>0</v>
      </c>
      <c r="H338" s="361">
        <v>0</v>
      </c>
      <c r="I338" s="361">
        <v>0</v>
      </c>
      <c r="J338" s="311">
        <v>0</v>
      </c>
      <c r="K338" s="260">
        <f t="shared" si="179"/>
        <v>0</v>
      </c>
      <c r="L338" s="361">
        <v>0</v>
      </c>
      <c r="M338" s="361">
        <v>0</v>
      </c>
      <c r="N338" s="361">
        <v>0</v>
      </c>
      <c r="O338" s="29">
        <v>0</v>
      </c>
      <c r="P338" s="361">
        <f t="shared" si="182"/>
        <v>0</v>
      </c>
      <c r="Q338" s="361">
        <v>0</v>
      </c>
      <c r="R338" s="361">
        <v>0</v>
      </c>
      <c r="S338" s="362">
        <v>0</v>
      </c>
      <c r="T338" s="29">
        <v>0</v>
      </c>
      <c r="U338" s="361">
        <f t="shared" si="183"/>
        <v>0</v>
      </c>
      <c r="V338" s="361">
        <v>0</v>
      </c>
      <c r="W338" s="361">
        <v>0</v>
      </c>
      <c r="X338" s="362">
        <v>0</v>
      </c>
      <c r="Y338" s="29">
        <v>2.29</v>
      </c>
      <c r="Z338" s="361">
        <f t="shared" si="184"/>
        <v>573</v>
      </c>
      <c r="AA338" s="361">
        <v>0</v>
      </c>
      <c r="AB338" s="361">
        <v>0</v>
      </c>
      <c r="AC338" s="362">
        <v>573</v>
      </c>
      <c r="AD338" s="7"/>
    </row>
    <row r="339" spans="1:30" s="8" customFormat="1" ht="22.15" customHeight="1" outlineLevel="1" x14ac:dyDescent="0.2">
      <c r="A339" s="352" t="s">
        <v>543</v>
      </c>
      <c r="B339" s="363" t="s">
        <v>303</v>
      </c>
      <c r="C339" s="286">
        <f t="shared" si="180"/>
        <v>2.64</v>
      </c>
      <c r="D339" s="361">
        <f t="shared" si="178"/>
        <v>660</v>
      </c>
      <c r="E339" s="311">
        <v>0</v>
      </c>
      <c r="F339" s="260">
        <f t="shared" si="181"/>
        <v>0</v>
      </c>
      <c r="G339" s="361">
        <v>0</v>
      </c>
      <c r="H339" s="361">
        <v>0</v>
      </c>
      <c r="I339" s="361">
        <v>0</v>
      </c>
      <c r="J339" s="311">
        <v>0</v>
      </c>
      <c r="K339" s="260">
        <f t="shared" si="179"/>
        <v>0</v>
      </c>
      <c r="L339" s="361">
        <v>0</v>
      </c>
      <c r="M339" s="361">
        <v>0</v>
      </c>
      <c r="N339" s="361">
        <v>0</v>
      </c>
      <c r="O339" s="29">
        <v>0</v>
      </c>
      <c r="P339" s="361">
        <f t="shared" si="182"/>
        <v>0</v>
      </c>
      <c r="Q339" s="361">
        <v>0</v>
      </c>
      <c r="R339" s="361">
        <v>0</v>
      </c>
      <c r="S339" s="362">
        <v>0</v>
      </c>
      <c r="T339" s="29">
        <v>0</v>
      </c>
      <c r="U339" s="361">
        <f t="shared" si="183"/>
        <v>0</v>
      </c>
      <c r="V339" s="361">
        <v>0</v>
      </c>
      <c r="W339" s="361">
        <v>0</v>
      </c>
      <c r="X339" s="362">
        <v>0</v>
      </c>
      <c r="Y339" s="29">
        <v>2.64</v>
      </c>
      <c r="Z339" s="361">
        <f t="shared" si="184"/>
        <v>660</v>
      </c>
      <c r="AA339" s="361">
        <v>0</v>
      </c>
      <c r="AB339" s="361">
        <v>0</v>
      </c>
      <c r="AC339" s="362">
        <v>660</v>
      </c>
      <c r="AD339" s="7"/>
    </row>
    <row r="340" spans="1:30" s="8" customFormat="1" ht="25.15" customHeight="1" outlineLevel="1" x14ac:dyDescent="0.2">
      <c r="A340" s="352" t="s">
        <v>544</v>
      </c>
      <c r="B340" s="363" t="s">
        <v>304</v>
      </c>
      <c r="C340" s="286">
        <f t="shared" si="180"/>
        <v>2.3899999999999997</v>
      </c>
      <c r="D340" s="361">
        <f t="shared" si="178"/>
        <v>598</v>
      </c>
      <c r="E340" s="311">
        <v>0</v>
      </c>
      <c r="F340" s="260">
        <f t="shared" si="181"/>
        <v>0</v>
      </c>
      <c r="G340" s="361">
        <v>0</v>
      </c>
      <c r="H340" s="361">
        <v>0</v>
      </c>
      <c r="I340" s="361">
        <v>0</v>
      </c>
      <c r="J340" s="311">
        <v>0</v>
      </c>
      <c r="K340" s="260">
        <f t="shared" si="179"/>
        <v>0</v>
      </c>
      <c r="L340" s="361">
        <v>0</v>
      </c>
      <c r="M340" s="361">
        <v>0</v>
      </c>
      <c r="N340" s="361">
        <v>0</v>
      </c>
      <c r="O340" s="29">
        <v>0</v>
      </c>
      <c r="P340" s="361">
        <f t="shared" si="182"/>
        <v>0</v>
      </c>
      <c r="Q340" s="361">
        <v>0</v>
      </c>
      <c r="R340" s="361">
        <v>0</v>
      </c>
      <c r="S340" s="362">
        <v>0</v>
      </c>
      <c r="T340" s="29">
        <v>0</v>
      </c>
      <c r="U340" s="361">
        <f t="shared" si="183"/>
        <v>0</v>
      </c>
      <c r="V340" s="361">
        <v>0</v>
      </c>
      <c r="W340" s="361">
        <v>0</v>
      </c>
      <c r="X340" s="362">
        <v>0</v>
      </c>
      <c r="Y340" s="29">
        <v>2.3899999999999997</v>
      </c>
      <c r="Z340" s="361">
        <f t="shared" si="184"/>
        <v>598</v>
      </c>
      <c r="AA340" s="361">
        <v>0</v>
      </c>
      <c r="AB340" s="361">
        <v>0</v>
      </c>
      <c r="AC340" s="362">
        <v>598</v>
      </c>
      <c r="AD340" s="7"/>
    </row>
    <row r="341" spans="1:30" s="8" customFormat="1" ht="25.9" customHeight="1" outlineLevel="1" x14ac:dyDescent="0.2">
      <c r="A341" s="352" t="s">
        <v>545</v>
      </c>
      <c r="B341" s="363" t="s">
        <v>305</v>
      </c>
      <c r="C341" s="286">
        <f t="shared" si="180"/>
        <v>2.1800000000000002</v>
      </c>
      <c r="D341" s="361">
        <f t="shared" si="178"/>
        <v>545</v>
      </c>
      <c r="E341" s="311">
        <v>0</v>
      </c>
      <c r="F341" s="260">
        <f t="shared" si="181"/>
        <v>0</v>
      </c>
      <c r="G341" s="361">
        <v>0</v>
      </c>
      <c r="H341" s="361">
        <v>0</v>
      </c>
      <c r="I341" s="361">
        <v>0</v>
      </c>
      <c r="J341" s="311">
        <v>0</v>
      </c>
      <c r="K341" s="260">
        <f t="shared" si="179"/>
        <v>0</v>
      </c>
      <c r="L341" s="361">
        <v>0</v>
      </c>
      <c r="M341" s="361">
        <v>0</v>
      </c>
      <c r="N341" s="361">
        <v>0</v>
      </c>
      <c r="O341" s="29">
        <v>0</v>
      </c>
      <c r="P341" s="361">
        <f t="shared" si="182"/>
        <v>0</v>
      </c>
      <c r="Q341" s="361">
        <v>0</v>
      </c>
      <c r="R341" s="361">
        <v>0</v>
      </c>
      <c r="S341" s="362">
        <v>0</v>
      </c>
      <c r="T341" s="29">
        <v>0</v>
      </c>
      <c r="U341" s="361">
        <f t="shared" si="183"/>
        <v>0</v>
      </c>
      <c r="V341" s="361">
        <v>0</v>
      </c>
      <c r="W341" s="361">
        <v>0</v>
      </c>
      <c r="X341" s="362">
        <v>0</v>
      </c>
      <c r="Y341" s="29">
        <v>2.1800000000000002</v>
      </c>
      <c r="Z341" s="361">
        <f t="shared" si="184"/>
        <v>545</v>
      </c>
      <c r="AA341" s="361">
        <v>0</v>
      </c>
      <c r="AB341" s="361">
        <v>0</v>
      </c>
      <c r="AC341" s="362">
        <v>545</v>
      </c>
      <c r="AD341" s="7"/>
    </row>
    <row r="342" spans="1:30" s="8" customFormat="1" ht="28.15" customHeight="1" outlineLevel="1" x14ac:dyDescent="0.2">
      <c r="A342" s="352" t="s">
        <v>546</v>
      </c>
      <c r="B342" s="363" t="s">
        <v>306</v>
      </c>
      <c r="C342" s="286">
        <f t="shared" si="180"/>
        <v>1.94</v>
      </c>
      <c r="D342" s="361">
        <f t="shared" si="178"/>
        <v>485</v>
      </c>
      <c r="E342" s="311">
        <v>0</v>
      </c>
      <c r="F342" s="260">
        <f t="shared" si="181"/>
        <v>0</v>
      </c>
      <c r="G342" s="361">
        <v>0</v>
      </c>
      <c r="H342" s="361">
        <v>0</v>
      </c>
      <c r="I342" s="361">
        <v>0</v>
      </c>
      <c r="J342" s="311">
        <v>0</v>
      </c>
      <c r="K342" s="260">
        <f t="shared" si="179"/>
        <v>0</v>
      </c>
      <c r="L342" s="361">
        <v>0</v>
      </c>
      <c r="M342" s="361">
        <v>0</v>
      </c>
      <c r="N342" s="361">
        <v>0</v>
      </c>
      <c r="O342" s="29">
        <v>0</v>
      </c>
      <c r="P342" s="361">
        <f t="shared" si="182"/>
        <v>0</v>
      </c>
      <c r="Q342" s="361">
        <v>0</v>
      </c>
      <c r="R342" s="361">
        <v>0</v>
      </c>
      <c r="S342" s="362">
        <v>0</v>
      </c>
      <c r="T342" s="29">
        <v>0</v>
      </c>
      <c r="U342" s="361">
        <f t="shared" si="183"/>
        <v>0</v>
      </c>
      <c r="V342" s="361">
        <v>0</v>
      </c>
      <c r="W342" s="361">
        <v>0</v>
      </c>
      <c r="X342" s="362">
        <v>0</v>
      </c>
      <c r="Y342" s="29">
        <v>1.94</v>
      </c>
      <c r="Z342" s="361">
        <f t="shared" si="184"/>
        <v>485</v>
      </c>
      <c r="AA342" s="361">
        <v>0</v>
      </c>
      <c r="AB342" s="361">
        <v>0</v>
      </c>
      <c r="AC342" s="362">
        <v>485</v>
      </c>
      <c r="AD342" s="7"/>
    </row>
    <row r="343" spans="1:30" s="8" customFormat="1" ht="28.15" customHeight="1" outlineLevel="1" x14ac:dyDescent="0.2">
      <c r="A343" s="352" t="s">
        <v>547</v>
      </c>
      <c r="B343" s="363" t="s">
        <v>307</v>
      </c>
      <c r="C343" s="286">
        <f t="shared" si="180"/>
        <v>1.7999999999999998</v>
      </c>
      <c r="D343" s="361">
        <f t="shared" si="178"/>
        <v>450</v>
      </c>
      <c r="E343" s="311">
        <v>0</v>
      </c>
      <c r="F343" s="260">
        <f t="shared" si="181"/>
        <v>0</v>
      </c>
      <c r="G343" s="361">
        <v>0</v>
      </c>
      <c r="H343" s="361">
        <v>0</v>
      </c>
      <c r="I343" s="361">
        <v>0</v>
      </c>
      <c r="J343" s="311">
        <v>0</v>
      </c>
      <c r="K343" s="260">
        <f t="shared" si="179"/>
        <v>0</v>
      </c>
      <c r="L343" s="361">
        <v>0</v>
      </c>
      <c r="M343" s="361">
        <v>0</v>
      </c>
      <c r="N343" s="361">
        <v>0</v>
      </c>
      <c r="O343" s="29">
        <v>0</v>
      </c>
      <c r="P343" s="361">
        <f t="shared" si="182"/>
        <v>0</v>
      </c>
      <c r="Q343" s="361">
        <v>0</v>
      </c>
      <c r="R343" s="361">
        <v>0</v>
      </c>
      <c r="S343" s="362">
        <v>0</v>
      </c>
      <c r="T343" s="29">
        <v>0</v>
      </c>
      <c r="U343" s="361">
        <f t="shared" si="183"/>
        <v>0</v>
      </c>
      <c r="V343" s="361">
        <v>0</v>
      </c>
      <c r="W343" s="361">
        <v>0</v>
      </c>
      <c r="X343" s="362">
        <v>0</v>
      </c>
      <c r="Y343" s="29">
        <v>1.7999999999999998</v>
      </c>
      <c r="Z343" s="361">
        <f t="shared" si="184"/>
        <v>450</v>
      </c>
      <c r="AA343" s="361">
        <v>0</v>
      </c>
      <c r="AB343" s="361">
        <v>0</v>
      </c>
      <c r="AC343" s="362">
        <v>450</v>
      </c>
      <c r="AD343" s="7"/>
    </row>
    <row r="344" spans="1:30" s="8" customFormat="1" ht="24" customHeight="1" outlineLevel="1" x14ac:dyDescent="0.2">
      <c r="A344" s="352" t="s">
        <v>548</v>
      </c>
      <c r="B344" s="363" t="s">
        <v>308</v>
      </c>
      <c r="C344" s="286">
        <f t="shared" si="180"/>
        <v>1.36</v>
      </c>
      <c r="D344" s="361">
        <f t="shared" si="178"/>
        <v>340</v>
      </c>
      <c r="E344" s="311">
        <v>0</v>
      </c>
      <c r="F344" s="260">
        <f t="shared" si="181"/>
        <v>0</v>
      </c>
      <c r="G344" s="361">
        <v>0</v>
      </c>
      <c r="H344" s="361">
        <v>0</v>
      </c>
      <c r="I344" s="361">
        <v>0</v>
      </c>
      <c r="J344" s="311">
        <v>0</v>
      </c>
      <c r="K344" s="260">
        <f t="shared" si="179"/>
        <v>0</v>
      </c>
      <c r="L344" s="361">
        <v>0</v>
      </c>
      <c r="M344" s="361">
        <v>0</v>
      </c>
      <c r="N344" s="361">
        <v>0</v>
      </c>
      <c r="O344" s="29">
        <v>0</v>
      </c>
      <c r="P344" s="361">
        <f t="shared" si="182"/>
        <v>0</v>
      </c>
      <c r="Q344" s="361">
        <v>0</v>
      </c>
      <c r="R344" s="361">
        <v>0</v>
      </c>
      <c r="S344" s="362">
        <v>0</v>
      </c>
      <c r="T344" s="29">
        <v>0</v>
      </c>
      <c r="U344" s="361">
        <f t="shared" si="183"/>
        <v>0</v>
      </c>
      <c r="V344" s="361">
        <v>0</v>
      </c>
      <c r="W344" s="361">
        <v>0</v>
      </c>
      <c r="X344" s="362">
        <v>0</v>
      </c>
      <c r="Y344" s="29">
        <v>1.36</v>
      </c>
      <c r="Z344" s="361">
        <f t="shared" si="184"/>
        <v>340</v>
      </c>
      <c r="AA344" s="361">
        <v>0</v>
      </c>
      <c r="AB344" s="361">
        <v>0</v>
      </c>
      <c r="AC344" s="362">
        <v>340</v>
      </c>
      <c r="AD344" s="7"/>
    </row>
    <row r="345" spans="1:30" s="8" customFormat="1" ht="26.45" customHeight="1" outlineLevel="1" x14ac:dyDescent="0.2">
      <c r="A345" s="352" t="s">
        <v>549</v>
      </c>
      <c r="B345" s="363" t="s">
        <v>309</v>
      </c>
      <c r="C345" s="286">
        <f t="shared" si="180"/>
        <v>1.1499999999999999</v>
      </c>
      <c r="D345" s="361">
        <f t="shared" si="178"/>
        <v>286</v>
      </c>
      <c r="E345" s="311">
        <v>0</v>
      </c>
      <c r="F345" s="260">
        <f t="shared" si="181"/>
        <v>0</v>
      </c>
      <c r="G345" s="361">
        <v>0</v>
      </c>
      <c r="H345" s="361">
        <v>0</v>
      </c>
      <c r="I345" s="361">
        <v>0</v>
      </c>
      <c r="J345" s="311">
        <v>0</v>
      </c>
      <c r="K345" s="260">
        <f t="shared" si="179"/>
        <v>0</v>
      </c>
      <c r="L345" s="361">
        <v>0</v>
      </c>
      <c r="M345" s="361">
        <v>0</v>
      </c>
      <c r="N345" s="361">
        <v>0</v>
      </c>
      <c r="O345" s="29">
        <v>0</v>
      </c>
      <c r="P345" s="361">
        <f t="shared" si="182"/>
        <v>0</v>
      </c>
      <c r="Q345" s="361">
        <v>0</v>
      </c>
      <c r="R345" s="361">
        <v>0</v>
      </c>
      <c r="S345" s="362">
        <v>0</v>
      </c>
      <c r="T345" s="29">
        <v>0</v>
      </c>
      <c r="U345" s="361">
        <f t="shared" si="183"/>
        <v>0</v>
      </c>
      <c r="V345" s="361">
        <v>0</v>
      </c>
      <c r="W345" s="361">
        <v>0</v>
      </c>
      <c r="X345" s="362">
        <v>0</v>
      </c>
      <c r="Y345" s="29">
        <f>ROUND(1.145,2)</f>
        <v>1.1499999999999999</v>
      </c>
      <c r="Z345" s="361">
        <f t="shared" si="184"/>
        <v>286</v>
      </c>
      <c r="AA345" s="361">
        <v>0</v>
      </c>
      <c r="AB345" s="361">
        <v>0</v>
      </c>
      <c r="AC345" s="362">
        <v>286</v>
      </c>
      <c r="AD345" s="7"/>
    </row>
    <row r="346" spans="1:30" s="8" customFormat="1" ht="34.15" customHeight="1" outlineLevel="1" x14ac:dyDescent="0.2">
      <c r="A346" s="352" t="s">
        <v>550</v>
      </c>
      <c r="B346" s="363" t="s">
        <v>310</v>
      </c>
      <c r="C346" s="286">
        <f t="shared" si="180"/>
        <v>4.37</v>
      </c>
      <c r="D346" s="361">
        <f t="shared" si="178"/>
        <v>1091</v>
      </c>
      <c r="E346" s="311">
        <v>0</v>
      </c>
      <c r="F346" s="260">
        <f t="shared" si="181"/>
        <v>0</v>
      </c>
      <c r="G346" s="361">
        <v>0</v>
      </c>
      <c r="H346" s="361">
        <v>0</v>
      </c>
      <c r="I346" s="361">
        <v>0</v>
      </c>
      <c r="J346" s="311">
        <v>0</v>
      </c>
      <c r="K346" s="260">
        <f t="shared" si="179"/>
        <v>0</v>
      </c>
      <c r="L346" s="361">
        <v>0</v>
      </c>
      <c r="M346" s="361">
        <v>0</v>
      </c>
      <c r="N346" s="361">
        <v>0</v>
      </c>
      <c r="O346" s="29">
        <v>0</v>
      </c>
      <c r="P346" s="361">
        <f t="shared" si="182"/>
        <v>0</v>
      </c>
      <c r="Q346" s="361">
        <v>0</v>
      </c>
      <c r="R346" s="361">
        <v>0</v>
      </c>
      <c r="S346" s="362">
        <v>0</v>
      </c>
      <c r="T346" s="29">
        <v>0</v>
      </c>
      <c r="U346" s="361">
        <f t="shared" si="183"/>
        <v>0</v>
      </c>
      <c r="V346" s="361">
        <v>0</v>
      </c>
      <c r="W346" s="361">
        <v>0</v>
      </c>
      <c r="X346" s="362">
        <v>0</v>
      </c>
      <c r="Y346" s="29">
        <f>ROUND(4.365,2)</f>
        <v>4.37</v>
      </c>
      <c r="Z346" s="361">
        <f t="shared" si="184"/>
        <v>1091</v>
      </c>
      <c r="AA346" s="361">
        <v>0</v>
      </c>
      <c r="AB346" s="361">
        <v>0</v>
      </c>
      <c r="AC346" s="362">
        <v>1091</v>
      </c>
      <c r="AD346" s="7"/>
    </row>
    <row r="347" spans="1:30" s="8" customFormat="1" ht="28.9" customHeight="1" outlineLevel="1" x14ac:dyDescent="0.2">
      <c r="A347" s="352" t="s">
        <v>551</v>
      </c>
      <c r="B347" s="363" t="s">
        <v>311</v>
      </c>
      <c r="C347" s="286">
        <f t="shared" si="180"/>
        <v>1.29</v>
      </c>
      <c r="D347" s="361">
        <f t="shared" si="178"/>
        <v>323</v>
      </c>
      <c r="E347" s="311">
        <v>0</v>
      </c>
      <c r="F347" s="260">
        <f t="shared" si="181"/>
        <v>0</v>
      </c>
      <c r="G347" s="361">
        <v>0</v>
      </c>
      <c r="H347" s="361">
        <v>0</v>
      </c>
      <c r="I347" s="361">
        <v>0</v>
      </c>
      <c r="J347" s="311">
        <v>0</v>
      </c>
      <c r="K347" s="260">
        <f t="shared" si="179"/>
        <v>0</v>
      </c>
      <c r="L347" s="361">
        <v>0</v>
      </c>
      <c r="M347" s="361">
        <v>0</v>
      </c>
      <c r="N347" s="361">
        <v>0</v>
      </c>
      <c r="O347" s="29">
        <v>0</v>
      </c>
      <c r="P347" s="361">
        <f t="shared" si="182"/>
        <v>0</v>
      </c>
      <c r="Q347" s="361">
        <v>0</v>
      </c>
      <c r="R347" s="361">
        <v>0</v>
      </c>
      <c r="S347" s="362">
        <v>0</v>
      </c>
      <c r="T347" s="29">
        <v>0</v>
      </c>
      <c r="U347" s="361">
        <f t="shared" si="183"/>
        <v>0</v>
      </c>
      <c r="V347" s="361">
        <v>0</v>
      </c>
      <c r="W347" s="361">
        <v>0</v>
      </c>
      <c r="X347" s="362">
        <v>0</v>
      </c>
      <c r="Y347" s="29">
        <v>1.29</v>
      </c>
      <c r="Z347" s="361">
        <f t="shared" si="184"/>
        <v>323</v>
      </c>
      <c r="AA347" s="361">
        <v>0</v>
      </c>
      <c r="AB347" s="361">
        <v>0</v>
      </c>
      <c r="AC347" s="362">
        <v>323</v>
      </c>
      <c r="AD347" s="7"/>
    </row>
    <row r="348" spans="1:30" s="8" customFormat="1" ht="26.45" customHeight="1" outlineLevel="1" x14ac:dyDescent="0.2">
      <c r="A348" s="352" t="s">
        <v>552</v>
      </c>
      <c r="B348" s="363" t="s">
        <v>312</v>
      </c>
      <c r="C348" s="286">
        <f t="shared" si="180"/>
        <v>0.81</v>
      </c>
      <c r="D348" s="361">
        <f t="shared" si="178"/>
        <v>203</v>
      </c>
      <c r="E348" s="311">
        <v>0</v>
      </c>
      <c r="F348" s="260">
        <f t="shared" si="181"/>
        <v>0</v>
      </c>
      <c r="G348" s="361">
        <v>0</v>
      </c>
      <c r="H348" s="361">
        <v>0</v>
      </c>
      <c r="I348" s="361">
        <v>0</v>
      </c>
      <c r="J348" s="311">
        <v>0</v>
      </c>
      <c r="K348" s="260">
        <f t="shared" si="179"/>
        <v>0</v>
      </c>
      <c r="L348" s="361">
        <v>0</v>
      </c>
      <c r="M348" s="361">
        <v>0</v>
      </c>
      <c r="N348" s="361">
        <v>0</v>
      </c>
      <c r="O348" s="29">
        <v>0</v>
      </c>
      <c r="P348" s="361">
        <f t="shared" si="182"/>
        <v>0</v>
      </c>
      <c r="Q348" s="361">
        <v>0</v>
      </c>
      <c r="R348" s="361">
        <v>0</v>
      </c>
      <c r="S348" s="362">
        <v>0</v>
      </c>
      <c r="T348" s="29">
        <v>0</v>
      </c>
      <c r="U348" s="361">
        <f t="shared" si="183"/>
        <v>0</v>
      </c>
      <c r="V348" s="361">
        <v>0</v>
      </c>
      <c r="W348" s="361">
        <v>0</v>
      </c>
      <c r="X348" s="362">
        <v>0</v>
      </c>
      <c r="Y348" s="29">
        <v>0.81</v>
      </c>
      <c r="Z348" s="361">
        <f t="shared" si="184"/>
        <v>203</v>
      </c>
      <c r="AA348" s="361">
        <v>0</v>
      </c>
      <c r="AB348" s="361">
        <v>0</v>
      </c>
      <c r="AC348" s="362">
        <v>203</v>
      </c>
      <c r="AD348" s="7"/>
    </row>
    <row r="349" spans="1:30" s="8" customFormat="1" ht="24" customHeight="1" outlineLevel="1" x14ac:dyDescent="0.2">
      <c r="A349" s="352" t="s">
        <v>553</v>
      </c>
      <c r="B349" s="363" t="s">
        <v>313</v>
      </c>
      <c r="C349" s="286">
        <f t="shared" si="180"/>
        <v>0.67</v>
      </c>
      <c r="D349" s="361">
        <f t="shared" si="178"/>
        <v>168</v>
      </c>
      <c r="E349" s="311">
        <v>0</v>
      </c>
      <c r="F349" s="260">
        <f t="shared" si="181"/>
        <v>0</v>
      </c>
      <c r="G349" s="361">
        <v>0</v>
      </c>
      <c r="H349" s="361">
        <v>0</v>
      </c>
      <c r="I349" s="361">
        <v>0</v>
      </c>
      <c r="J349" s="311">
        <v>0</v>
      </c>
      <c r="K349" s="260">
        <f t="shared" si="179"/>
        <v>0</v>
      </c>
      <c r="L349" s="361">
        <v>0</v>
      </c>
      <c r="M349" s="361">
        <v>0</v>
      </c>
      <c r="N349" s="361">
        <v>0</v>
      </c>
      <c r="O349" s="29">
        <v>0</v>
      </c>
      <c r="P349" s="361">
        <f t="shared" si="182"/>
        <v>0</v>
      </c>
      <c r="Q349" s="361">
        <v>0</v>
      </c>
      <c r="R349" s="361">
        <v>0</v>
      </c>
      <c r="S349" s="362">
        <v>0</v>
      </c>
      <c r="T349" s="29">
        <v>0</v>
      </c>
      <c r="U349" s="361">
        <f t="shared" si="183"/>
        <v>0</v>
      </c>
      <c r="V349" s="361">
        <v>0</v>
      </c>
      <c r="W349" s="361">
        <v>0</v>
      </c>
      <c r="X349" s="362">
        <v>0</v>
      </c>
      <c r="Y349" s="29">
        <v>0.67</v>
      </c>
      <c r="Z349" s="361">
        <f t="shared" si="184"/>
        <v>168</v>
      </c>
      <c r="AA349" s="361">
        <v>0</v>
      </c>
      <c r="AB349" s="361">
        <v>0</v>
      </c>
      <c r="AC349" s="362">
        <v>168</v>
      </c>
      <c r="AD349" s="7"/>
    </row>
    <row r="350" spans="1:30" s="8" customFormat="1" ht="24" customHeight="1" outlineLevel="1" x14ac:dyDescent="0.2">
      <c r="A350" s="352" t="s">
        <v>554</v>
      </c>
      <c r="B350" s="363" t="s">
        <v>314</v>
      </c>
      <c r="C350" s="286">
        <f t="shared" si="180"/>
        <v>1.05</v>
      </c>
      <c r="D350" s="361">
        <f t="shared" si="178"/>
        <v>263</v>
      </c>
      <c r="E350" s="311">
        <v>0</v>
      </c>
      <c r="F350" s="260">
        <f t="shared" si="181"/>
        <v>0</v>
      </c>
      <c r="G350" s="361">
        <v>0</v>
      </c>
      <c r="H350" s="361">
        <v>0</v>
      </c>
      <c r="I350" s="361">
        <v>0</v>
      </c>
      <c r="J350" s="311">
        <v>0</v>
      </c>
      <c r="K350" s="260">
        <f t="shared" si="179"/>
        <v>0</v>
      </c>
      <c r="L350" s="361">
        <v>0</v>
      </c>
      <c r="M350" s="361">
        <v>0</v>
      </c>
      <c r="N350" s="361">
        <v>0</v>
      </c>
      <c r="O350" s="29">
        <v>0</v>
      </c>
      <c r="P350" s="361">
        <f t="shared" si="182"/>
        <v>0</v>
      </c>
      <c r="Q350" s="361">
        <v>0</v>
      </c>
      <c r="R350" s="361">
        <v>0</v>
      </c>
      <c r="S350" s="362">
        <v>0</v>
      </c>
      <c r="T350" s="29">
        <v>0</v>
      </c>
      <c r="U350" s="361">
        <f t="shared" si="183"/>
        <v>0</v>
      </c>
      <c r="V350" s="361">
        <v>0</v>
      </c>
      <c r="W350" s="361">
        <v>0</v>
      </c>
      <c r="X350" s="362">
        <v>0</v>
      </c>
      <c r="Y350" s="29">
        <v>1.05</v>
      </c>
      <c r="Z350" s="361">
        <f t="shared" si="184"/>
        <v>263</v>
      </c>
      <c r="AA350" s="361">
        <v>0</v>
      </c>
      <c r="AB350" s="361">
        <v>0</v>
      </c>
      <c r="AC350" s="362">
        <v>263</v>
      </c>
      <c r="AD350" s="7"/>
    </row>
    <row r="351" spans="1:30" s="8" customFormat="1" ht="37.9" customHeight="1" outlineLevel="1" x14ac:dyDescent="0.2">
      <c r="A351" s="352" t="s">
        <v>555</v>
      </c>
      <c r="B351" s="363" t="s">
        <v>445</v>
      </c>
      <c r="C351" s="286">
        <f t="shared" si="180"/>
        <v>1.52</v>
      </c>
      <c r="D351" s="361">
        <f t="shared" si="178"/>
        <v>379</v>
      </c>
      <c r="E351" s="311">
        <v>0</v>
      </c>
      <c r="F351" s="260">
        <f t="shared" si="181"/>
        <v>0</v>
      </c>
      <c r="G351" s="361">
        <v>0</v>
      </c>
      <c r="H351" s="361">
        <v>0</v>
      </c>
      <c r="I351" s="361">
        <v>0</v>
      </c>
      <c r="J351" s="311">
        <v>0</v>
      </c>
      <c r="K351" s="260">
        <f t="shared" si="179"/>
        <v>0</v>
      </c>
      <c r="L351" s="361">
        <v>0</v>
      </c>
      <c r="M351" s="361">
        <v>0</v>
      </c>
      <c r="N351" s="361">
        <v>0</v>
      </c>
      <c r="O351" s="29">
        <v>0</v>
      </c>
      <c r="P351" s="361">
        <f t="shared" si="182"/>
        <v>0</v>
      </c>
      <c r="Q351" s="361">
        <v>0</v>
      </c>
      <c r="R351" s="361">
        <v>0</v>
      </c>
      <c r="S351" s="362">
        <v>0</v>
      </c>
      <c r="T351" s="29">
        <v>0</v>
      </c>
      <c r="U351" s="361">
        <f t="shared" si="183"/>
        <v>0</v>
      </c>
      <c r="V351" s="361">
        <v>0</v>
      </c>
      <c r="W351" s="361">
        <v>0</v>
      </c>
      <c r="X351" s="362">
        <v>0</v>
      </c>
      <c r="Y351" s="29">
        <f>ROUND(1.515,2)</f>
        <v>1.52</v>
      </c>
      <c r="Z351" s="361">
        <f t="shared" si="184"/>
        <v>379</v>
      </c>
      <c r="AA351" s="361">
        <v>0</v>
      </c>
      <c r="AB351" s="361">
        <v>0</v>
      </c>
      <c r="AC351" s="362">
        <v>379</v>
      </c>
      <c r="AD351" s="7"/>
    </row>
    <row r="352" spans="1:30" s="8" customFormat="1" ht="29.45" customHeight="1" outlineLevel="1" x14ac:dyDescent="0.2">
      <c r="A352" s="352" t="s">
        <v>556</v>
      </c>
      <c r="B352" s="363" t="s">
        <v>315</v>
      </c>
      <c r="C352" s="286">
        <f t="shared" si="180"/>
        <v>1.55</v>
      </c>
      <c r="D352" s="361">
        <f t="shared" si="178"/>
        <v>388</v>
      </c>
      <c r="E352" s="311">
        <v>0</v>
      </c>
      <c r="F352" s="260">
        <f t="shared" si="181"/>
        <v>0</v>
      </c>
      <c r="G352" s="361">
        <v>0</v>
      </c>
      <c r="H352" s="361">
        <v>0</v>
      </c>
      <c r="I352" s="361">
        <v>0</v>
      </c>
      <c r="J352" s="311">
        <v>0</v>
      </c>
      <c r="K352" s="260">
        <f t="shared" si="179"/>
        <v>0</v>
      </c>
      <c r="L352" s="361">
        <v>0</v>
      </c>
      <c r="M352" s="361">
        <v>0</v>
      </c>
      <c r="N352" s="361">
        <v>0</v>
      </c>
      <c r="O352" s="29">
        <v>0</v>
      </c>
      <c r="P352" s="361">
        <f t="shared" si="182"/>
        <v>0</v>
      </c>
      <c r="Q352" s="361">
        <v>0</v>
      </c>
      <c r="R352" s="361">
        <v>0</v>
      </c>
      <c r="S352" s="362">
        <v>0</v>
      </c>
      <c r="T352" s="29">
        <v>0</v>
      </c>
      <c r="U352" s="361">
        <f t="shared" si="183"/>
        <v>0</v>
      </c>
      <c r="V352" s="361">
        <v>0</v>
      </c>
      <c r="W352" s="361">
        <v>0</v>
      </c>
      <c r="X352" s="362">
        <v>0</v>
      </c>
      <c r="Y352" s="29">
        <v>1.55</v>
      </c>
      <c r="Z352" s="361">
        <f t="shared" si="184"/>
        <v>388</v>
      </c>
      <c r="AA352" s="361">
        <v>0</v>
      </c>
      <c r="AB352" s="361">
        <v>0</v>
      </c>
      <c r="AC352" s="362">
        <v>388</v>
      </c>
      <c r="AD352" s="7"/>
    </row>
    <row r="353" spans="1:30" s="8" customFormat="1" ht="25.15" customHeight="1" outlineLevel="1" x14ac:dyDescent="0.2">
      <c r="A353" s="352" t="s">
        <v>557</v>
      </c>
      <c r="B353" s="363" t="s">
        <v>316</v>
      </c>
      <c r="C353" s="286">
        <f t="shared" si="180"/>
        <v>0.73</v>
      </c>
      <c r="D353" s="361">
        <f t="shared" si="178"/>
        <v>181</v>
      </c>
      <c r="E353" s="311">
        <v>0</v>
      </c>
      <c r="F353" s="260">
        <f t="shared" si="181"/>
        <v>0</v>
      </c>
      <c r="G353" s="361">
        <v>0</v>
      </c>
      <c r="H353" s="361">
        <v>0</v>
      </c>
      <c r="I353" s="361">
        <v>0</v>
      </c>
      <c r="J353" s="311">
        <v>0</v>
      </c>
      <c r="K353" s="260">
        <f t="shared" si="179"/>
        <v>0</v>
      </c>
      <c r="L353" s="361">
        <v>0</v>
      </c>
      <c r="M353" s="361">
        <v>0</v>
      </c>
      <c r="N353" s="361">
        <v>0</v>
      </c>
      <c r="O353" s="29">
        <v>0</v>
      </c>
      <c r="P353" s="361">
        <f t="shared" si="182"/>
        <v>0</v>
      </c>
      <c r="Q353" s="361">
        <v>0</v>
      </c>
      <c r="R353" s="361">
        <v>0</v>
      </c>
      <c r="S353" s="362">
        <v>0</v>
      </c>
      <c r="T353" s="29">
        <v>0</v>
      </c>
      <c r="U353" s="361">
        <f t="shared" si="183"/>
        <v>0</v>
      </c>
      <c r="V353" s="361">
        <v>0</v>
      </c>
      <c r="W353" s="361">
        <v>0</v>
      </c>
      <c r="X353" s="362">
        <v>0</v>
      </c>
      <c r="Y353" s="29">
        <f>ROUND(0.725,2)</f>
        <v>0.73</v>
      </c>
      <c r="Z353" s="361">
        <f t="shared" si="184"/>
        <v>181</v>
      </c>
      <c r="AA353" s="361">
        <v>0</v>
      </c>
      <c r="AB353" s="361">
        <v>0</v>
      </c>
      <c r="AC353" s="362">
        <v>181</v>
      </c>
      <c r="AD353" s="7"/>
    </row>
    <row r="354" spans="1:30" s="8" customFormat="1" ht="37.15" customHeight="1" outlineLevel="1" x14ac:dyDescent="0.2">
      <c r="A354" s="352" t="s">
        <v>558</v>
      </c>
      <c r="B354" s="363" t="s">
        <v>317</v>
      </c>
      <c r="C354" s="286">
        <f t="shared" si="180"/>
        <v>1.89</v>
      </c>
      <c r="D354" s="361">
        <f t="shared" si="178"/>
        <v>471</v>
      </c>
      <c r="E354" s="311">
        <v>0</v>
      </c>
      <c r="F354" s="260">
        <f t="shared" si="181"/>
        <v>0</v>
      </c>
      <c r="G354" s="361">
        <v>0</v>
      </c>
      <c r="H354" s="361">
        <v>0</v>
      </c>
      <c r="I354" s="361">
        <v>0</v>
      </c>
      <c r="J354" s="311">
        <v>0</v>
      </c>
      <c r="K354" s="260">
        <f t="shared" si="179"/>
        <v>0</v>
      </c>
      <c r="L354" s="361">
        <v>0</v>
      </c>
      <c r="M354" s="361">
        <v>0</v>
      </c>
      <c r="N354" s="361">
        <v>0</v>
      </c>
      <c r="O354" s="29">
        <v>0</v>
      </c>
      <c r="P354" s="361">
        <f t="shared" si="182"/>
        <v>0</v>
      </c>
      <c r="Q354" s="361">
        <v>0</v>
      </c>
      <c r="R354" s="361">
        <v>0</v>
      </c>
      <c r="S354" s="362">
        <v>0</v>
      </c>
      <c r="T354" s="29">
        <v>0</v>
      </c>
      <c r="U354" s="361">
        <f t="shared" si="183"/>
        <v>0</v>
      </c>
      <c r="V354" s="361">
        <v>0</v>
      </c>
      <c r="W354" s="361">
        <v>0</v>
      </c>
      <c r="X354" s="362">
        <v>0</v>
      </c>
      <c r="Y354" s="29">
        <f>ROUND(1.885,2)</f>
        <v>1.89</v>
      </c>
      <c r="Z354" s="361">
        <f t="shared" si="184"/>
        <v>471</v>
      </c>
      <c r="AA354" s="361">
        <v>0</v>
      </c>
      <c r="AB354" s="361">
        <v>0</v>
      </c>
      <c r="AC354" s="362">
        <v>471</v>
      </c>
      <c r="AD354" s="7"/>
    </row>
    <row r="355" spans="1:30" s="8" customFormat="1" ht="25.9" customHeight="1" outlineLevel="1" x14ac:dyDescent="0.2">
      <c r="A355" s="352" t="s">
        <v>559</v>
      </c>
      <c r="B355" s="363" t="s">
        <v>446</v>
      </c>
      <c r="C355" s="286">
        <f t="shared" si="180"/>
        <v>3</v>
      </c>
      <c r="D355" s="361">
        <f t="shared" si="178"/>
        <v>750</v>
      </c>
      <c r="E355" s="311">
        <v>0</v>
      </c>
      <c r="F355" s="260">
        <f t="shared" si="181"/>
        <v>0</v>
      </c>
      <c r="G355" s="361">
        <v>0</v>
      </c>
      <c r="H355" s="361">
        <v>0</v>
      </c>
      <c r="I355" s="361">
        <v>0</v>
      </c>
      <c r="J355" s="311">
        <v>0</v>
      </c>
      <c r="K355" s="260">
        <f t="shared" si="179"/>
        <v>0</v>
      </c>
      <c r="L355" s="361">
        <v>0</v>
      </c>
      <c r="M355" s="361">
        <v>0</v>
      </c>
      <c r="N355" s="361">
        <v>0</v>
      </c>
      <c r="O355" s="29">
        <v>0</v>
      </c>
      <c r="P355" s="361">
        <f t="shared" si="182"/>
        <v>0</v>
      </c>
      <c r="Q355" s="361">
        <v>0</v>
      </c>
      <c r="R355" s="361">
        <v>0</v>
      </c>
      <c r="S355" s="362">
        <v>0</v>
      </c>
      <c r="T355" s="29">
        <v>0</v>
      </c>
      <c r="U355" s="361">
        <f t="shared" si="183"/>
        <v>0</v>
      </c>
      <c r="V355" s="361">
        <v>0</v>
      </c>
      <c r="W355" s="361">
        <v>0</v>
      </c>
      <c r="X355" s="362">
        <v>0</v>
      </c>
      <c r="Y355" s="29">
        <v>3</v>
      </c>
      <c r="Z355" s="361">
        <f t="shared" si="184"/>
        <v>750</v>
      </c>
      <c r="AA355" s="361">
        <v>0</v>
      </c>
      <c r="AB355" s="361">
        <v>0</v>
      </c>
      <c r="AC355" s="362">
        <v>750</v>
      </c>
      <c r="AD355" s="7"/>
    </row>
    <row r="356" spans="1:30" s="8" customFormat="1" ht="29.45" customHeight="1" outlineLevel="1" x14ac:dyDescent="0.2">
      <c r="A356" s="352" t="s">
        <v>560</v>
      </c>
      <c r="B356" s="363" t="s">
        <v>447</v>
      </c>
      <c r="C356" s="286">
        <f t="shared" si="180"/>
        <v>2.75</v>
      </c>
      <c r="D356" s="361">
        <f t="shared" si="178"/>
        <v>688</v>
      </c>
      <c r="E356" s="311">
        <v>0</v>
      </c>
      <c r="F356" s="260">
        <f t="shared" si="181"/>
        <v>0</v>
      </c>
      <c r="G356" s="361">
        <v>0</v>
      </c>
      <c r="H356" s="361">
        <v>0</v>
      </c>
      <c r="I356" s="361">
        <v>0</v>
      </c>
      <c r="J356" s="311">
        <v>0</v>
      </c>
      <c r="K356" s="260">
        <f t="shared" si="179"/>
        <v>0</v>
      </c>
      <c r="L356" s="361">
        <v>0</v>
      </c>
      <c r="M356" s="361">
        <v>0</v>
      </c>
      <c r="N356" s="361">
        <v>0</v>
      </c>
      <c r="O356" s="29">
        <v>0</v>
      </c>
      <c r="P356" s="361">
        <f t="shared" si="182"/>
        <v>0</v>
      </c>
      <c r="Q356" s="361">
        <v>0</v>
      </c>
      <c r="R356" s="361">
        <v>0</v>
      </c>
      <c r="S356" s="362">
        <v>0</v>
      </c>
      <c r="T356" s="29">
        <v>0</v>
      </c>
      <c r="U356" s="361">
        <f t="shared" si="183"/>
        <v>0</v>
      </c>
      <c r="V356" s="361">
        <v>0</v>
      </c>
      <c r="W356" s="361">
        <v>0</v>
      </c>
      <c r="X356" s="362">
        <v>0</v>
      </c>
      <c r="Y356" s="29">
        <v>2.75</v>
      </c>
      <c r="Z356" s="361">
        <f t="shared" si="184"/>
        <v>688</v>
      </c>
      <c r="AA356" s="361">
        <v>0</v>
      </c>
      <c r="AB356" s="361">
        <v>0</v>
      </c>
      <c r="AC356" s="362">
        <v>688</v>
      </c>
      <c r="AD356" s="7"/>
    </row>
    <row r="357" spans="1:30" s="8" customFormat="1" ht="25.15" customHeight="1" outlineLevel="1" x14ac:dyDescent="0.2">
      <c r="A357" s="352" t="s">
        <v>561</v>
      </c>
      <c r="B357" s="363" t="s">
        <v>448</v>
      </c>
      <c r="C357" s="286">
        <f t="shared" si="180"/>
        <v>1.88</v>
      </c>
      <c r="D357" s="361">
        <f t="shared" si="178"/>
        <v>469</v>
      </c>
      <c r="E357" s="311">
        <v>0</v>
      </c>
      <c r="F357" s="260">
        <f t="shared" si="181"/>
        <v>0</v>
      </c>
      <c r="G357" s="361">
        <v>0</v>
      </c>
      <c r="H357" s="361">
        <v>0</v>
      </c>
      <c r="I357" s="361">
        <v>0</v>
      </c>
      <c r="J357" s="311">
        <v>0</v>
      </c>
      <c r="K357" s="260">
        <f t="shared" si="179"/>
        <v>0</v>
      </c>
      <c r="L357" s="361">
        <v>0</v>
      </c>
      <c r="M357" s="361">
        <v>0</v>
      </c>
      <c r="N357" s="361">
        <v>0</v>
      </c>
      <c r="O357" s="29">
        <v>0</v>
      </c>
      <c r="P357" s="361">
        <f t="shared" si="182"/>
        <v>0</v>
      </c>
      <c r="Q357" s="361">
        <v>0</v>
      </c>
      <c r="R357" s="361">
        <v>0</v>
      </c>
      <c r="S357" s="362">
        <v>0</v>
      </c>
      <c r="T357" s="29">
        <v>0</v>
      </c>
      <c r="U357" s="361">
        <f t="shared" si="183"/>
        <v>0</v>
      </c>
      <c r="V357" s="361">
        <v>0</v>
      </c>
      <c r="W357" s="361">
        <v>0</v>
      </c>
      <c r="X357" s="362">
        <v>0</v>
      </c>
      <c r="Y357" s="29">
        <f>ROUND(1.875,2)</f>
        <v>1.88</v>
      </c>
      <c r="Z357" s="361">
        <f t="shared" si="184"/>
        <v>469</v>
      </c>
      <c r="AA357" s="361">
        <v>0</v>
      </c>
      <c r="AB357" s="361">
        <v>0</v>
      </c>
      <c r="AC357" s="362">
        <v>469</v>
      </c>
      <c r="AD357" s="7"/>
    </row>
    <row r="358" spans="1:30" s="8" customFormat="1" ht="27" customHeight="1" outlineLevel="1" x14ac:dyDescent="0.2">
      <c r="A358" s="352" t="s">
        <v>562</v>
      </c>
      <c r="B358" s="363" t="s">
        <v>449</v>
      </c>
      <c r="C358" s="286">
        <f t="shared" si="180"/>
        <v>3.08</v>
      </c>
      <c r="D358" s="361">
        <f t="shared" si="178"/>
        <v>769</v>
      </c>
      <c r="E358" s="311">
        <v>0</v>
      </c>
      <c r="F358" s="260">
        <f t="shared" si="181"/>
        <v>0</v>
      </c>
      <c r="G358" s="361">
        <v>0</v>
      </c>
      <c r="H358" s="361">
        <v>0</v>
      </c>
      <c r="I358" s="361">
        <v>0</v>
      </c>
      <c r="J358" s="311">
        <v>0</v>
      </c>
      <c r="K358" s="260">
        <f t="shared" si="179"/>
        <v>0</v>
      </c>
      <c r="L358" s="361">
        <v>0</v>
      </c>
      <c r="M358" s="361">
        <v>0</v>
      </c>
      <c r="N358" s="361">
        <v>0</v>
      </c>
      <c r="O358" s="29">
        <v>0</v>
      </c>
      <c r="P358" s="361">
        <f t="shared" si="182"/>
        <v>0</v>
      </c>
      <c r="Q358" s="361">
        <v>0</v>
      </c>
      <c r="R358" s="361">
        <v>0</v>
      </c>
      <c r="S358" s="362">
        <v>0</v>
      </c>
      <c r="T358" s="29">
        <v>0</v>
      </c>
      <c r="U358" s="361">
        <f t="shared" si="183"/>
        <v>0</v>
      </c>
      <c r="V358" s="361">
        <v>0</v>
      </c>
      <c r="W358" s="361">
        <v>0</v>
      </c>
      <c r="X358" s="362">
        <v>0</v>
      </c>
      <c r="Y358" s="29">
        <f>ROUND(3.075,2)</f>
        <v>3.08</v>
      </c>
      <c r="Z358" s="361">
        <f t="shared" si="184"/>
        <v>769</v>
      </c>
      <c r="AA358" s="361">
        <v>0</v>
      </c>
      <c r="AB358" s="361">
        <v>0</v>
      </c>
      <c r="AC358" s="362">
        <v>769</v>
      </c>
      <c r="AD358" s="7"/>
    </row>
    <row r="359" spans="1:30" s="8" customFormat="1" ht="25.15" customHeight="1" outlineLevel="1" x14ac:dyDescent="0.2">
      <c r="A359" s="352" t="s">
        <v>563</v>
      </c>
      <c r="B359" s="363" t="s">
        <v>318</v>
      </c>
      <c r="C359" s="286">
        <f t="shared" si="180"/>
        <v>0.57999999999999996</v>
      </c>
      <c r="D359" s="361">
        <f t="shared" si="178"/>
        <v>144</v>
      </c>
      <c r="E359" s="311">
        <v>0</v>
      </c>
      <c r="F359" s="260">
        <f t="shared" si="181"/>
        <v>0</v>
      </c>
      <c r="G359" s="361">
        <v>0</v>
      </c>
      <c r="H359" s="361">
        <v>0</v>
      </c>
      <c r="I359" s="361">
        <v>0</v>
      </c>
      <c r="J359" s="311">
        <v>0</v>
      </c>
      <c r="K359" s="260">
        <f t="shared" si="179"/>
        <v>0</v>
      </c>
      <c r="L359" s="361">
        <v>0</v>
      </c>
      <c r="M359" s="361">
        <v>0</v>
      </c>
      <c r="N359" s="361">
        <v>0</v>
      </c>
      <c r="O359" s="29">
        <v>0</v>
      </c>
      <c r="P359" s="361">
        <f t="shared" si="182"/>
        <v>0</v>
      </c>
      <c r="Q359" s="361">
        <v>0</v>
      </c>
      <c r="R359" s="361">
        <v>0</v>
      </c>
      <c r="S359" s="362">
        <v>0</v>
      </c>
      <c r="T359" s="29">
        <v>0</v>
      </c>
      <c r="U359" s="361">
        <f t="shared" si="183"/>
        <v>0</v>
      </c>
      <c r="V359" s="361">
        <v>0</v>
      </c>
      <c r="W359" s="361">
        <v>0</v>
      </c>
      <c r="X359" s="362">
        <v>0</v>
      </c>
      <c r="Y359" s="29">
        <f>ROUND(0.575,2)</f>
        <v>0.57999999999999996</v>
      </c>
      <c r="Z359" s="361">
        <f t="shared" si="184"/>
        <v>144</v>
      </c>
      <c r="AA359" s="361">
        <v>0</v>
      </c>
      <c r="AB359" s="361">
        <v>0</v>
      </c>
      <c r="AC359" s="362">
        <v>144</v>
      </c>
      <c r="AD359" s="7"/>
    </row>
    <row r="360" spans="1:30" s="8" customFormat="1" ht="22.9" customHeight="1" outlineLevel="1" x14ac:dyDescent="0.2">
      <c r="A360" s="352" t="s">
        <v>564</v>
      </c>
      <c r="B360" s="363" t="s">
        <v>319</v>
      </c>
      <c r="C360" s="286">
        <f t="shared" si="180"/>
        <v>0.74</v>
      </c>
      <c r="D360" s="361">
        <f t="shared" si="178"/>
        <v>184</v>
      </c>
      <c r="E360" s="311">
        <v>0</v>
      </c>
      <c r="F360" s="260">
        <f t="shared" si="181"/>
        <v>0</v>
      </c>
      <c r="G360" s="361">
        <v>0</v>
      </c>
      <c r="H360" s="361">
        <v>0</v>
      </c>
      <c r="I360" s="361">
        <v>0</v>
      </c>
      <c r="J360" s="311">
        <v>0</v>
      </c>
      <c r="K360" s="260">
        <f t="shared" si="179"/>
        <v>0</v>
      </c>
      <c r="L360" s="361">
        <v>0</v>
      </c>
      <c r="M360" s="361">
        <v>0</v>
      </c>
      <c r="N360" s="361">
        <v>0</v>
      </c>
      <c r="O360" s="29">
        <v>0</v>
      </c>
      <c r="P360" s="361">
        <f t="shared" si="182"/>
        <v>0</v>
      </c>
      <c r="Q360" s="361">
        <v>0</v>
      </c>
      <c r="R360" s="361">
        <v>0</v>
      </c>
      <c r="S360" s="362">
        <v>0</v>
      </c>
      <c r="T360" s="29">
        <v>0</v>
      </c>
      <c r="U360" s="361">
        <f t="shared" si="183"/>
        <v>0</v>
      </c>
      <c r="V360" s="361">
        <v>0</v>
      </c>
      <c r="W360" s="361">
        <v>0</v>
      </c>
      <c r="X360" s="362">
        <v>0</v>
      </c>
      <c r="Y360" s="29">
        <f>ROUND(0.735,2)</f>
        <v>0.74</v>
      </c>
      <c r="Z360" s="361">
        <f t="shared" si="184"/>
        <v>184</v>
      </c>
      <c r="AA360" s="361">
        <v>0</v>
      </c>
      <c r="AB360" s="361">
        <v>0</v>
      </c>
      <c r="AC360" s="362">
        <v>184</v>
      </c>
      <c r="AD360" s="7"/>
    </row>
    <row r="361" spans="1:30" s="8" customFormat="1" ht="31.15" customHeight="1" outlineLevel="1" x14ac:dyDescent="0.2">
      <c r="A361" s="352" t="s">
        <v>565</v>
      </c>
      <c r="B361" s="363" t="s">
        <v>320</v>
      </c>
      <c r="C361" s="286">
        <f t="shared" si="180"/>
        <v>0.99</v>
      </c>
      <c r="D361" s="361">
        <f t="shared" si="178"/>
        <v>246</v>
      </c>
      <c r="E361" s="311">
        <v>0</v>
      </c>
      <c r="F361" s="260">
        <f t="shared" si="181"/>
        <v>0</v>
      </c>
      <c r="G361" s="361">
        <v>0</v>
      </c>
      <c r="H361" s="361">
        <v>0</v>
      </c>
      <c r="I361" s="361">
        <v>0</v>
      </c>
      <c r="J361" s="311">
        <v>0</v>
      </c>
      <c r="K361" s="260">
        <f t="shared" si="179"/>
        <v>0</v>
      </c>
      <c r="L361" s="361">
        <v>0</v>
      </c>
      <c r="M361" s="361">
        <v>0</v>
      </c>
      <c r="N361" s="361">
        <v>0</v>
      </c>
      <c r="O361" s="29">
        <v>0</v>
      </c>
      <c r="P361" s="361">
        <f t="shared" si="182"/>
        <v>0</v>
      </c>
      <c r="Q361" s="361">
        <v>0</v>
      </c>
      <c r="R361" s="361">
        <v>0</v>
      </c>
      <c r="S361" s="362">
        <v>0</v>
      </c>
      <c r="T361" s="29">
        <v>0</v>
      </c>
      <c r="U361" s="361">
        <f t="shared" si="183"/>
        <v>0</v>
      </c>
      <c r="V361" s="361">
        <v>0</v>
      </c>
      <c r="W361" s="361">
        <v>0</v>
      </c>
      <c r="X361" s="362">
        <v>0</v>
      </c>
      <c r="Y361" s="29">
        <f>ROUND(0.985,2)</f>
        <v>0.99</v>
      </c>
      <c r="Z361" s="361">
        <f t="shared" si="184"/>
        <v>246</v>
      </c>
      <c r="AA361" s="361">
        <v>0</v>
      </c>
      <c r="AB361" s="361">
        <v>0</v>
      </c>
      <c r="AC361" s="362">
        <v>246</v>
      </c>
      <c r="AD361" s="7"/>
    </row>
    <row r="362" spans="1:30" s="8" customFormat="1" ht="31.15" customHeight="1" outlineLevel="1" x14ac:dyDescent="0.2">
      <c r="A362" s="352" t="s">
        <v>566</v>
      </c>
      <c r="B362" s="363" t="s">
        <v>321</v>
      </c>
      <c r="C362" s="286">
        <f t="shared" si="180"/>
        <v>0.88</v>
      </c>
      <c r="D362" s="361">
        <f t="shared" si="178"/>
        <v>219</v>
      </c>
      <c r="E362" s="311">
        <v>0</v>
      </c>
      <c r="F362" s="260">
        <f t="shared" si="181"/>
        <v>0</v>
      </c>
      <c r="G362" s="361">
        <v>0</v>
      </c>
      <c r="H362" s="361">
        <v>0</v>
      </c>
      <c r="I362" s="361">
        <v>0</v>
      </c>
      <c r="J362" s="311">
        <v>0</v>
      </c>
      <c r="K362" s="260">
        <f t="shared" si="179"/>
        <v>0</v>
      </c>
      <c r="L362" s="361">
        <v>0</v>
      </c>
      <c r="M362" s="361">
        <v>0</v>
      </c>
      <c r="N362" s="361">
        <v>0</v>
      </c>
      <c r="O362" s="29">
        <v>0</v>
      </c>
      <c r="P362" s="361">
        <f t="shared" si="182"/>
        <v>0</v>
      </c>
      <c r="Q362" s="361">
        <v>0</v>
      </c>
      <c r="R362" s="361">
        <v>0</v>
      </c>
      <c r="S362" s="362">
        <v>0</v>
      </c>
      <c r="T362" s="29">
        <v>0</v>
      </c>
      <c r="U362" s="361">
        <f t="shared" si="183"/>
        <v>0</v>
      </c>
      <c r="V362" s="361">
        <v>0</v>
      </c>
      <c r="W362" s="361">
        <v>0</v>
      </c>
      <c r="X362" s="362">
        <v>0</v>
      </c>
      <c r="Y362" s="29">
        <f>ROUND(0.875,2)</f>
        <v>0.88</v>
      </c>
      <c r="Z362" s="361">
        <f t="shared" si="184"/>
        <v>219</v>
      </c>
      <c r="AA362" s="361">
        <v>0</v>
      </c>
      <c r="AB362" s="361">
        <v>0</v>
      </c>
      <c r="AC362" s="362">
        <v>219</v>
      </c>
      <c r="AD362" s="7"/>
    </row>
    <row r="363" spans="1:30" s="8" customFormat="1" ht="31.9" customHeight="1" outlineLevel="1" x14ac:dyDescent="0.2">
      <c r="A363" s="352" t="s">
        <v>567</v>
      </c>
      <c r="B363" s="363" t="s">
        <v>322</v>
      </c>
      <c r="C363" s="286">
        <f t="shared" si="180"/>
        <v>1.1200000000000001</v>
      </c>
      <c r="D363" s="361">
        <f t="shared" si="178"/>
        <v>280</v>
      </c>
      <c r="E363" s="311">
        <v>0</v>
      </c>
      <c r="F363" s="260">
        <f t="shared" si="181"/>
        <v>0</v>
      </c>
      <c r="G363" s="361">
        <v>0</v>
      </c>
      <c r="H363" s="361">
        <v>0</v>
      </c>
      <c r="I363" s="361">
        <v>0</v>
      </c>
      <c r="J363" s="311">
        <v>0</v>
      </c>
      <c r="K363" s="260">
        <f t="shared" si="179"/>
        <v>0</v>
      </c>
      <c r="L363" s="361">
        <v>0</v>
      </c>
      <c r="M363" s="361">
        <v>0</v>
      </c>
      <c r="N363" s="361">
        <v>0</v>
      </c>
      <c r="O363" s="29">
        <v>0</v>
      </c>
      <c r="P363" s="361">
        <f t="shared" si="182"/>
        <v>0</v>
      </c>
      <c r="Q363" s="361">
        <v>0</v>
      </c>
      <c r="R363" s="361">
        <v>0</v>
      </c>
      <c r="S363" s="362">
        <v>0</v>
      </c>
      <c r="T363" s="29">
        <v>0</v>
      </c>
      <c r="U363" s="361">
        <f t="shared" si="183"/>
        <v>0</v>
      </c>
      <c r="V363" s="361">
        <v>0</v>
      </c>
      <c r="W363" s="361">
        <v>0</v>
      </c>
      <c r="X363" s="362">
        <v>0</v>
      </c>
      <c r="Y363" s="29">
        <v>1.1200000000000001</v>
      </c>
      <c r="Z363" s="361">
        <f t="shared" si="184"/>
        <v>280</v>
      </c>
      <c r="AA363" s="361">
        <v>0</v>
      </c>
      <c r="AB363" s="361">
        <v>0</v>
      </c>
      <c r="AC363" s="362">
        <v>280</v>
      </c>
      <c r="AD363" s="7"/>
    </row>
    <row r="364" spans="1:30" s="8" customFormat="1" ht="33" customHeight="1" outlineLevel="1" x14ac:dyDescent="0.2">
      <c r="A364" s="352" t="s">
        <v>568</v>
      </c>
      <c r="B364" s="363" t="s">
        <v>323</v>
      </c>
      <c r="C364" s="286">
        <f t="shared" si="180"/>
        <v>1.03</v>
      </c>
      <c r="D364" s="361">
        <f t="shared" si="178"/>
        <v>258</v>
      </c>
      <c r="E364" s="311">
        <v>0</v>
      </c>
      <c r="F364" s="260">
        <f t="shared" si="181"/>
        <v>0</v>
      </c>
      <c r="G364" s="361">
        <v>0</v>
      </c>
      <c r="H364" s="361">
        <v>0</v>
      </c>
      <c r="I364" s="361">
        <v>0</v>
      </c>
      <c r="J364" s="311">
        <v>0</v>
      </c>
      <c r="K364" s="260">
        <f t="shared" si="179"/>
        <v>0</v>
      </c>
      <c r="L364" s="361">
        <v>0</v>
      </c>
      <c r="M364" s="361">
        <v>0</v>
      </c>
      <c r="N364" s="361">
        <v>0</v>
      </c>
      <c r="O364" s="29">
        <v>0</v>
      </c>
      <c r="P364" s="361">
        <f t="shared" si="182"/>
        <v>0</v>
      </c>
      <c r="Q364" s="361">
        <v>0</v>
      </c>
      <c r="R364" s="361">
        <v>0</v>
      </c>
      <c r="S364" s="362">
        <v>0</v>
      </c>
      <c r="T364" s="29">
        <v>0</v>
      </c>
      <c r="U364" s="361">
        <f t="shared" si="183"/>
        <v>0</v>
      </c>
      <c r="V364" s="361">
        <v>0</v>
      </c>
      <c r="W364" s="361">
        <v>0</v>
      </c>
      <c r="X364" s="362">
        <v>0</v>
      </c>
      <c r="Y364" s="29">
        <v>1.03</v>
      </c>
      <c r="Z364" s="361">
        <f t="shared" si="184"/>
        <v>258</v>
      </c>
      <c r="AA364" s="361">
        <v>0</v>
      </c>
      <c r="AB364" s="361">
        <v>0</v>
      </c>
      <c r="AC364" s="362">
        <v>258</v>
      </c>
      <c r="AD364" s="7"/>
    </row>
    <row r="365" spans="1:30" s="8" customFormat="1" ht="31.15" customHeight="1" outlineLevel="1" x14ac:dyDescent="0.2">
      <c r="A365" s="352" t="s">
        <v>569</v>
      </c>
      <c r="B365" s="363" t="s">
        <v>324</v>
      </c>
      <c r="C365" s="286">
        <f t="shared" si="180"/>
        <v>1.9100000000000001</v>
      </c>
      <c r="D365" s="361">
        <f t="shared" si="178"/>
        <v>478</v>
      </c>
      <c r="E365" s="311">
        <v>0</v>
      </c>
      <c r="F365" s="260">
        <f t="shared" si="181"/>
        <v>0</v>
      </c>
      <c r="G365" s="361">
        <v>0</v>
      </c>
      <c r="H365" s="361">
        <v>0</v>
      </c>
      <c r="I365" s="361">
        <v>0</v>
      </c>
      <c r="J365" s="311">
        <v>0</v>
      </c>
      <c r="K365" s="260">
        <f t="shared" si="179"/>
        <v>0</v>
      </c>
      <c r="L365" s="361">
        <v>0</v>
      </c>
      <c r="M365" s="361">
        <v>0</v>
      </c>
      <c r="N365" s="361">
        <v>0</v>
      </c>
      <c r="O365" s="29">
        <v>0</v>
      </c>
      <c r="P365" s="361">
        <f t="shared" si="182"/>
        <v>0</v>
      </c>
      <c r="Q365" s="361">
        <v>0</v>
      </c>
      <c r="R365" s="361">
        <v>0</v>
      </c>
      <c r="S365" s="362">
        <v>0</v>
      </c>
      <c r="T365" s="29">
        <v>0</v>
      </c>
      <c r="U365" s="361">
        <f t="shared" si="183"/>
        <v>0</v>
      </c>
      <c r="V365" s="361">
        <v>0</v>
      </c>
      <c r="W365" s="361">
        <v>0</v>
      </c>
      <c r="X365" s="362">
        <v>0</v>
      </c>
      <c r="Y365" s="29">
        <v>1.9100000000000001</v>
      </c>
      <c r="Z365" s="361">
        <f t="shared" si="184"/>
        <v>478</v>
      </c>
      <c r="AA365" s="361">
        <v>0</v>
      </c>
      <c r="AB365" s="361">
        <v>0</v>
      </c>
      <c r="AC365" s="362">
        <v>478</v>
      </c>
      <c r="AD365" s="7"/>
    </row>
    <row r="366" spans="1:30" s="8" customFormat="1" ht="31.15" customHeight="1" outlineLevel="1" x14ac:dyDescent="0.2">
      <c r="A366" s="352" t="s">
        <v>570</v>
      </c>
      <c r="B366" s="363" t="s">
        <v>325</v>
      </c>
      <c r="C366" s="286">
        <f t="shared" si="180"/>
        <v>0.99</v>
      </c>
      <c r="D366" s="361">
        <f t="shared" si="178"/>
        <v>246</v>
      </c>
      <c r="E366" s="311">
        <v>0</v>
      </c>
      <c r="F366" s="260">
        <f t="shared" si="181"/>
        <v>0</v>
      </c>
      <c r="G366" s="361">
        <v>0</v>
      </c>
      <c r="H366" s="361">
        <v>0</v>
      </c>
      <c r="I366" s="361">
        <v>0</v>
      </c>
      <c r="J366" s="311">
        <v>0</v>
      </c>
      <c r="K366" s="260">
        <f t="shared" si="179"/>
        <v>0</v>
      </c>
      <c r="L366" s="361">
        <v>0</v>
      </c>
      <c r="M366" s="361">
        <v>0</v>
      </c>
      <c r="N366" s="361">
        <v>0</v>
      </c>
      <c r="O366" s="29">
        <v>0</v>
      </c>
      <c r="P366" s="361">
        <f t="shared" si="182"/>
        <v>0</v>
      </c>
      <c r="Q366" s="361">
        <v>0</v>
      </c>
      <c r="R366" s="361">
        <v>0</v>
      </c>
      <c r="S366" s="362">
        <v>0</v>
      </c>
      <c r="T366" s="29">
        <v>0</v>
      </c>
      <c r="U366" s="361">
        <f t="shared" si="183"/>
        <v>0</v>
      </c>
      <c r="V366" s="361">
        <v>0</v>
      </c>
      <c r="W366" s="361">
        <v>0</v>
      </c>
      <c r="X366" s="362">
        <v>0</v>
      </c>
      <c r="Y366" s="29">
        <f>ROUND(0.985,2)</f>
        <v>0.99</v>
      </c>
      <c r="Z366" s="361">
        <f t="shared" si="184"/>
        <v>246</v>
      </c>
      <c r="AA366" s="361">
        <v>0</v>
      </c>
      <c r="AB366" s="361">
        <v>0</v>
      </c>
      <c r="AC366" s="362">
        <v>246</v>
      </c>
      <c r="AD366" s="7"/>
    </row>
    <row r="367" spans="1:30" s="8" customFormat="1" ht="30" customHeight="1" outlineLevel="1" x14ac:dyDescent="0.2">
      <c r="A367" s="352" t="s">
        <v>571</v>
      </c>
      <c r="B367" s="363" t="s">
        <v>326</v>
      </c>
      <c r="C367" s="286">
        <f t="shared" si="180"/>
        <v>0.83</v>
      </c>
      <c r="D367" s="361">
        <f t="shared" si="178"/>
        <v>206</v>
      </c>
      <c r="E367" s="311">
        <v>0</v>
      </c>
      <c r="F367" s="260">
        <f t="shared" si="181"/>
        <v>0</v>
      </c>
      <c r="G367" s="361">
        <v>0</v>
      </c>
      <c r="H367" s="361">
        <v>0</v>
      </c>
      <c r="I367" s="361">
        <v>0</v>
      </c>
      <c r="J367" s="311">
        <v>0</v>
      </c>
      <c r="K367" s="260">
        <f t="shared" si="179"/>
        <v>0</v>
      </c>
      <c r="L367" s="361">
        <v>0</v>
      </c>
      <c r="M367" s="361">
        <v>0</v>
      </c>
      <c r="N367" s="361">
        <v>0</v>
      </c>
      <c r="O367" s="29">
        <v>0</v>
      </c>
      <c r="P367" s="361">
        <f t="shared" si="182"/>
        <v>0</v>
      </c>
      <c r="Q367" s="361">
        <v>0</v>
      </c>
      <c r="R367" s="361">
        <v>0</v>
      </c>
      <c r="S367" s="362">
        <v>0</v>
      </c>
      <c r="T367" s="29">
        <v>0</v>
      </c>
      <c r="U367" s="361">
        <f t="shared" si="183"/>
        <v>0</v>
      </c>
      <c r="V367" s="361">
        <v>0</v>
      </c>
      <c r="W367" s="361">
        <v>0</v>
      </c>
      <c r="X367" s="362">
        <v>0</v>
      </c>
      <c r="Y367" s="29">
        <f>ROUND(0.825,2)</f>
        <v>0.83</v>
      </c>
      <c r="Z367" s="361">
        <f t="shared" si="184"/>
        <v>206</v>
      </c>
      <c r="AA367" s="361">
        <v>0</v>
      </c>
      <c r="AB367" s="361">
        <v>0</v>
      </c>
      <c r="AC367" s="362">
        <v>206</v>
      </c>
      <c r="AD367" s="7"/>
    </row>
    <row r="368" spans="1:30" s="8" customFormat="1" ht="22.15" customHeight="1" outlineLevel="1" x14ac:dyDescent="0.2">
      <c r="A368" s="352" t="s">
        <v>572</v>
      </c>
      <c r="B368" s="363" t="s">
        <v>327</v>
      </c>
      <c r="C368" s="286">
        <f t="shared" si="180"/>
        <v>0.85000000000000009</v>
      </c>
      <c r="D368" s="361">
        <f t="shared" si="178"/>
        <v>213</v>
      </c>
      <c r="E368" s="311">
        <v>0</v>
      </c>
      <c r="F368" s="260">
        <f t="shared" si="181"/>
        <v>0</v>
      </c>
      <c r="G368" s="361">
        <v>0</v>
      </c>
      <c r="H368" s="361">
        <v>0</v>
      </c>
      <c r="I368" s="361">
        <v>0</v>
      </c>
      <c r="J368" s="311">
        <v>0</v>
      </c>
      <c r="K368" s="260">
        <f t="shared" si="179"/>
        <v>0</v>
      </c>
      <c r="L368" s="361">
        <v>0</v>
      </c>
      <c r="M368" s="361">
        <v>0</v>
      </c>
      <c r="N368" s="361">
        <v>0</v>
      </c>
      <c r="O368" s="29">
        <v>0</v>
      </c>
      <c r="P368" s="361">
        <f t="shared" si="182"/>
        <v>0</v>
      </c>
      <c r="Q368" s="361">
        <v>0</v>
      </c>
      <c r="R368" s="361">
        <v>0</v>
      </c>
      <c r="S368" s="362">
        <v>0</v>
      </c>
      <c r="T368" s="29">
        <v>0</v>
      </c>
      <c r="U368" s="361">
        <f t="shared" si="183"/>
        <v>0</v>
      </c>
      <c r="V368" s="361">
        <v>0</v>
      </c>
      <c r="W368" s="361">
        <v>0</v>
      </c>
      <c r="X368" s="362">
        <v>0</v>
      </c>
      <c r="Y368" s="29">
        <v>0.85000000000000009</v>
      </c>
      <c r="Z368" s="361">
        <f t="shared" si="184"/>
        <v>213</v>
      </c>
      <c r="AA368" s="361">
        <v>0</v>
      </c>
      <c r="AB368" s="361">
        <v>0</v>
      </c>
      <c r="AC368" s="362">
        <v>213</v>
      </c>
      <c r="AD368" s="7"/>
    </row>
    <row r="369" spans="1:30" s="8" customFormat="1" ht="26.45" customHeight="1" outlineLevel="1" x14ac:dyDescent="0.2">
      <c r="A369" s="352" t="s">
        <v>573</v>
      </c>
      <c r="B369" s="363" t="s">
        <v>328</v>
      </c>
      <c r="C369" s="286">
        <f t="shared" si="180"/>
        <v>1.47</v>
      </c>
      <c r="D369" s="361">
        <f t="shared" si="178"/>
        <v>368</v>
      </c>
      <c r="E369" s="311">
        <v>0</v>
      </c>
      <c r="F369" s="260">
        <f t="shared" si="181"/>
        <v>0</v>
      </c>
      <c r="G369" s="361">
        <v>0</v>
      </c>
      <c r="H369" s="361">
        <v>0</v>
      </c>
      <c r="I369" s="361">
        <v>0</v>
      </c>
      <c r="J369" s="311">
        <v>0</v>
      </c>
      <c r="K369" s="260">
        <f t="shared" si="179"/>
        <v>0</v>
      </c>
      <c r="L369" s="361">
        <v>0</v>
      </c>
      <c r="M369" s="361">
        <v>0</v>
      </c>
      <c r="N369" s="361">
        <v>0</v>
      </c>
      <c r="O369" s="29">
        <v>0</v>
      </c>
      <c r="P369" s="361">
        <f t="shared" si="182"/>
        <v>0</v>
      </c>
      <c r="Q369" s="361">
        <v>0</v>
      </c>
      <c r="R369" s="361">
        <v>0</v>
      </c>
      <c r="S369" s="362">
        <v>0</v>
      </c>
      <c r="T369" s="29">
        <v>0</v>
      </c>
      <c r="U369" s="361">
        <f t="shared" si="183"/>
        <v>0</v>
      </c>
      <c r="V369" s="361">
        <v>0</v>
      </c>
      <c r="W369" s="361">
        <v>0</v>
      </c>
      <c r="X369" s="362">
        <v>0</v>
      </c>
      <c r="Y369" s="29">
        <v>1.47</v>
      </c>
      <c r="Z369" s="361">
        <f t="shared" si="184"/>
        <v>368</v>
      </c>
      <c r="AA369" s="361">
        <v>0</v>
      </c>
      <c r="AB369" s="361">
        <v>0</v>
      </c>
      <c r="AC369" s="362">
        <v>368</v>
      </c>
      <c r="AD369" s="7"/>
    </row>
    <row r="370" spans="1:30" s="8" customFormat="1" ht="25.9" customHeight="1" outlineLevel="1" x14ac:dyDescent="0.2">
      <c r="A370" s="352" t="s">
        <v>574</v>
      </c>
      <c r="B370" s="363" t="s">
        <v>329</v>
      </c>
      <c r="C370" s="286">
        <f t="shared" si="180"/>
        <v>1.82</v>
      </c>
      <c r="D370" s="361">
        <f t="shared" si="178"/>
        <v>454</v>
      </c>
      <c r="E370" s="311">
        <v>0</v>
      </c>
      <c r="F370" s="260">
        <f t="shared" si="181"/>
        <v>0</v>
      </c>
      <c r="G370" s="361">
        <v>0</v>
      </c>
      <c r="H370" s="361">
        <v>0</v>
      </c>
      <c r="I370" s="361">
        <v>0</v>
      </c>
      <c r="J370" s="311">
        <v>0</v>
      </c>
      <c r="K370" s="260">
        <f t="shared" si="179"/>
        <v>0</v>
      </c>
      <c r="L370" s="361">
        <v>0</v>
      </c>
      <c r="M370" s="361">
        <v>0</v>
      </c>
      <c r="N370" s="361">
        <v>0</v>
      </c>
      <c r="O370" s="29">
        <v>0</v>
      </c>
      <c r="P370" s="361">
        <f t="shared" si="182"/>
        <v>0</v>
      </c>
      <c r="Q370" s="361">
        <v>0</v>
      </c>
      <c r="R370" s="361">
        <v>0</v>
      </c>
      <c r="S370" s="362">
        <v>0</v>
      </c>
      <c r="T370" s="29">
        <v>0</v>
      </c>
      <c r="U370" s="361">
        <f t="shared" si="183"/>
        <v>0</v>
      </c>
      <c r="V370" s="361">
        <v>0</v>
      </c>
      <c r="W370" s="361">
        <v>0</v>
      </c>
      <c r="X370" s="362">
        <v>0</v>
      </c>
      <c r="Y370" s="29">
        <f>ROUND(1.815,2)</f>
        <v>1.82</v>
      </c>
      <c r="Z370" s="361">
        <f t="shared" si="184"/>
        <v>454</v>
      </c>
      <c r="AA370" s="361">
        <v>0</v>
      </c>
      <c r="AB370" s="361">
        <v>0</v>
      </c>
      <c r="AC370" s="362">
        <v>454</v>
      </c>
      <c r="AD370" s="7"/>
    </row>
    <row r="371" spans="1:30" s="8" customFormat="1" ht="24" customHeight="1" outlineLevel="1" x14ac:dyDescent="0.2">
      <c r="A371" s="352" t="s">
        <v>575</v>
      </c>
      <c r="B371" s="363" t="s">
        <v>330</v>
      </c>
      <c r="C371" s="286">
        <f t="shared" si="180"/>
        <v>1</v>
      </c>
      <c r="D371" s="361">
        <f t="shared" si="178"/>
        <v>250</v>
      </c>
      <c r="E371" s="311">
        <v>0</v>
      </c>
      <c r="F371" s="260">
        <f t="shared" si="181"/>
        <v>0</v>
      </c>
      <c r="G371" s="361">
        <v>0</v>
      </c>
      <c r="H371" s="361">
        <v>0</v>
      </c>
      <c r="I371" s="361">
        <v>0</v>
      </c>
      <c r="J371" s="311">
        <v>0</v>
      </c>
      <c r="K371" s="260">
        <f t="shared" si="179"/>
        <v>0</v>
      </c>
      <c r="L371" s="361">
        <v>0</v>
      </c>
      <c r="M371" s="361">
        <v>0</v>
      </c>
      <c r="N371" s="361">
        <v>0</v>
      </c>
      <c r="O371" s="29">
        <v>0</v>
      </c>
      <c r="P371" s="361">
        <f t="shared" si="182"/>
        <v>0</v>
      </c>
      <c r="Q371" s="361">
        <v>0</v>
      </c>
      <c r="R371" s="361">
        <v>0</v>
      </c>
      <c r="S371" s="362">
        <v>0</v>
      </c>
      <c r="T371" s="29">
        <v>0</v>
      </c>
      <c r="U371" s="361">
        <f t="shared" si="183"/>
        <v>0</v>
      </c>
      <c r="V371" s="361">
        <v>0</v>
      </c>
      <c r="W371" s="361">
        <v>0</v>
      </c>
      <c r="X371" s="362">
        <v>0</v>
      </c>
      <c r="Y371" s="29">
        <v>1</v>
      </c>
      <c r="Z371" s="361">
        <f t="shared" si="184"/>
        <v>250</v>
      </c>
      <c r="AA371" s="361">
        <v>0</v>
      </c>
      <c r="AB371" s="361">
        <v>0</v>
      </c>
      <c r="AC371" s="362">
        <v>250</v>
      </c>
      <c r="AD371" s="7"/>
    </row>
    <row r="372" spans="1:30" s="8" customFormat="1" ht="25.9" customHeight="1" outlineLevel="1" x14ac:dyDescent="0.2">
      <c r="A372" s="352" t="s">
        <v>576</v>
      </c>
      <c r="B372" s="363" t="s">
        <v>331</v>
      </c>
      <c r="C372" s="286">
        <f t="shared" si="180"/>
        <v>3.1</v>
      </c>
      <c r="D372" s="361">
        <f t="shared" si="178"/>
        <v>774</v>
      </c>
      <c r="E372" s="311">
        <v>0</v>
      </c>
      <c r="F372" s="260">
        <f t="shared" si="181"/>
        <v>0</v>
      </c>
      <c r="G372" s="361">
        <v>0</v>
      </c>
      <c r="H372" s="361">
        <v>0</v>
      </c>
      <c r="I372" s="361">
        <v>0</v>
      </c>
      <c r="J372" s="311">
        <v>0</v>
      </c>
      <c r="K372" s="260">
        <f t="shared" si="179"/>
        <v>0</v>
      </c>
      <c r="L372" s="361">
        <v>0</v>
      </c>
      <c r="M372" s="361">
        <v>0</v>
      </c>
      <c r="N372" s="361">
        <v>0</v>
      </c>
      <c r="O372" s="29">
        <v>0</v>
      </c>
      <c r="P372" s="361">
        <f t="shared" si="182"/>
        <v>0</v>
      </c>
      <c r="Q372" s="361">
        <v>0</v>
      </c>
      <c r="R372" s="361">
        <v>0</v>
      </c>
      <c r="S372" s="362">
        <v>0</v>
      </c>
      <c r="T372" s="29">
        <v>0</v>
      </c>
      <c r="U372" s="361">
        <f t="shared" si="183"/>
        <v>0</v>
      </c>
      <c r="V372" s="361">
        <v>0</v>
      </c>
      <c r="W372" s="361">
        <v>0</v>
      </c>
      <c r="X372" s="362">
        <v>0</v>
      </c>
      <c r="Y372" s="29">
        <f>ROUND(3.095,2)</f>
        <v>3.1</v>
      </c>
      <c r="Z372" s="361">
        <f t="shared" si="184"/>
        <v>774</v>
      </c>
      <c r="AA372" s="361">
        <v>0</v>
      </c>
      <c r="AB372" s="361">
        <v>0</v>
      </c>
      <c r="AC372" s="362">
        <v>774</v>
      </c>
      <c r="AD372" s="7"/>
    </row>
    <row r="373" spans="1:30" s="8" customFormat="1" ht="28.15" customHeight="1" outlineLevel="1" x14ac:dyDescent="0.2">
      <c r="A373" s="352" t="s">
        <v>577</v>
      </c>
      <c r="B373" s="363" t="s">
        <v>332</v>
      </c>
      <c r="C373" s="286">
        <f t="shared" si="180"/>
        <v>2.16</v>
      </c>
      <c r="D373" s="361">
        <f t="shared" si="178"/>
        <v>540</v>
      </c>
      <c r="E373" s="311">
        <v>0</v>
      </c>
      <c r="F373" s="260">
        <f t="shared" si="181"/>
        <v>0</v>
      </c>
      <c r="G373" s="361">
        <v>0</v>
      </c>
      <c r="H373" s="361">
        <v>0</v>
      </c>
      <c r="I373" s="361">
        <v>0</v>
      </c>
      <c r="J373" s="311">
        <v>0</v>
      </c>
      <c r="K373" s="260">
        <f t="shared" si="179"/>
        <v>0</v>
      </c>
      <c r="L373" s="361">
        <v>0</v>
      </c>
      <c r="M373" s="361">
        <v>0</v>
      </c>
      <c r="N373" s="361">
        <v>0</v>
      </c>
      <c r="O373" s="29">
        <v>0</v>
      </c>
      <c r="P373" s="361">
        <f t="shared" si="182"/>
        <v>0</v>
      </c>
      <c r="Q373" s="361">
        <v>0</v>
      </c>
      <c r="R373" s="361">
        <v>0</v>
      </c>
      <c r="S373" s="362">
        <v>0</v>
      </c>
      <c r="T373" s="29">
        <v>0</v>
      </c>
      <c r="U373" s="361">
        <f t="shared" si="183"/>
        <v>0</v>
      </c>
      <c r="V373" s="361">
        <v>0</v>
      </c>
      <c r="W373" s="361">
        <v>0</v>
      </c>
      <c r="X373" s="362">
        <v>0</v>
      </c>
      <c r="Y373" s="29">
        <v>2.16</v>
      </c>
      <c r="Z373" s="361">
        <f t="shared" si="184"/>
        <v>540</v>
      </c>
      <c r="AA373" s="361">
        <v>0</v>
      </c>
      <c r="AB373" s="361">
        <v>0</v>
      </c>
      <c r="AC373" s="362">
        <v>540</v>
      </c>
      <c r="AD373" s="7"/>
    </row>
    <row r="374" spans="1:30" s="8" customFormat="1" ht="31.9" customHeight="1" outlineLevel="1" x14ac:dyDescent="0.2">
      <c r="A374" s="352" t="s">
        <v>578</v>
      </c>
      <c r="B374" s="363" t="s">
        <v>333</v>
      </c>
      <c r="C374" s="286">
        <f t="shared" si="180"/>
        <v>1.9</v>
      </c>
      <c r="D374" s="361">
        <f t="shared" si="178"/>
        <v>475</v>
      </c>
      <c r="E374" s="311">
        <v>0</v>
      </c>
      <c r="F374" s="260">
        <f t="shared" si="181"/>
        <v>0</v>
      </c>
      <c r="G374" s="361">
        <v>0</v>
      </c>
      <c r="H374" s="361">
        <v>0</v>
      </c>
      <c r="I374" s="361">
        <v>0</v>
      </c>
      <c r="J374" s="311">
        <v>0</v>
      </c>
      <c r="K374" s="260">
        <f t="shared" si="179"/>
        <v>0</v>
      </c>
      <c r="L374" s="361">
        <v>0</v>
      </c>
      <c r="M374" s="361">
        <v>0</v>
      </c>
      <c r="N374" s="361">
        <v>0</v>
      </c>
      <c r="O374" s="29">
        <v>0</v>
      </c>
      <c r="P374" s="361">
        <f t="shared" si="182"/>
        <v>0</v>
      </c>
      <c r="Q374" s="361">
        <v>0</v>
      </c>
      <c r="R374" s="361">
        <v>0</v>
      </c>
      <c r="S374" s="362">
        <v>0</v>
      </c>
      <c r="T374" s="29">
        <v>0</v>
      </c>
      <c r="U374" s="361">
        <f t="shared" si="183"/>
        <v>0</v>
      </c>
      <c r="V374" s="361">
        <v>0</v>
      </c>
      <c r="W374" s="361">
        <v>0</v>
      </c>
      <c r="X374" s="362">
        <v>0</v>
      </c>
      <c r="Y374" s="29">
        <v>1.9</v>
      </c>
      <c r="Z374" s="361">
        <f t="shared" si="184"/>
        <v>475</v>
      </c>
      <c r="AA374" s="361">
        <v>0</v>
      </c>
      <c r="AB374" s="361">
        <v>0</v>
      </c>
      <c r="AC374" s="362">
        <v>475</v>
      </c>
      <c r="AD374" s="7"/>
    </row>
    <row r="375" spans="1:30" s="8" customFormat="1" ht="30" customHeight="1" outlineLevel="1" x14ac:dyDescent="0.2">
      <c r="A375" s="352" t="s">
        <v>579</v>
      </c>
      <c r="B375" s="363" t="s">
        <v>450</v>
      </c>
      <c r="C375" s="286">
        <f t="shared" si="180"/>
        <v>1.35</v>
      </c>
      <c r="D375" s="361">
        <f t="shared" si="178"/>
        <v>338</v>
      </c>
      <c r="E375" s="311">
        <v>0</v>
      </c>
      <c r="F375" s="260">
        <f t="shared" si="181"/>
        <v>0</v>
      </c>
      <c r="G375" s="361">
        <v>0</v>
      </c>
      <c r="H375" s="361">
        <v>0</v>
      </c>
      <c r="I375" s="361">
        <v>0</v>
      </c>
      <c r="J375" s="311">
        <v>0</v>
      </c>
      <c r="K375" s="260">
        <f t="shared" si="179"/>
        <v>0</v>
      </c>
      <c r="L375" s="361">
        <v>0</v>
      </c>
      <c r="M375" s="361">
        <v>0</v>
      </c>
      <c r="N375" s="361">
        <v>0</v>
      </c>
      <c r="O375" s="29">
        <v>0</v>
      </c>
      <c r="P375" s="361">
        <f t="shared" si="182"/>
        <v>0</v>
      </c>
      <c r="Q375" s="361">
        <v>0</v>
      </c>
      <c r="R375" s="361">
        <v>0</v>
      </c>
      <c r="S375" s="362">
        <v>0</v>
      </c>
      <c r="T375" s="29">
        <v>0</v>
      </c>
      <c r="U375" s="361">
        <f t="shared" si="183"/>
        <v>0</v>
      </c>
      <c r="V375" s="361">
        <v>0</v>
      </c>
      <c r="W375" s="361">
        <v>0</v>
      </c>
      <c r="X375" s="362">
        <v>0</v>
      </c>
      <c r="Y375" s="29">
        <v>1.35</v>
      </c>
      <c r="Z375" s="361">
        <f t="shared" si="184"/>
        <v>338</v>
      </c>
      <c r="AA375" s="361">
        <v>0</v>
      </c>
      <c r="AB375" s="361">
        <v>0</v>
      </c>
      <c r="AC375" s="362">
        <v>338</v>
      </c>
      <c r="AD375" s="7"/>
    </row>
    <row r="376" spans="1:30" s="8" customFormat="1" ht="33" customHeight="1" outlineLevel="1" x14ac:dyDescent="0.2">
      <c r="A376" s="352" t="s">
        <v>580</v>
      </c>
      <c r="B376" s="363" t="s">
        <v>334</v>
      </c>
      <c r="C376" s="286">
        <f t="shared" si="180"/>
        <v>1.48</v>
      </c>
      <c r="D376" s="361">
        <f t="shared" si="178"/>
        <v>369</v>
      </c>
      <c r="E376" s="311">
        <v>0</v>
      </c>
      <c r="F376" s="260">
        <f t="shared" si="181"/>
        <v>0</v>
      </c>
      <c r="G376" s="361">
        <v>0</v>
      </c>
      <c r="H376" s="361">
        <v>0</v>
      </c>
      <c r="I376" s="361">
        <v>0</v>
      </c>
      <c r="J376" s="311">
        <v>0</v>
      </c>
      <c r="K376" s="260">
        <f t="shared" si="179"/>
        <v>0</v>
      </c>
      <c r="L376" s="361">
        <v>0</v>
      </c>
      <c r="M376" s="361">
        <v>0</v>
      </c>
      <c r="N376" s="361">
        <v>0</v>
      </c>
      <c r="O376" s="29">
        <v>0</v>
      </c>
      <c r="P376" s="361">
        <f t="shared" si="182"/>
        <v>0</v>
      </c>
      <c r="Q376" s="361">
        <v>0</v>
      </c>
      <c r="R376" s="361">
        <v>0</v>
      </c>
      <c r="S376" s="362">
        <v>0</v>
      </c>
      <c r="T376" s="29">
        <v>0</v>
      </c>
      <c r="U376" s="361">
        <f t="shared" si="183"/>
        <v>0</v>
      </c>
      <c r="V376" s="361">
        <v>0</v>
      </c>
      <c r="W376" s="361">
        <v>0</v>
      </c>
      <c r="X376" s="362">
        <v>0</v>
      </c>
      <c r="Y376" s="29">
        <f>ROUND(1.475,2)</f>
        <v>1.48</v>
      </c>
      <c r="Z376" s="361">
        <f t="shared" si="184"/>
        <v>369</v>
      </c>
      <c r="AA376" s="361">
        <v>0</v>
      </c>
      <c r="AB376" s="361">
        <v>0</v>
      </c>
      <c r="AC376" s="362">
        <v>369</v>
      </c>
      <c r="AD376" s="7"/>
    </row>
    <row r="377" spans="1:30" s="8" customFormat="1" ht="34.9" customHeight="1" outlineLevel="1" x14ac:dyDescent="0.2">
      <c r="A377" s="352" t="s">
        <v>581</v>
      </c>
      <c r="B377" s="363" t="s">
        <v>451</v>
      </c>
      <c r="C377" s="286">
        <f t="shared" si="180"/>
        <v>0.65</v>
      </c>
      <c r="D377" s="361">
        <f t="shared" si="178"/>
        <v>163</v>
      </c>
      <c r="E377" s="311">
        <v>0</v>
      </c>
      <c r="F377" s="260">
        <f t="shared" si="181"/>
        <v>0</v>
      </c>
      <c r="G377" s="361">
        <v>0</v>
      </c>
      <c r="H377" s="361">
        <v>0</v>
      </c>
      <c r="I377" s="361">
        <v>0</v>
      </c>
      <c r="J377" s="311">
        <v>0</v>
      </c>
      <c r="K377" s="260">
        <f t="shared" si="179"/>
        <v>0</v>
      </c>
      <c r="L377" s="361">
        <v>0</v>
      </c>
      <c r="M377" s="361">
        <v>0</v>
      </c>
      <c r="N377" s="361">
        <v>0</v>
      </c>
      <c r="O377" s="29">
        <v>0</v>
      </c>
      <c r="P377" s="361">
        <f t="shared" si="182"/>
        <v>0</v>
      </c>
      <c r="Q377" s="361">
        <v>0</v>
      </c>
      <c r="R377" s="361">
        <v>0</v>
      </c>
      <c r="S377" s="362">
        <v>0</v>
      </c>
      <c r="T377" s="29">
        <v>0</v>
      </c>
      <c r="U377" s="361">
        <f t="shared" si="183"/>
        <v>0</v>
      </c>
      <c r="V377" s="361">
        <v>0</v>
      </c>
      <c r="W377" s="361">
        <v>0</v>
      </c>
      <c r="X377" s="362">
        <v>0</v>
      </c>
      <c r="Y377" s="29">
        <v>0.65</v>
      </c>
      <c r="Z377" s="361">
        <f t="shared" si="184"/>
        <v>163</v>
      </c>
      <c r="AA377" s="361">
        <v>0</v>
      </c>
      <c r="AB377" s="361">
        <v>0</v>
      </c>
      <c r="AC377" s="362">
        <v>163</v>
      </c>
      <c r="AD377" s="7"/>
    </row>
    <row r="378" spans="1:30" s="8" customFormat="1" ht="25.9" customHeight="1" outlineLevel="1" x14ac:dyDescent="0.2">
      <c r="A378" s="352" t="s">
        <v>582</v>
      </c>
      <c r="B378" s="363" t="s">
        <v>335</v>
      </c>
      <c r="C378" s="286">
        <f t="shared" si="180"/>
        <v>2.59</v>
      </c>
      <c r="D378" s="361">
        <f t="shared" si="178"/>
        <v>648</v>
      </c>
      <c r="E378" s="311">
        <v>0</v>
      </c>
      <c r="F378" s="260">
        <f t="shared" si="181"/>
        <v>0</v>
      </c>
      <c r="G378" s="361">
        <v>0</v>
      </c>
      <c r="H378" s="361">
        <v>0</v>
      </c>
      <c r="I378" s="361">
        <v>0</v>
      </c>
      <c r="J378" s="311">
        <v>0</v>
      </c>
      <c r="K378" s="260">
        <f t="shared" si="179"/>
        <v>0</v>
      </c>
      <c r="L378" s="361">
        <v>0</v>
      </c>
      <c r="M378" s="361">
        <v>0</v>
      </c>
      <c r="N378" s="361">
        <v>0</v>
      </c>
      <c r="O378" s="29">
        <v>0</v>
      </c>
      <c r="P378" s="361">
        <f t="shared" si="182"/>
        <v>0</v>
      </c>
      <c r="Q378" s="361">
        <v>0</v>
      </c>
      <c r="R378" s="361">
        <v>0</v>
      </c>
      <c r="S378" s="362">
        <v>0</v>
      </c>
      <c r="T378" s="29">
        <v>0</v>
      </c>
      <c r="U378" s="361">
        <f t="shared" si="183"/>
        <v>0</v>
      </c>
      <c r="V378" s="361">
        <v>0</v>
      </c>
      <c r="W378" s="361">
        <v>0</v>
      </c>
      <c r="X378" s="362">
        <v>0</v>
      </c>
      <c r="Y378" s="29">
        <v>2.59</v>
      </c>
      <c r="Z378" s="361">
        <f t="shared" si="184"/>
        <v>648</v>
      </c>
      <c r="AA378" s="361">
        <v>0</v>
      </c>
      <c r="AB378" s="361">
        <v>0</v>
      </c>
      <c r="AC378" s="362">
        <v>648</v>
      </c>
      <c r="AD378" s="7"/>
    </row>
    <row r="379" spans="1:30" s="8" customFormat="1" ht="24" customHeight="1" outlineLevel="1" x14ac:dyDescent="0.2">
      <c r="A379" s="352" t="s">
        <v>583</v>
      </c>
      <c r="B379" s="363" t="s">
        <v>336</v>
      </c>
      <c r="C379" s="286">
        <f t="shared" si="180"/>
        <v>1.8</v>
      </c>
      <c r="D379" s="361">
        <f t="shared" si="178"/>
        <v>449</v>
      </c>
      <c r="E379" s="311">
        <v>0</v>
      </c>
      <c r="F379" s="260">
        <f t="shared" si="181"/>
        <v>0</v>
      </c>
      <c r="G379" s="361">
        <v>0</v>
      </c>
      <c r="H379" s="361">
        <v>0</v>
      </c>
      <c r="I379" s="361">
        <v>0</v>
      </c>
      <c r="J379" s="311">
        <v>0</v>
      </c>
      <c r="K379" s="260">
        <f t="shared" si="179"/>
        <v>0</v>
      </c>
      <c r="L379" s="361">
        <v>0</v>
      </c>
      <c r="M379" s="361">
        <v>0</v>
      </c>
      <c r="N379" s="361">
        <v>0</v>
      </c>
      <c r="O379" s="29">
        <v>0</v>
      </c>
      <c r="P379" s="361">
        <f t="shared" si="182"/>
        <v>0</v>
      </c>
      <c r="Q379" s="361">
        <v>0</v>
      </c>
      <c r="R379" s="361">
        <v>0</v>
      </c>
      <c r="S379" s="362">
        <v>0</v>
      </c>
      <c r="T379" s="29">
        <v>0</v>
      </c>
      <c r="U379" s="361">
        <f t="shared" si="183"/>
        <v>0</v>
      </c>
      <c r="V379" s="361">
        <v>0</v>
      </c>
      <c r="W379" s="361">
        <v>0</v>
      </c>
      <c r="X379" s="362">
        <v>0</v>
      </c>
      <c r="Y379" s="29">
        <f>ROUND(1.795,2)</f>
        <v>1.8</v>
      </c>
      <c r="Z379" s="361">
        <f t="shared" si="184"/>
        <v>449</v>
      </c>
      <c r="AA379" s="361">
        <v>0</v>
      </c>
      <c r="AB379" s="361">
        <v>0</v>
      </c>
      <c r="AC379" s="362">
        <v>449</v>
      </c>
      <c r="AD379" s="7"/>
    </row>
    <row r="380" spans="1:30" s="8" customFormat="1" ht="22.9" customHeight="1" outlineLevel="1" x14ac:dyDescent="0.2">
      <c r="A380" s="352" t="s">
        <v>584</v>
      </c>
      <c r="B380" s="363" t="s">
        <v>452</v>
      </c>
      <c r="C380" s="286">
        <f t="shared" si="180"/>
        <v>0.5</v>
      </c>
      <c r="D380" s="361">
        <f t="shared" si="178"/>
        <v>125</v>
      </c>
      <c r="E380" s="311">
        <v>0</v>
      </c>
      <c r="F380" s="260">
        <f t="shared" si="181"/>
        <v>0</v>
      </c>
      <c r="G380" s="361">
        <v>0</v>
      </c>
      <c r="H380" s="361">
        <v>0</v>
      </c>
      <c r="I380" s="361">
        <v>0</v>
      </c>
      <c r="J380" s="311">
        <v>0</v>
      </c>
      <c r="K380" s="260">
        <f t="shared" si="179"/>
        <v>0</v>
      </c>
      <c r="L380" s="361">
        <v>0</v>
      </c>
      <c r="M380" s="361">
        <v>0</v>
      </c>
      <c r="N380" s="361">
        <v>0</v>
      </c>
      <c r="O380" s="29">
        <v>0</v>
      </c>
      <c r="P380" s="361">
        <f t="shared" si="182"/>
        <v>0</v>
      </c>
      <c r="Q380" s="361">
        <v>0</v>
      </c>
      <c r="R380" s="361">
        <v>0</v>
      </c>
      <c r="S380" s="362">
        <v>0</v>
      </c>
      <c r="T380" s="29">
        <v>0</v>
      </c>
      <c r="U380" s="361">
        <f t="shared" si="183"/>
        <v>0</v>
      </c>
      <c r="V380" s="361">
        <v>0</v>
      </c>
      <c r="W380" s="361">
        <v>0</v>
      </c>
      <c r="X380" s="362">
        <v>0</v>
      </c>
      <c r="Y380" s="29">
        <v>0.5</v>
      </c>
      <c r="Z380" s="361">
        <f t="shared" si="184"/>
        <v>125</v>
      </c>
      <c r="AA380" s="361">
        <v>0</v>
      </c>
      <c r="AB380" s="361">
        <v>0</v>
      </c>
      <c r="AC380" s="362">
        <v>125</v>
      </c>
      <c r="AD380" s="7"/>
    </row>
    <row r="381" spans="1:30" s="8" customFormat="1" ht="32.450000000000003" customHeight="1" outlineLevel="1" x14ac:dyDescent="0.2">
      <c r="A381" s="352" t="s">
        <v>585</v>
      </c>
      <c r="B381" s="363" t="s">
        <v>337</v>
      </c>
      <c r="C381" s="286">
        <f t="shared" si="180"/>
        <v>0.57000000000000006</v>
      </c>
      <c r="D381" s="361">
        <f t="shared" si="178"/>
        <v>143</v>
      </c>
      <c r="E381" s="311">
        <v>0</v>
      </c>
      <c r="F381" s="260">
        <f t="shared" si="181"/>
        <v>0</v>
      </c>
      <c r="G381" s="361">
        <v>0</v>
      </c>
      <c r="H381" s="361">
        <v>0</v>
      </c>
      <c r="I381" s="361">
        <v>0</v>
      </c>
      <c r="J381" s="311">
        <v>0</v>
      </c>
      <c r="K381" s="260">
        <f t="shared" si="179"/>
        <v>0</v>
      </c>
      <c r="L381" s="361">
        <v>0</v>
      </c>
      <c r="M381" s="361">
        <v>0</v>
      </c>
      <c r="N381" s="361">
        <v>0</v>
      </c>
      <c r="O381" s="29">
        <v>0</v>
      </c>
      <c r="P381" s="361">
        <f t="shared" si="182"/>
        <v>0</v>
      </c>
      <c r="Q381" s="361">
        <v>0</v>
      </c>
      <c r="R381" s="361">
        <v>0</v>
      </c>
      <c r="S381" s="362">
        <v>0</v>
      </c>
      <c r="T381" s="29">
        <v>0</v>
      </c>
      <c r="U381" s="361">
        <f t="shared" si="183"/>
        <v>0</v>
      </c>
      <c r="V381" s="361">
        <v>0</v>
      </c>
      <c r="W381" s="361">
        <v>0</v>
      </c>
      <c r="X381" s="362">
        <v>0</v>
      </c>
      <c r="Y381" s="29">
        <v>0.57000000000000006</v>
      </c>
      <c r="Z381" s="361">
        <f t="shared" si="184"/>
        <v>143</v>
      </c>
      <c r="AA381" s="361">
        <v>0</v>
      </c>
      <c r="AB381" s="361">
        <v>0</v>
      </c>
      <c r="AC381" s="362">
        <v>143</v>
      </c>
      <c r="AD381" s="7"/>
    </row>
    <row r="382" spans="1:30" s="8" customFormat="1" ht="28.9" customHeight="1" outlineLevel="1" x14ac:dyDescent="0.2">
      <c r="A382" s="352" t="s">
        <v>586</v>
      </c>
      <c r="B382" s="363" t="s">
        <v>338</v>
      </c>
      <c r="C382" s="286">
        <f t="shared" si="180"/>
        <v>4.74</v>
      </c>
      <c r="D382" s="361">
        <f t="shared" si="178"/>
        <v>1184</v>
      </c>
      <c r="E382" s="311">
        <v>0</v>
      </c>
      <c r="F382" s="260">
        <f t="shared" si="181"/>
        <v>0</v>
      </c>
      <c r="G382" s="361">
        <v>0</v>
      </c>
      <c r="H382" s="361">
        <v>0</v>
      </c>
      <c r="I382" s="361">
        <v>0</v>
      </c>
      <c r="J382" s="311">
        <v>0</v>
      </c>
      <c r="K382" s="260">
        <f t="shared" si="179"/>
        <v>0</v>
      </c>
      <c r="L382" s="361">
        <v>0</v>
      </c>
      <c r="M382" s="361">
        <v>0</v>
      </c>
      <c r="N382" s="361">
        <v>0</v>
      </c>
      <c r="O382" s="29">
        <v>0</v>
      </c>
      <c r="P382" s="361">
        <f t="shared" si="182"/>
        <v>0</v>
      </c>
      <c r="Q382" s="361">
        <v>0</v>
      </c>
      <c r="R382" s="361">
        <v>0</v>
      </c>
      <c r="S382" s="362">
        <v>0</v>
      </c>
      <c r="T382" s="29">
        <v>0</v>
      </c>
      <c r="U382" s="361">
        <f t="shared" si="183"/>
        <v>0</v>
      </c>
      <c r="V382" s="361">
        <v>0</v>
      </c>
      <c r="W382" s="361">
        <v>0</v>
      </c>
      <c r="X382" s="362">
        <v>0</v>
      </c>
      <c r="Y382" s="29">
        <f>ROUND(4.735,2)</f>
        <v>4.74</v>
      </c>
      <c r="Z382" s="361">
        <f t="shared" si="184"/>
        <v>1184</v>
      </c>
      <c r="AA382" s="361">
        <v>0</v>
      </c>
      <c r="AB382" s="361">
        <v>0</v>
      </c>
      <c r="AC382" s="362">
        <v>1184</v>
      </c>
      <c r="AD382" s="7"/>
    </row>
    <row r="383" spans="1:30" s="8" customFormat="1" ht="28.9" customHeight="1" outlineLevel="1" x14ac:dyDescent="0.2">
      <c r="A383" s="352" t="s">
        <v>587</v>
      </c>
      <c r="B383" s="363" t="s">
        <v>339</v>
      </c>
      <c r="C383" s="286">
        <f t="shared" si="180"/>
        <v>0.79</v>
      </c>
      <c r="D383" s="361">
        <f t="shared" si="178"/>
        <v>196</v>
      </c>
      <c r="E383" s="311">
        <v>0</v>
      </c>
      <c r="F383" s="260">
        <f t="shared" si="181"/>
        <v>0</v>
      </c>
      <c r="G383" s="361">
        <v>0</v>
      </c>
      <c r="H383" s="361">
        <v>0</v>
      </c>
      <c r="I383" s="361">
        <v>0</v>
      </c>
      <c r="J383" s="311">
        <v>0</v>
      </c>
      <c r="K383" s="260">
        <f t="shared" si="179"/>
        <v>0</v>
      </c>
      <c r="L383" s="361">
        <v>0</v>
      </c>
      <c r="M383" s="361">
        <v>0</v>
      </c>
      <c r="N383" s="361">
        <v>0</v>
      </c>
      <c r="O383" s="29">
        <v>0</v>
      </c>
      <c r="P383" s="361">
        <f t="shared" si="182"/>
        <v>0</v>
      </c>
      <c r="Q383" s="361">
        <v>0</v>
      </c>
      <c r="R383" s="361">
        <v>0</v>
      </c>
      <c r="S383" s="362">
        <v>0</v>
      </c>
      <c r="T383" s="29">
        <v>0</v>
      </c>
      <c r="U383" s="361">
        <f t="shared" si="183"/>
        <v>0</v>
      </c>
      <c r="V383" s="361">
        <v>0</v>
      </c>
      <c r="W383" s="361">
        <v>0</v>
      </c>
      <c r="X383" s="362">
        <v>0</v>
      </c>
      <c r="Y383" s="29">
        <f>ROUND(0.785,2)</f>
        <v>0.79</v>
      </c>
      <c r="Z383" s="361">
        <f t="shared" si="184"/>
        <v>196</v>
      </c>
      <c r="AA383" s="361">
        <v>0</v>
      </c>
      <c r="AB383" s="361">
        <v>0</v>
      </c>
      <c r="AC383" s="362">
        <v>196</v>
      </c>
      <c r="AD383" s="7"/>
    </row>
    <row r="384" spans="1:30" s="8" customFormat="1" ht="41.45" customHeight="1" outlineLevel="1" x14ac:dyDescent="0.2">
      <c r="A384" s="352" t="s">
        <v>588</v>
      </c>
      <c r="B384" s="363" t="s">
        <v>340</v>
      </c>
      <c r="C384" s="286">
        <f t="shared" si="180"/>
        <v>0.35000000000000003</v>
      </c>
      <c r="D384" s="361">
        <f t="shared" si="178"/>
        <v>88</v>
      </c>
      <c r="E384" s="311">
        <v>0</v>
      </c>
      <c r="F384" s="260">
        <f t="shared" si="181"/>
        <v>0</v>
      </c>
      <c r="G384" s="361">
        <v>0</v>
      </c>
      <c r="H384" s="361">
        <v>0</v>
      </c>
      <c r="I384" s="361">
        <v>0</v>
      </c>
      <c r="J384" s="311">
        <v>0</v>
      </c>
      <c r="K384" s="260">
        <f t="shared" si="179"/>
        <v>0</v>
      </c>
      <c r="L384" s="361">
        <v>0</v>
      </c>
      <c r="M384" s="361">
        <v>0</v>
      </c>
      <c r="N384" s="361">
        <v>0</v>
      </c>
      <c r="O384" s="29">
        <v>0</v>
      </c>
      <c r="P384" s="361">
        <f t="shared" si="182"/>
        <v>0</v>
      </c>
      <c r="Q384" s="361">
        <v>0</v>
      </c>
      <c r="R384" s="361">
        <v>0</v>
      </c>
      <c r="S384" s="362">
        <v>0</v>
      </c>
      <c r="T384" s="29">
        <v>0</v>
      </c>
      <c r="U384" s="361">
        <f t="shared" si="183"/>
        <v>0</v>
      </c>
      <c r="V384" s="361">
        <v>0</v>
      </c>
      <c r="W384" s="361">
        <v>0</v>
      </c>
      <c r="X384" s="362">
        <v>0</v>
      </c>
      <c r="Y384" s="29">
        <v>0.35000000000000003</v>
      </c>
      <c r="Z384" s="361">
        <f t="shared" si="184"/>
        <v>88</v>
      </c>
      <c r="AA384" s="361">
        <v>0</v>
      </c>
      <c r="AB384" s="361">
        <v>0</v>
      </c>
      <c r="AC384" s="362">
        <v>88</v>
      </c>
      <c r="AD384" s="7"/>
    </row>
    <row r="385" spans="1:30" s="8" customFormat="1" ht="21.6" customHeight="1" outlineLevel="1" x14ac:dyDescent="0.2">
      <c r="A385" s="352" t="s">
        <v>589</v>
      </c>
      <c r="B385" s="363" t="s">
        <v>341</v>
      </c>
      <c r="C385" s="286">
        <f t="shared" si="180"/>
        <v>0.35000000000000003</v>
      </c>
      <c r="D385" s="361">
        <f t="shared" si="178"/>
        <v>88</v>
      </c>
      <c r="E385" s="311">
        <v>0</v>
      </c>
      <c r="F385" s="260">
        <f t="shared" si="181"/>
        <v>0</v>
      </c>
      <c r="G385" s="361">
        <v>0</v>
      </c>
      <c r="H385" s="361">
        <v>0</v>
      </c>
      <c r="I385" s="361">
        <v>0</v>
      </c>
      <c r="J385" s="311">
        <v>0</v>
      </c>
      <c r="K385" s="260">
        <f t="shared" si="179"/>
        <v>0</v>
      </c>
      <c r="L385" s="361">
        <v>0</v>
      </c>
      <c r="M385" s="361">
        <v>0</v>
      </c>
      <c r="N385" s="361">
        <v>0</v>
      </c>
      <c r="O385" s="29">
        <v>0</v>
      </c>
      <c r="P385" s="361">
        <f t="shared" si="182"/>
        <v>0</v>
      </c>
      <c r="Q385" s="361">
        <v>0</v>
      </c>
      <c r="R385" s="361">
        <v>0</v>
      </c>
      <c r="S385" s="362">
        <v>0</v>
      </c>
      <c r="T385" s="29">
        <v>0</v>
      </c>
      <c r="U385" s="361">
        <f t="shared" si="183"/>
        <v>0</v>
      </c>
      <c r="V385" s="361">
        <v>0</v>
      </c>
      <c r="W385" s="361">
        <v>0</v>
      </c>
      <c r="X385" s="362">
        <v>0</v>
      </c>
      <c r="Y385" s="29">
        <v>0.35000000000000003</v>
      </c>
      <c r="Z385" s="361">
        <f t="shared" si="184"/>
        <v>88</v>
      </c>
      <c r="AA385" s="361">
        <v>0</v>
      </c>
      <c r="AB385" s="361">
        <v>0</v>
      </c>
      <c r="AC385" s="362">
        <v>88</v>
      </c>
      <c r="AD385" s="7"/>
    </row>
    <row r="386" spans="1:30" s="8" customFormat="1" ht="24" customHeight="1" outlineLevel="1" x14ac:dyDescent="0.2">
      <c r="A386" s="352" t="s">
        <v>590</v>
      </c>
      <c r="B386" s="363" t="s">
        <v>342</v>
      </c>
      <c r="C386" s="286">
        <f t="shared" si="180"/>
        <v>1.7799999999999998</v>
      </c>
      <c r="D386" s="361">
        <f t="shared" si="178"/>
        <v>444.99999999999994</v>
      </c>
      <c r="E386" s="311">
        <v>0</v>
      </c>
      <c r="F386" s="260">
        <f t="shared" si="181"/>
        <v>0</v>
      </c>
      <c r="G386" s="361">
        <v>0</v>
      </c>
      <c r="H386" s="361">
        <v>0</v>
      </c>
      <c r="I386" s="361">
        <v>0</v>
      </c>
      <c r="J386" s="311">
        <v>0</v>
      </c>
      <c r="K386" s="260">
        <f t="shared" si="179"/>
        <v>0</v>
      </c>
      <c r="L386" s="361">
        <v>0</v>
      </c>
      <c r="M386" s="361">
        <v>0</v>
      </c>
      <c r="N386" s="361">
        <v>0</v>
      </c>
      <c r="O386" s="29">
        <v>0</v>
      </c>
      <c r="P386" s="361">
        <f t="shared" si="182"/>
        <v>0</v>
      </c>
      <c r="Q386" s="361">
        <v>0</v>
      </c>
      <c r="R386" s="361">
        <v>0</v>
      </c>
      <c r="S386" s="362">
        <v>0</v>
      </c>
      <c r="T386" s="29">
        <v>0</v>
      </c>
      <c r="U386" s="361">
        <f t="shared" si="183"/>
        <v>0</v>
      </c>
      <c r="V386" s="361">
        <v>0</v>
      </c>
      <c r="W386" s="361">
        <v>0</v>
      </c>
      <c r="X386" s="362">
        <v>0</v>
      </c>
      <c r="Y386" s="29">
        <v>1.7799999999999998</v>
      </c>
      <c r="Z386" s="361">
        <f t="shared" si="184"/>
        <v>444.99999999999994</v>
      </c>
      <c r="AA386" s="361">
        <v>0</v>
      </c>
      <c r="AB386" s="361">
        <v>0</v>
      </c>
      <c r="AC386" s="362">
        <v>444.99999999999994</v>
      </c>
      <c r="AD386" s="7"/>
    </row>
    <row r="387" spans="1:30" s="8" customFormat="1" ht="46.9" customHeight="1" outlineLevel="1" x14ac:dyDescent="0.2">
      <c r="A387" s="352" t="s">
        <v>591</v>
      </c>
      <c r="B387" s="363" t="s">
        <v>343</v>
      </c>
      <c r="C387" s="286">
        <f t="shared" si="180"/>
        <v>0.35000000000000003</v>
      </c>
      <c r="D387" s="361">
        <f t="shared" si="178"/>
        <v>88</v>
      </c>
      <c r="E387" s="311">
        <v>0</v>
      </c>
      <c r="F387" s="260">
        <f t="shared" si="181"/>
        <v>0</v>
      </c>
      <c r="G387" s="361">
        <v>0</v>
      </c>
      <c r="H387" s="361">
        <v>0</v>
      </c>
      <c r="I387" s="361">
        <v>0</v>
      </c>
      <c r="J387" s="311">
        <v>0</v>
      </c>
      <c r="K387" s="260">
        <f t="shared" si="179"/>
        <v>0</v>
      </c>
      <c r="L387" s="361">
        <v>0</v>
      </c>
      <c r="M387" s="361">
        <v>0</v>
      </c>
      <c r="N387" s="361">
        <v>0</v>
      </c>
      <c r="O387" s="29">
        <v>0</v>
      </c>
      <c r="P387" s="361">
        <f t="shared" si="182"/>
        <v>0</v>
      </c>
      <c r="Q387" s="361">
        <v>0</v>
      </c>
      <c r="R387" s="361">
        <v>0</v>
      </c>
      <c r="S387" s="362">
        <v>0</v>
      </c>
      <c r="T387" s="29">
        <v>0</v>
      </c>
      <c r="U387" s="361">
        <f t="shared" si="183"/>
        <v>0</v>
      </c>
      <c r="V387" s="361">
        <v>0</v>
      </c>
      <c r="W387" s="361">
        <v>0</v>
      </c>
      <c r="X387" s="362">
        <v>0</v>
      </c>
      <c r="Y387" s="29">
        <v>0.35000000000000003</v>
      </c>
      <c r="Z387" s="361">
        <f t="shared" si="184"/>
        <v>88</v>
      </c>
      <c r="AA387" s="361">
        <v>0</v>
      </c>
      <c r="AB387" s="361">
        <v>0</v>
      </c>
      <c r="AC387" s="362">
        <v>88</v>
      </c>
      <c r="AD387" s="7"/>
    </row>
    <row r="388" spans="1:30" s="8" customFormat="1" ht="46.9" customHeight="1" outlineLevel="1" x14ac:dyDescent="0.2">
      <c r="A388" s="352" t="s">
        <v>592</v>
      </c>
      <c r="B388" s="363" t="s">
        <v>344</v>
      </c>
      <c r="C388" s="286">
        <f t="shared" si="180"/>
        <v>0.6</v>
      </c>
      <c r="D388" s="361">
        <f t="shared" si="178"/>
        <v>150</v>
      </c>
      <c r="E388" s="311">
        <v>0</v>
      </c>
      <c r="F388" s="260">
        <f t="shared" si="181"/>
        <v>0</v>
      </c>
      <c r="G388" s="361">
        <v>0</v>
      </c>
      <c r="H388" s="361">
        <v>0</v>
      </c>
      <c r="I388" s="361">
        <v>0</v>
      </c>
      <c r="J388" s="311">
        <v>0</v>
      </c>
      <c r="K388" s="260">
        <f t="shared" si="179"/>
        <v>0</v>
      </c>
      <c r="L388" s="361">
        <v>0</v>
      </c>
      <c r="M388" s="361">
        <v>0</v>
      </c>
      <c r="N388" s="361">
        <v>0</v>
      </c>
      <c r="O388" s="29">
        <v>0</v>
      </c>
      <c r="P388" s="361">
        <f t="shared" si="182"/>
        <v>0</v>
      </c>
      <c r="Q388" s="361">
        <v>0</v>
      </c>
      <c r="R388" s="361">
        <v>0</v>
      </c>
      <c r="S388" s="362">
        <v>0</v>
      </c>
      <c r="T388" s="29">
        <v>0</v>
      </c>
      <c r="U388" s="361">
        <f t="shared" si="183"/>
        <v>0</v>
      </c>
      <c r="V388" s="361">
        <v>0</v>
      </c>
      <c r="W388" s="361">
        <v>0</v>
      </c>
      <c r="X388" s="362">
        <v>0</v>
      </c>
      <c r="Y388" s="29">
        <v>0.6</v>
      </c>
      <c r="Z388" s="361">
        <f t="shared" si="184"/>
        <v>150</v>
      </c>
      <c r="AA388" s="361">
        <v>0</v>
      </c>
      <c r="AB388" s="361">
        <v>0</v>
      </c>
      <c r="AC388" s="362">
        <v>150</v>
      </c>
      <c r="AD388" s="7"/>
    </row>
    <row r="389" spans="1:30" s="8" customFormat="1" ht="46.9" customHeight="1" outlineLevel="1" x14ac:dyDescent="0.2">
      <c r="A389" s="352" t="s">
        <v>593</v>
      </c>
      <c r="B389" s="363" t="s">
        <v>345</v>
      </c>
      <c r="C389" s="286">
        <f t="shared" si="180"/>
        <v>1.43</v>
      </c>
      <c r="D389" s="361">
        <f t="shared" si="178"/>
        <v>356</v>
      </c>
      <c r="E389" s="311">
        <v>0</v>
      </c>
      <c r="F389" s="260">
        <f t="shared" si="181"/>
        <v>0</v>
      </c>
      <c r="G389" s="361">
        <v>0</v>
      </c>
      <c r="H389" s="361">
        <v>0</v>
      </c>
      <c r="I389" s="361">
        <v>0</v>
      </c>
      <c r="J389" s="311">
        <v>0</v>
      </c>
      <c r="K389" s="260">
        <f t="shared" si="179"/>
        <v>0</v>
      </c>
      <c r="L389" s="361">
        <v>0</v>
      </c>
      <c r="M389" s="361">
        <v>0</v>
      </c>
      <c r="N389" s="361">
        <v>0</v>
      </c>
      <c r="O389" s="29">
        <v>0</v>
      </c>
      <c r="P389" s="361">
        <f t="shared" si="182"/>
        <v>0</v>
      </c>
      <c r="Q389" s="361">
        <v>0</v>
      </c>
      <c r="R389" s="361">
        <v>0</v>
      </c>
      <c r="S389" s="362">
        <v>0</v>
      </c>
      <c r="T389" s="29">
        <v>0</v>
      </c>
      <c r="U389" s="361">
        <f t="shared" si="183"/>
        <v>0</v>
      </c>
      <c r="V389" s="361">
        <v>0</v>
      </c>
      <c r="W389" s="361">
        <v>0</v>
      </c>
      <c r="X389" s="362">
        <v>0</v>
      </c>
      <c r="Y389" s="29">
        <f>ROUND(1.425,2)</f>
        <v>1.43</v>
      </c>
      <c r="Z389" s="361">
        <f t="shared" si="184"/>
        <v>356</v>
      </c>
      <c r="AA389" s="361">
        <v>0</v>
      </c>
      <c r="AB389" s="361">
        <v>0</v>
      </c>
      <c r="AC389" s="362">
        <v>356</v>
      </c>
      <c r="AD389" s="7"/>
    </row>
    <row r="390" spans="1:30" s="8" customFormat="1" ht="26.45" customHeight="1" outlineLevel="1" x14ac:dyDescent="0.2">
      <c r="A390" s="352" t="s">
        <v>594</v>
      </c>
      <c r="B390" s="363" t="s">
        <v>346</v>
      </c>
      <c r="C390" s="286">
        <f t="shared" si="180"/>
        <v>0.56000000000000005</v>
      </c>
      <c r="D390" s="361">
        <f t="shared" si="178"/>
        <v>139</v>
      </c>
      <c r="E390" s="311">
        <v>0</v>
      </c>
      <c r="F390" s="260">
        <f t="shared" si="181"/>
        <v>0</v>
      </c>
      <c r="G390" s="361">
        <v>0</v>
      </c>
      <c r="H390" s="361">
        <v>0</v>
      </c>
      <c r="I390" s="361">
        <v>0</v>
      </c>
      <c r="J390" s="311">
        <v>0</v>
      </c>
      <c r="K390" s="260">
        <f t="shared" si="179"/>
        <v>0</v>
      </c>
      <c r="L390" s="361">
        <v>0</v>
      </c>
      <c r="M390" s="361">
        <v>0</v>
      </c>
      <c r="N390" s="361">
        <v>0</v>
      </c>
      <c r="O390" s="29">
        <v>0</v>
      </c>
      <c r="P390" s="361">
        <f t="shared" si="182"/>
        <v>0</v>
      </c>
      <c r="Q390" s="361">
        <v>0</v>
      </c>
      <c r="R390" s="361">
        <v>0</v>
      </c>
      <c r="S390" s="362">
        <v>0</v>
      </c>
      <c r="T390" s="29">
        <v>0</v>
      </c>
      <c r="U390" s="361">
        <f t="shared" si="183"/>
        <v>0</v>
      </c>
      <c r="V390" s="361">
        <v>0</v>
      </c>
      <c r="W390" s="361">
        <v>0</v>
      </c>
      <c r="X390" s="362">
        <v>0</v>
      </c>
      <c r="Y390" s="29">
        <f>ROUND(0.555,2)</f>
        <v>0.56000000000000005</v>
      </c>
      <c r="Z390" s="361">
        <f t="shared" si="184"/>
        <v>139</v>
      </c>
      <c r="AA390" s="361">
        <v>0</v>
      </c>
      <c r="AB390" s="361">
        <v>0</v>
      </c>
      <c r="AC390" s="362">
        <v>139</v>
      </c>
      <c r="AD390" s="7"/>
    </row>
    <row r="391" spans="1:30" s="8" customFormat="1" ht="24" customHeight="1" outlineLevel="1" x14ac:dyDescent="0.2">
      <c r="A391" s="352" t="s">
        <v>595</v>
      </c>
      <c r="B391" s="363" t="s">
        <v>462</v>
      </c>
      <c r="C391" s="286">
        <f t="shared" si="180"/>
        <v>1.5</v>
      </c>
      <c r="D391" s="361">
        <f t="shared" ref="D391:D456" si="185">F391+K391+P391+U391+Z391</f>
        <v>375</v>
      </c>
      <c r="E391" s="311">
        <v>0</v>
      </c>
      <c r="F391" s="260">
        <f t="shared" si="181"/>
        <v>0</v>
      </c>
      <c r="G391" s="361">
        <v>0</v>
      </c>
      <c r="H391" s="361">
        <v>0</v>
      </c>
      <c r="I391" s="361">
        <v>0</v>
      </c>
      <c r="J391" s="311">
        <v>0</v>
      </c>
      <c r="K391" s="260">
        <f t="shared" ref="K391:K456" si="186">SUM(L391:N391)</f>
        <v>0</v>
      </c>
      <c r="L391" s="361">
        <v>0</v>
      </c>
      <c r="M391" s="361">
        <v>0</v>
      </c>
      <c r="N391" s="361">
        <v>0</v>
      </c>
      <c r="O391" s="29">
        <v>0</v>
      </c>
      <c r="P391" s="361">
        <f t="shared" si="182"/>
        <v>0</v>
      </c>
      <c r="Q391" s="361">
        <v>0</v>
      </c>
      <c r="R391" s="361">
        <v>0</v>
      </c>
      <c r="S391" s="362">
        <v>0</v>
      </c>
      <c r="T391" s="29">
        <v>0</v>
      </c>
      <c r="U391" s="361">
        <f t="shared" si="183"/>
        <v>0</v>
      </c>
      <c r="V391" s="361">
        <v>0</v>
      </c>
      <c r="W391" s="361">
        <v>0</v>
      </c>
      <c r="X391" s="362">
        <v>0</v>
      </c>
      <c r="Y391" s="29">
        <v>1.5</v>
      </c>
      <c r="Z391" s="361">
        <f t="shared" si="184"/>
        <v>375</v>
      </c>
      <c r="AA391" s="361">
        <v>0</v>
      </c>
      <c r="AB391" s="361">
        <v>0</v>
      </c>
      <c r="AC391" s="362">
        <v>375</v>
      </c>
      <c r="AD391" s="7"/>
    </row>
    <row r="392" spans="1:30" s="8" customFormat="1" ht="23.45" customHeight="1" outlineLevel="1" x14ac:dyDescent="0.2">
      <c r="A392" s="352" t="s">
        <v>596</v>
      </c>
      <c r="B392" s="363" t="s">
        <v>347</v>
      </c>
      <c r="C392" s="286">
        <f t="shared" ref="C392:C419" si="187">E392+J392+O392+T392+Y392</f>
        <v>0.81</v>
      </c>
      <c r="D392" s="361">
        <f t="shared" si="185"/>
        <v>203</v>
      </c>
      <c r="E392" s="311">
        <v>0</v>
      </c>
      <c r="F392" s="260">
        <f t="shared" ref="F392:F457" si="188">G392+H392+I392</f>
        <v>0</v>
      </c>
      <c r="G392" s="361">
        <v>0</v>
      </c>
      <c r="H392" s="361">
        <v>0</v>
      </c>
      <c r="I392" s="361">
        <v>0</v>
      </c>
      <c r="J392" s="311">
        <v>0</v>
      </c>
      <c r="K392" s="260">
        <f t="shared" si="186"/>
        <v>0</v>
      </c>
      <c r="L392" s="361">
        <v>0</v>
      </c>
      <c r="M392" s="361">
        <v>0</v>
      </c>
      <c r="N392" s="361">
        <v>0</v>
      </c>
      <c r="O392" s="29">
        <v>0</v>
      </c>
      <c r="P392" s="361">
        <f t="shared" ref="P392:P457" si="189">Q392+R392+S392</f>
        <v>0</v>
      </c>
      <c r="Q392" s="361">
        <v>0</v>
      </c>
      <c r="R392" s="361">
        <v>0</v>
      </c>
      <c r="S392" s="362">
        <v>0</v>
      </c>
      <c r="T392" s="29">
        <v>0</v>
      </c>
      <c r="U392" s="361">
        <f t="shared" ref="U392:U457" si="190">V392+W392+X392</f>
        <v>0</v>
      </c>
      <c r="V392" s="361">
        <v>0</v>
      </c>
      <c r="W392" s="361">
        <v>0</v>
      </c>
      <c r="X392" s="362">
        <v>0</v>
      </c>
      <c r="Y392" s="29">
        <v>0.81</v>
      </c>
      <c r="Z392" s="361">
        <f t="shared" ref="Z392:Z457" si="191">AA392+AB392+AC392</f>
        <v>203</v>
      </c>
      <c r="AA392" s="361">
        <v>0</v>
      </c>
      <c r="AB392" s="361">
        <v>0</v>
      </c>
      <c r="AC392" s="362">
        <v>203</v>
      </c>
      <c r="AD392" s="7"/>
    </row>
    <row r="393" spans="1:30" s="8" customFormat="1" ht="27" customHeight="1" outlineLevel="1" x14ac:dyDescent="0.2">
      <c r="A393" s="319"/>
      <c r="B393" s="364" t="s">
        <v>466</v>
      </c>
      <c r="C393" s="365">
        <f>SUM(C394:C395)</f>
        <v>12.05</v>
      </c>
      <c r="D393" s="261">
        <f>SUM(D394:D395)</f>
        <v>3615</v>
      </c>
      <c r="E393" s="365">
        <f t="shared" ref="E393:O393" si="192">SUM(E394:E395)</f>
        <v>0</v>
      </c>
      <c r="F393" s="261">
        <f t="shared" si="192"/>
        <v>0</v>
      </c>
      <c r="G393" s="261">
        <f t="shared" si="192"/>
        <v>0</v>
      </c>
      <c r="H393" s="261">
        <f t="shared" si="192"/>
        <v>0</v>
      </c>
      <c r="I393" s="261">
        <f t="shared" si="192"/>
        <v>0</v>
      </c>
      <c r="J393" s="365">
        <f t="shared" si="192"/>
        <v>0</v>
      </c>
      <c r="K393" s="261">
        <f t="shared" si="186"/>
        <v>0</v>
      </c>
      <c r="L393" s="261">
        <f t="shared" si="192"/>
        <v>0</v>
      </c>
      <c r="M393" s="261">
        <f t="shared" si="192"/>
        <v>0</v>
      </c>
      <c r="N393" s="261">
        <f t="shared" si="192"/>
        <v>0</v>
      </c>
      <c r="O393" s="365">
        <f t="shared" si="192"/>
        <v>0</v>
      </c>
      <c r="P393" s="361">
        <f t="shared" si="189"/>
        <v>0</v>
      </c>
      <c r="Q393" s="261">
        <f>SUM(Q394:Q395)</f>
        <v>0</v>
      </c>
      <c r="R393" s="261">
        <f>SUM(R394:R395)</f>
        <v>0</v>
      </c>
      <c r="S393" s="261">
        <f>SUM(S394:S395)</f>
        <v>0</v>
      </c>
      <c r="T393" s="365">
        <f>SUM(T394:T395)</f>
        <v>12.05</v>
      </c>
      <c r="U393" s="361">
        <f t="shared" si="190"/>
        <v>3615</v>
      </c>
      <c r="V393" s="261">
        <f t="shared" ref="V393:AC393" si="193">SUM(V394:V395)</f>
        <v>0</v>
      </c>
      <c r="W393" s="261">
        <f t="shared" si="193"/>
        <v>0</v>
      </c>
      <c r="X393" s="261">
        <f t="shared" si="193"/>
        <v>3615</v>
      </c>
      <c r="Y393" s="365">
        <f t="shared" si="193"/>
        <v>0</v>
      </c>
      <c r="Z393" s="361">
        <f t="shared" si="193"/>
        <v>0</v>
      </c>
      <c r="AA393" s="366">
        <f t="shared" si="193"/>
        <v>0</v>
      </c>
      <c r="AB393" s="366">
        <f t="shared" si="193"/>
        <v>0</v>
      </c>
      <c r="AC393" s="261">
        <f t="shared" si="193"/>
        <v>0</v>
      </c>
      <c r="AD393" s="7"/>
    </row>
    <row r="394" spans="1:30" s="8" customFormat="1" ht="25.15" customHeight="1" outlineLevel="1" x14ac:dyDescent="0.2">
      <c r="A394" s="352" t="s">
        <v>597</v>
      </c>
      <c r="B394" s="363" t="s">
        <v>443</v>
      </c>
      <c r="C394" s="286">
        <f t="shared" si="187"/>
        <v>7</v>
      </c>
      <c r="D394" s="361">
        <f>F394+K394+P394+U394+Z394</f>
        <v>2100</v>
      </c>
      <c r="E394" s="311">
        <v>0</v>
      </c>
      <c r="F394" s="260">
        <f t="shared" si="188"/>
        <v>0</v>
      </c>
      <c r="G394" s="361">
        <v>0</v>
      </c>
      <c r="H394" s="361">
        <v>0</v>
      </c>
      <c r="I394" s="361">
        <v>0</v>
      </c>
      <c r="J394" s="311">
        <v>0</v>
      </c>
      <c r="K394" s="260">
        <f t="shared" si="186"/>
        <v>0</v>
      </c>
      <c r="L394" s="361">
        <v>0</v>
      </c>
      <c r="M394" s="361">
        <v>0</v>
      </c>
      <c r="N394" s="361">
        <v>0</v>
      </c>
      <c r="O394" s="29">
        <v>0</v>
      </c>
      <c r="P394" s="361">
        <f t="shared" si="189"/>
        <v>0</v>
      </c>
      <c r="Q394" s="361">
        <v>0</v>
      </c>
      <c r="R394" s="361">
        <v>0</v>
      </c>
      <c r="S394" s="362">
        <v>0</v>
      </c>
      <c r="T394" s="29">
        <v>7</v>
      </c>
      <c r="U394" s="361">
        <f t="shared" si="190"/>
        <v>2100</v>
      </c>
      <c r="V394" s="361">
        <v>0</v>
      </c>
      <c r="W394" s="361">
        <v>0</v>
      </c>
      <c r="X394" s="362">
        <v>2100</v>
      </c>
      <c r="Y394" s="29">
        <v>0</v>
      </c>
      <c r="Z394" s="361">
        <f t="shared" si="191"/>
        <v>0</v>
      </c>
      <c r="AA394" s="361">
        <v>0</v>
      </c>
      <c r="AB394" s="361">
        <v>0</v>
      </c>
      <c r="AC394" s="362">
        <v>0</v>
      </c>
      <c r="AD394" s="7"/>
    </row>
    <row r="395" spans="1:30" s="8" customFormat="1" ht="34.9" customHeight="1" outlineLevel="1" x14ac:dyDescent="0.2">
      <c r="A395" s="352" t="s">
        <v>598</v>
      </c>
      <c r="B395" s="363" t="s">
        <v>453</v>
      </c>
      <c r="C395" s="286">
        <f t="shared" si="187"/>
        <v>5.05</v>
      </c>
      <c r="D395" s="361">
        <f t="shared" si="185"/>
        <v>1515</v>
      </c>
      <c r="E395" s="311">
        <v>0</v>
      </c>
      <c r="F395" s="260">
        <f t="shared" si="188"/>
        <v>0</v>
      </c>
      <c r="G395" s="361">
        <v>0</v>
      </c>
      <c r="H395" s="361">
        <v>0</v>
      </c>
      <c r="I395" s="361">
        <v>0</v>
      </c>
      <c r="J395" s="311">
        <v>0</v>
      </c>
      <c r="K395" s="260">
        <f t="shared" si="186"/>
        <v>0</v>
      </c>
      <c r="L395" s="361">
        <v>0</v>
      </c>
      <c r="M395" s="361">
        <v>0</v>
      </c>
      <c r="N395" s="361">
        <v>0</v>
      </c>
      <c r="O395" s="29">
        <v>0</v>
      </c>
      <c r="P395" s="361">
        <f t="shared" si="189"/>
        <v>0</v>
      </c>
      <c r="Q395" s="361">
        <v>0</v>
      </c>
      <c r="R395" s="361">
        <v>0</v>
      </c>
      <c r="S395" s="362">
        <v>0</v>
      </c>
      <c r="T395" s="29">
        <v>5.05</v>
      </c>
      <c r="U395" s="361">
        <f t="shared" si="190"/>
        <v>1515</v>
      </c>
      <c r="V395" s="361">
        <v>0</v>
      </c>
      <c r="W395" s="361">
        <v>0</v>
      </c>
      <c r="X395" s="362">
        <v>1515</v>
      </c>
      <c r="Y395" s="29">
        <v>0</v>
      </c>
      <c r="Z395" s="361">
        <f t="shared" si="191"/>
        <v>0</v>
      </c>
      <c r="AA395" s="361">
        <v>0</v>
      </c>
      <c r="AB395" s="361">
        <v>0</v>
      </c>
      <c r="AC395" s="362">
        <v>0</v>
      </c>
      <c r="AD395" s="7"/>
    </row>
    <row r="396" spans="1:30" s="8" customFormat="1" ht="32.450000000000003" customHeight="1" outlineLevel="1" x14ac:dyDescent="0.2">
      <c r="A396" s="319"/>
      <c r="B396" s="364" t="s">
        <v>444</v>
      </c>
      <c r="C396" s="365">
        <f>SUM(C397:C421)</f>
        <v>71.970000000000027</v>
      </c>
      <c r="D396" s="261">
        <f t="shared" ref="D396:AC396" si="194">SUM(D397:D421)</f>
        <v>17626</v>
      </c>
      <c r="E396" s="365">
        <f t="shared" si="194"/>
        <v>14.67</v>
      </c>
      <c r="F396" s="261">
        <f t="shared" si="194"/>
        <v>3294</v>
      </c>
      <c r="G396" s="261">
        <f t="shared" si="194"/>
        <v>0</v>
      </c>
      <c r="H396" s="261">
        <f t="shared" si="194"/>
        <v>0</v>
      </c>
      <c r="I396" s="261">
        <f t="shared" si="194"/>
        <v>3294</v>
      </c>
      <c r="J396" s="365">
        <f t="shared" si="194"/>
        <v>0</v>
      </c>
      <c r="K396" s="261">
        <f t="shared" si="194"/>
        <v>0</v>
      </c>
      <c r="L396" s="261">
        <f t="shared" si="194"/>
        <v>0</v>
      </c>
      <c r="M396" s="261">
        <f t="shared" si="194"/>
        <v>0</v>
      </c>
      <c r="N396" s="261">
        <f t="shared" si="194"/>
        <v>0</v>
      </c>
      <c r="O396" s="365">
        <f t="shared" si="194"/>
        <v>0</v>
      </c>
      <c r="P396" s="261">
        <f t="shared" si="194"/>
        <v>0</v>
      </c>
      <c r="Q396" s="261">
        <f t="shared" si="194"/>
        <v>0</v>
      </c>
      <c r="R396" s="261">
        <f t="shared" si="194"/>
        <v>0</v>
      </c>
      <c r="S396" s="261">
        <f t="shared" si="194"/>
        <v>0</v>
      </c>
      <c r="T396" s="365">
        <f t="shared" si="194"/>
        <v>57.300000000000011</v>
      </c>
      <c r="U396" s="261">
        <f t="shared" si="194"/>
        <v>14332</v>
      </c>
      <c r="V396" s="261">
        <f t="shared" si="194"/>
        <v>0</v>
      </c>
      <c r="W396" s="261">
        <f t="shared" si="194"/>
        <v>0</v>
      </c>
      <c r="X396" s="261">
        <f t="shared" si="194"/>
        <v>14332</v>
      </c>
      <c r="Y396" s="365">
        <f t="shared" si="194"/>
        <v>0</v>
      </c>
      <c r="Z396" s="261">
        <f t="shared" si="194"/>
        <v>0</v>
      </c>
      <c r="AA396" s="261">
        <f t="shared" si="194"/>
        <v>0</v>
      </c>
      <c r="AB396" s="261">
        <f t="shared" si="194"/>
        <v>0</v>
      </c>
      <c r="AC396" s="261">
        <f t="shared" si="194"/>
        <v>0</v>
      </c>
      <c r="AD396" s="7"/>
    </row>
    <row r="397" spans="1:30" s="8" customFormat="1" ht="42.75" customHeight="1" outlineLevel="1" x14ac:dyDescent="0.2">
      <c r="A397" s="352" t="s">
        <v>599</v>
      </c>
      <c r="B397" s="363" t="s">
        <v>1185</v>
      </c>
      <c r="C397" s="286">
        <f t="shared" si="187"/>
        <v>8.24</v>
      </c>
      <c r="D397" s="263">
        <f t="shared" si="185"/>
        <v>1139</v>
      </c>
      <c r="E397" s="311">
        <v>8.24</v>
      </c>
      <c r="F397" s="255">
        <f t="shared" si="188"/>
        <v>1139</v>
      </c>
      <c r="G397" s="361">
        <v>0</v>
      </c>
      <c r="H397" s="361">
        <v>0</v>
      </c>
      <c r="I397" s="263">
        <v>1139</v>
      </c>
      <c r="J397" s="311">
        <v>0</v>
      </c>
      <c r="K397" s="260">
        <f t="shared" si="186"/>
        <v>0</v>
      </c>
      <c r="L397" s="361">
        <v>0</v>
      </c>
      <c r="M397" s="361">
        <v>0</v>
      </c>
      <c r="N397" s="361">
        <v>0</v>
      </c>
      <c r="O397" s="29">
        <v>0</v>
      </c>
      <c r="P397" s="361">
        <f t="shared" si="189"/>
        <v>0</v>
      </c>
      <c r="Q397" s="361">
        <v>0</v>
      </c>
      <c r="R397" s="361">
        <v>0</v>
      </c>
      <c r="S397" s="362">
        <v>0</v>
      </c>
      <c r="T397" s="29">
        <v>0</v>
      </c>
      <c r="U397" s="361">
        <f t="shared" si="190"/>
        <v>0</v>
      </c>
      <c r="V397" s="361">
        <v>0</v>
      </c>
      <c r="W397" s="361">
        <v>0</v>
      </c>
      <c r="X397" s="362">
        <v>0</v>
      </c>
      <c r="Y397" s="29">
        <v>0</v>
      </c>
      <c r="Z397" s="361">
        <f t="shared" si="191"/>
        <v>0</v>
      </c>
      <c r="AA397" s="361">
        <v>0</v>
      </c>
      <c r="AB397" s="361">
        <v>0</v>
      </c>
      <c r="AC397" s="362">
        <v>0</v>
      </c>
      <c r="AD397" s="7"/>
    </row>
    <row r="398" spans="1:30" s="8" customFormat="1" ht="44.45" customHeight="1" outlineLevel="1" x14ac:dyDescent="0.2">
      <c r="A398" s="352" t="s">
        <v>600</v>
      </c>
      <c r="B398" s="363" t="s">
        <v>348</v>
      </c>
      <c r="C398" s="286">
        <f t="shared" si="187"/>
        <v>4</v>
      </c>
      <c r="D398" s="361">
        <f t="shared" si="185"/>
        <v>1000</v>
      </c>
      <c r="E398" s="311">
        <v>0</v>
      </c>
      <c r="F398" s="260">
        <f t="shared" si="188"/>
        <v>0</v>
      </c>
      <c r="G398" s="361">
        <v>0</v>
      </c>
      <c r="H398" s="361">
        <v>0</v>
      </c>
      <c r="I398" s="361">
        <v>0</v>
      </c>
      <c r="J398" s="311">
        <v>0</v>
      </c>
      <c r="K398" s="260">
        <f t="shared" si="186"/>
        <v>0</v>
      </c>
      <c r="L398" s="361">
        <v>0</v>
      </c>
      <c r="M398" s="361">
        <v>0</v>
      </c>
      <c r="N398" s="361">
        <v>0</v>
      </c>
      <c r="O398" s="29">
        <v>0</v>
      </c>
      <c r="P398" s="361">
        <f t="shared" si="189"/>
        <v>0</v>
      </c>
      <c r="Q398" s="361">
        <v>0</v>
      </c>
      <c r="R398" s="361">
        <v>0</v>
      </c>
      <c r="S398" s="362">
        <v>0</v>
      </c>
      <c r="T398" s="29">
        <v>4</v>
      </c>
      <c r="U398" s="361">
        <f t="shared" si="190"/>
        <v>1000</v>
      </c>
      <c r="V398" s="361">
        <v>0</v>
      </c>
      <c r="W398" s="361">
        <v>0</v>
      </c>
      <c r="X398" s="362">
        <v>1000</v>
      </c>
      <c r="Y398" s="29">
        <v>0</v>
      </c>
      <c r="Z398" s="361">
        <f t="shared" si="191"/>
        <v>0</v>
      </c>
      <c r="AA398" s="361">
        <v>0</v>
      </c>
      <c r="AB398" s="361">
        <v>0</v>
      </c>
      <c r="AC398" s="362">
        <v>0</v>
      </c>
      <c r="AD398" s="7"/>
    </row>
    <row r="399" spans="1:30" s="8" customFormat="1" ht="31.9" customHeight="1" outlineLevel="1" x14ac:dyDescent="0.2">
      <c r="A399" s="352" t="s">
        <v>601</v>
      </c>
      <c r="B399" s="363" t="s">
        <v>349</v>
      </c>
      <c r="C399" s="286">
        <f t="shared" si="187"/>
        <v>4.1499999999999995</v>
      </c>
      <c r="D399" s="361">
        <f t="shared" si="185"/>
        <v>1038</v>
      </c>
      <c r="E399" s="311">
        <v>0</v>
      </c>
      <c r="F399" s="260">
        <f t="shared" si="188"/>
        <v>0</v>
      </c>
      <c r="G399" s="361">
        <v>0</v>
      </c>
      <c r="H399" s="361">
        <v>0</v>
      </c>
      <c r="I399" s="361">
        <v>0</v>
      </c>
      <c r="J399" s="311">
        <v>0</v>
      </c>
      <c r="K399" s="260">
        <f t="shared" si="186"/>
        <v>0</v>
      </c>
      <c r="L399" s="361">
        <v>0</v>
      </c>
      <c r="M399" s="361">
        <v>0</v>
      </c>
      <c r="N399" s="361">
        <v>0</v>
      </c>
      <c r="O399" s="29">
        <v>0</v>
      </c>
      <c r="P399" s="361">
        <f t="shared" si="189"/>
        <v>0</v>
      </c>
      <c r="Q399" s="361">
        <v>0</v>
      </c>
      <c r="R399" s="361">
        <v>0</v>
      </c>
      <c r="S399" s="362">
        <v>0</v>
      </c>
      <c r="T399" s="29">
        <v>4.1499999999999995</v>
      </c>
      <c r="U399" s="361">
        <f t="shared" si="190"/>
        <v>1038</v>
      </c>
      <c r="V399" s="361">
        <v>0</v>
      </c>
      <c r="W399" s="361">
        <v>0</v>
      </c>
      <c r="X399" s="362">
        <v>1038</v>
      </c>
      <c r="Y399" s="29">
        <v>0</v>
      </c>
      <c r="Z399" s="361">
        <f t="shared" si="191"/>
        <v>0</v>
      </c>
      <c r="AA399" s="361">
        <v>0</v>
      </c>
      <c r="AB399" s="361">
        <v>0</v>
      </c>
      <c r="AC399" s="362">
        <v>0</v>
      </c>
      <c r="AD399" s="7"/>
    </row>
    <row r="400" spans="1:30" s="8" customFormat="1" ht="24" customHeight="1" outlineLevel="1" x14ac:dyDescent="0.2">
      <c r="A400" s="352" t="s">
        <v>602</v>
      </c>
      <c r="B400" s="363" t="s">
        <v>350</v>
      </c>
      <c r="C400" s="286">
        <f t="shared" si="187"/>
        <v>3.8</v>
      </c>
      <c r="D400" s="361">
        <f t="shared" si="185"/>
        <v>950</v>
      </c>
      <c r="E400" s="311">
        <v>0</v>
      </c>
      <c r="F400" s="260">
        <f t="shared" si="188"/>
        <v>0</v>
      </c>
      <c r="G400" s="361">
        <v>0</v>
      </c>
      <c r="H400" s="361">
        <v>0</v>
      </c>
      <c r="I400" s="361">
        <v>0</v>
      </c>
      <c r="J400" s="311">
        <v>0</v>
      </c>
      <c r="K400" s="260">
        <f t="shared" si="186"/>
        <v>0</v>
      </c>
      <c r="L400" s="361">
        <v>0</v>
      </c>
      <c r="M400" s="361">
        <v>0</v>
      </c>
      <c r="N400" s="361">
        <v>0</v>
      </c>
      <c r="O400" s="29">
        <v>0</v>
      </c>
      <c r="P400" s="361">
        <f t="shared" si="189"/>
        <v>0</v>
      </c>
      <c r="Q400" s="361">
        <v>0</v>
      </c>
      <c r="R400" s="361">
        <v>0</v>
      </c>
      <c r="S400" s="362">
        <v>0</v>
      </c>
      <c r="T400" s="29">
        <v>3.8</v>
      </c>
      <c r="U400" s="361">
        <f t="shared" si="190"/>
        <v>950</v>
      </c>
      <c r="V400" s="361">
        <v>0</v>
      </c>
      <c r="W400" s="361">
        <v>0</v>
      </c>
      <c r="X400" s="362">
        <v>950</v>
      </c>
      <c r="Y400" s="29">
        <v>0</v>
      </c>
      <c r="Z400" s="361">
        <f t="shared" si="191"/>
        <v>0</v>
      </c>
      <c r="AA400" s="361">
        <v>0</v>
      </c>
      <c r="AB400" s="361">
        <v>0</v>
      </c>
      <c r="AC400" s="362">
        <v>0</v>
      </c>
      <c r="AD400" s="7"/>
    </row>
    <row r="401" spans="1:30" s="8" customFormat="1" ht="26.45" customHeight="1" outlineLevel="1" x14ac:dyDescent="0.2">
      <c r="A401" s="352" t="s">
        <v>603</v>
      </c>
      <c r="B401" s="363" t="s">
        <v>351</v>
      </c>
      <c r="C401" s="286">
        <f t="shared" si="187"/>
        <v>2.0499999999999998</v>
      </c>
      <c r="D401" s="361">
        <f t="shared" si="185"/>
        <v>513</v>
      </c>
      <c r="E401" s="311">
        <v>0</v>
      </c>
      <c r="F401" s="260">
        <f t="shared" si="188"/>
        <v>0</v>
      </c>
      <c r="G401" s="361">
        <v>0</v>
      </c>
      <c r="H401" s="361">
        <v>0</v>
      </c>
      <c r="I401" s="361">
        <v>0</v>
      </c>
      <c r="J401" s="311">
        <v>0</v>
      </c>
      <c r="K401" s="260">
        <f t="shared" si="186"/>
        <v>0</v>
      </c>
      <c r="L401" s="361">
        <v>0</v>
      </c>
      <c r="M401" s="361">
        <v>0</v>
      </c>
      <c r="N401" s="361">
        <v>0</v>
      </c>
      <c r="O401" s="29">
        <v>0</v>
      </c>
      <c r="P401" s="361">
        <f t="shared" si="189"/>
        <v>0</v>
      </c>
      <c r="Q401" s="361">
        <v>0</v>
      </c>
      <c r="R401" s="361">
        <v>0</v>
      </c>
      <c r="S401" s="362">
        <v>0</v>
      </c>
      <c r="T401" s="29">
        <v>2.0499999999999998</v>
      </c>
      <c r="U401" s="361">
        <f t="shared" si="190"/>
        <v>513</v>
      </c>
      <c r="V401" s="361">
        <v>0</v>
      </c>
      <c r="W401" s="361">
        <v>0</v>
      </c>
      <c r="X401" s="362">
        <v>513</v>
      </c>
      <c r="Y401" s="29">
        <v>0</v>
      </c>
      <c r="Z401" s="361">
        <f t="shared" si="191"/>
        <v>0</v>
      </c>
      <c r="AA401" s="361">
        <v>0</v>
      </c>
      <c r="AB401" s="361">
        <v>0</v>
      </c>
      <c r="AC401" s="362">
        <v>0</v>
      </c>
      <c r="AD401" s="7"/>
    </row>
    <row r="402" spans="1:30" s="8" customFormat="1" ht="27" customHeight="1" outlineLevel="1" x14ac:dyDescent="0.2">
      <c r="A402" s="352" t="s">
        <v>604</v>
      </c>
      <c r="B402" s="363" t="s">
        <v>844</v>
      </c>
      <c r="C402" s="286">
        <f t="shared" si="187"/>
        <v>2.9499999999999997</v>
      </c>
      <c r="D402" s="361">
        <f t="shared" si="185"/>
        <v>738</v>
      </c>
      <c r="E402" s="311">
        <v>0</v>
      </c>
      <c r="F402" s="260">
        <f t="shared" si="188"/>
        <v>0</v>
      </c>
      <c r="G402" s="361">
        <v>0</v>
      </c>
      <c r="H402" s="361">
        <v>0</v>
      </c>
      <c r="I402" s="361">
        <v>0</v>
      </c>
      <c r="J402" s="311">
        <v>0</v>
      </c>
      <c r="K402" s="260">
        <f t="shared" si="186"/>
        <v>0</v>
      </c>
      <c r="L402" s="361">
        <v>0</v>
      </c>
      <c r="M402" s="361">
        <v>0</v>
      </c>
      <c r="N402" s="361">
        <v>0</v>
      </c>
      <c r="O402" s="29">
        <v>0</v>
      </c>
      <c r="P402" s="361">
        <f t="shared" si="189"/>
        <v>0</v>
      </c>
      <c r="Q402" s="361">
        <v>0</v>
      </c>
      <c r="R402" s="361">
        <v>0</v>
      </c>
      <c r="S402" s="362">
        <v>0</v>
      </c>
      <c r="T402" s="29">
        <v>2.9499999999999997</v>
      </c>
      <c r="U402" s="361">
        <f t="shared" si="190"/>
        <v>738</v>
      </c>
      <c r="V402" s="361">
        <v>0</v>
      </c>
      <c r="W402" s="361">
        <v>0</v>
      </c>
      <c r="X402" s="362">
        <v>738</v>
      </c>
      <c r="Y402" s="29">
        <v>0</v>
      </c>
      <c r="Z402" s="361">
        <f t="shared" si="191"/>
        <v>0</v>
      </c>
      <c r="AA402" s="361">
        <v>0</v>
      </c>
      <c r="AB402" s="361">
        <v>0</v>
      </c>
      <c r="AC402" s="362">
        <v>0</v>
      </c>
      <c r="AD402" s="7"/>
    </row>
    <row r="403" spans="1:30" s="8" customFormat="1" ht="24" customHeight="1" outlineLevel="1" x14ac:dyDescent="0.2">
      <c r="A403" s="352" t="s">
        <v>605</v>
      </c>
      <c r="B403" s="363" t="s">
        <v>845</v>
      </c>
      <c r="C403" s="286">
        <f t="shared" si="187"/>
        <v>5.6499999999999995</v>
      </c>
      <c r="D403" s="361">
        <f t="shared" si="185"/>
        <v>1413</v>
      </c>
      <c r="E403" s="311">
        <v>0</v>
      </c>
      <c r="F403" s="260">
        <f t="shared" si="188"/>
        <v>0</v>
      </c>
      <c r="G403" s="361">
        <v>0</v>
      </c>
      <c r="H403" s="361">
        <v>0</v>
      </c>
      <c r="I403" s="361">
        <v>0</v>
      </c>
      <c r="J403" s="311">
        <v>0</v>
      </c>
      <c r="K403" s="260">
        <f t="shared" si="186"/>
        <v>0</v>
      </c>
      <c r="L403" s="361">
        <v>0</v>
      </c>
      <c r="M403" s="361">
        <v>0</v>
      </c>
      <c r="N403" s="361">
        <v>0</v>
      </c>
      <c r="O403" s="29">
        <v>0</v>
      </c>
      <c r="P403" s="361">
        <f t="shared" si="189"/>
        <v>0</v>
      </c>
      <c r="Q403" s="361">
        <v>0</v>
      </c>
      <c r="R403" s="361">
        <v>0</v>
      </c>
      <c r="S403" s="362">
        <v>0</v>
      </c>
      <c r="T403" s="29">
        <v>5.6499999999999995</v>
      </c>
      <c r="U403" s="361">
        <f t="shared" si="190"/>
        <v>1413</v>
      </c>
      <c r="V403" s="361">
        <v>0</v>
      </c>
      <c r="W403" s="361">
        <v>0</v>
      </c>
      <c r="X403" s="362">
        <v>1413</v>
      </c>
      <c r="Y403" s="29">
        <v>0</v>
      </c>
      <c r="Z403" s="361">
        <f t="shared" si="191"/>
        <v>0</v>
      </c>
      <c r="AA403" s="361">
        <v>0</v>
      </c>
      <c r="AB403" s="361">
        <v>0</v>
      </c>
      <c r="AC403" s="362">
        <v>0</v>
      </c>
      <c r="AD403" s="7"/>
    </row>
    <row r="404" spans="1:30" s="8" customFormat="1" ht="28.15" customHeight="1" outlineLevel="1" x14ac:dyDescent="0.2">
      <c r="A404" s="352" t="s">
        <v>606</v>
      </c>
      <c r="B404" s="363" t="s">
        <v>846</v>
      </c>
      <c r="C404" s="286">
        <f t="shared" si="187"/>
        <v>3.35</v>
      </c>
      <c r="D404" s="361">
        <f t="shared" si="185"/>
        <v>838</v>
      </c>
      <c r="E404" s="311">
        <v>0</v>
      </c>
      <c r="F404" s="260">
        <f t="shared" si="188"/>
        <v>0</v>
      </c>
      <c r="G404" s="361">
        <v>0</v>
      </c>
      <c r="H404" s="361">
        <v>0</v>
      </c>
      <c r="I404" s="361">
        <v>0</v>
      </c>
      <c r="J404" s="311">
        <v>0</v>
      </c>
      <c r="K404" s="260">
        <f t="shared" si="186"/>
        <v>0</v>
      </c>
      <c r="L404" s="361">
        <v>0</v>
      </c>
      <c r="M404" s="361">
        <v>0</v>
      </c>
      <c r="N404" s="361">
        <v>0</v>
      </c>
      <c r="O404" s="29">
        <v>0</v>
      </c>
      <c r="P404" s="361">
        <f t="shared" si="189"/>
        <v>0</v>
      </c>
      <c r="Q404" s="361">
        <v>0</v>
      </c>
      <c r="R404" s="361">
        <v>0</v>
      </c>
      <c r="S404" s="362">
        <v>0</v>
      </c>
      <c r="T404" s="29">
        <v>3.35</v>
      </c>
      <c r="U404" s="361">
        <f t="shared" si="190"/>
        <v>838</v>
      </c>
      <c r="V404" s="361">
        <v>0</v>
      </c>
      <c r="W404" s="361">
        <v>0</v>
      </c>
      <c r="X404" s="362">
        <v>838</v>
      </c>
      <c r="Y404" s="29">
        <v>0</v>
      </c>
      <c r="Z404" s="361">
        <f t="shared" si="191"/>
        <v>0</v>
      </c>
      <c r="AA404" s="361">
        <v>0</v>
      </c>
      <c r="AB404" s="361">
        <v>0</v>
      </c>
      <c r="AC404" s="362">
        <v>0</v>
      </c>
      <c r="AD404" s="7"/>
    </row>
    <row r="405" spans="1:30" s="8" customFormat="1" ht="23.45" customHeight="1" outlineLevel="1" x14ac:dyDescent="0.2">
      <c r="A405" s="352" t="s">
        <v>607</v>
      </c>
      <c r="B405" s="363" t="s">
        <v>352</v>
      </c>
      <c r="C405" s="286">
        <f t="shared" si="187"/>
        <v>2.9499999999999997</v>
      </c>
      <c r="D405" s="361">
        <f t="shared" si="185"/>
        <v>738</v>
      </c>
      <c r="E405" s="311">
        <v>0</v>
      </c>
      <c r="F405" s="260">
        <f t="shared" si="188"/>
        <v>0</v>
      </c>
      <c r="G405" s="361">
        <v>0</v>
      </c>
      <c r="H405" s="361">
        <v>0</v>
      </c>
      <c r="I405" s="361">
        <v>0</v>
      </c>
      <c r="J405" s="311">
        <v>0</v>
      </c>
      <c r="K405" s="260">
        <f t="shared" si="186"/>
        <v>0</v>
      </c>
      <c r="L405" s="361">
        <v>0</v>
      </c>
      <c r="M405" s="361">
        <v>0</v>
      </c>
      <c r="N405" s="361">
        <v>0</v>
      </c>
      <c r="O405" s="29">
        <v>0</v>
      </c>
      <c r="P405" s="361">
        <f t="shared" si="189"/>
        <v>0</v>
      </c>
      <c r="Q405" s="361">
        <v>0</v>
      </c>
      <c r="R405" s="361">
        <v>0</v>
      </c>
      <c r="S405" s="362">
        <v>0</v>
      </c>
      <c r="T405" s="29">
        <v>2.9499999999999997</v>
      </c>
      <c r="U405" s="361">
        <f t="shared" si="190"/>
        <v>738</v>
      </c>
      <c r="V405" s="361">
        <v>0</v>
      </c>
      <c r="W405" s="361">
        <v>0</v>
      </c>
      <c r="X405" s="362">
        <v>738</v>
      </c>
      <c r="Y405" s="29">
        <v>0</v>
      </c>
      <c r="Z405" s="361">
        <f t="shared" si="191"/>
        <v>0</v>
      </c>
      <c r="AA405" s="361">
        <v>0</v>
      </c>
      <c r="AB405" s="361">
        <v>0</v>
      </c>
      <c r="AC405" s="362">
        <v>0</v>
      </c>
      <c r="AD405" s="7"/>
    </row>
    <row r="406" spans="1:30" s="8" customFormat="1" ht="24" customHeight="1" outlineLevel="1" x14ac:dyDescent="0.2">
      <c r="A406" s="352" t="s">
        <v>608</v>
      </c>
      <c r="B406" s="363" t="s">
        <v>353</v>
      </c>
      <c r="C406" s="286">
        <f t="shared" si="187"/>
        <v>1.6</v>
      </c>
      <c r="D406" s="361">
        <f t="shared" si="185"/>
        <v>400</v>
      </c>
      <c r="E406" s="311">
        <v>0</v>
      </c>
      <c r="F406" s="260">
        <f t="shared" si="188"/>
        <v>0</v>
      </c>
      <c r="G406" s="361">
        <v>0</v>
      </c>
      <c r="H406" s="361">
        <v>0</v>
      </c>
      <c r="I406" s="361">
        <v>0</v>
      </c>
      <c r="J406" s="311">
        <v>0</v>
      </c>
      <c r="K406" s="260">
        <f t="shared" si="186"/>
        <v>0</v>
      </c>
      <c r="L406" s="361">
        <v>0</v>
      </c>
      <c r="M406" s="361">
        <v>0</v>
      </c>
      <c r="N406" s="361">
        <v>0</v>
      </c>
      <c r="O406" s="29">
        <v>0</v>
      </c>
      <c r="P406" s="361">
        <f t="shared" si="189"/>
        <v>0</v>
      </c>
      <c r="Q406" s="361">
        <v>0</v>
      </c>
      <c r="R406" s="361">
        <v>0</v>
      </c>
      <c r="S406" s="362">
        <v>0</v>
      </c>
      <c r="T406" s="29">
        <v>1.6</v>
      </c>
      <c r="U406" s="361">
        <f t="shared" si="190"/>
        <v>400</v>
      </c>
      <c r="V406" s="361">
        <v>0</v>
      </c>
      <c r="W406" s="361">
        <v>0</v>
      </c>
      <c r="X406" s="362">
        <v>400</v>
      </c>
      <c r="Y406" s="29">
        <v>0</v>
      </c>
      <c r="Z406" s="361">
        <f t="shared" si="191"/>
        <v>0</v>
      </c>
      <c r="AA406" s="361">
        <v>0</v>
      </c>
      <c r="AB406" s="361">
        <v>0</v>
      </c>
      <c r="AC406" s="362">
        <v>0</v>
      </c>
      <c r="AD406" s="7"/>
    </row>
    <row r="407" spans="1:30" s="8" customFormat="1" ht="22.9" customHeight="1" outlineLevel="1" x14ac:dyDescent="0.2">
      <c r="A407" s="352" t="s">
        <v>609</v>
      </c>
      <c r="B407" s="363" t="s">
        <v>354</v>
      </c>
      <c r="C407" s="286">
        <f t="shared" si="187"/>
        <v>1.6</v>
      </c>
      <c r="D407" s="361">
        <f t="shared" si="185"/>
        <v>400</v>
      </c>
      <c r="E407" s="311">
        <v>0</v>
      </c>
      <c r="F407" s="260">
        <f t="shared" si="188"/>
        <v>0</v>
      </c>
      <c r="G407" s="361">
        <v>0</v>
      </c>
      <c r="H407" s="361">
        <v>0</v>
      </c>
      <c r="I407" s="361">
        <v>0</v>
      </c>
      <c r="J407" s="311">
        <v>0</v>
      </c>
      <c r="K407" s="260">
        <f t="shared" si="186"/>
        <v>0</v>
      </c>
      <c r="L407" s="361">
        <v>0</v>
      </c>
      <c r="M407" s="361">
        <v>0</v>
      </c>
      <c r="N407" s="361">
        <v>0</v>
      </c>
      <c r="O407" s="29">
        <v>0</v>
      </c>
      <c r="P407" s="361">
        <f t="shared" si="189"/>
        <v>0</v>
      </c>
      <c r="Q407" s="361">
        <v>0</v>
      </c>
      <c r="R407" s="361">
        <v>0</v>
      </c>
      <c r="S407" s="362">
        <v>0</v>
      </c>
      <c r="T407" s="29">
        <v>1.6</v>
      </c>
      <c r="U407" s="361">
        <f t="shared" si="190"/>
        <v>400</v>
      </c>
      <c r="V407" s="361">
        <v>0</v>
      </c>
      <c r="W407" s="361">
        <v>0</v>
      </c>
      <c r="X407" s="362">
        <v>400</v>
      </c>
      <c r="Y407" s="29">
        <v>0</v>
      </c>
      <c r="Z407" s="361">
        <f t="shared" si="191"/>
        <v>0</v>
      </c>
      <c r="AA407" s="361">
        <v>0</v>
      </c>
      <c r="AB407" s="361">
        <v>0</v>
      </c>
      <c r="AC407" s="362">
        <v>0</v>
      </c>
      <c r="AD407" s="7"/>
    </row>
    <row r="408" spans="1:30" s="8" customFormat="1" ht="22.9" customHeight="1" outlineLevel="1" x14ac:dyDescent="0.2">
      <c r="A408" s="352" t="s">
        <v>610</v>
      </c>
      <c r="B408" s="363" t="s">
        <v>847</v>
      </c>
      <c r="C408" s="286">
        <f t="shared" si="187"/>
        <v>1.6</v>
      </c>
      <c r="D408" s="361">
        <f t="shared" si="185"/>
        <v>400</v>
      </c>
      <c r="E408" s="311">
        <v>0</v>
      </c>
      <c r="F408" s="260">
        <f t="shared" si="188"/>
        <v>0</v>
      </c>
      <c r="G408" s="361">
        <v>0</v>
      </c>
      <c r="H408" s="361">
        <v>0</v>
      </c>
      <c r="I408" s="361">
        <v>0</v>
      </c>
      <c r="J408" s="311">
        <v>0</v>
      </c>
      <c r="K408" s="260">
        <f t="shared" si="186"/>
        <v>0</v>
      </c>
      <c r="L408" s="361">
        <v>0</v>
      </c>
      <c r="M408" s="361">
        <v>0</v>
      </c>
      <c r="N408" s="361">
        <v>0</v>
      </c>
      <c r="O408" s="29">
        <v>0</v>
      </c>
      <c r="P408" s="361">
        <f t="shared" si="189"/>
        <v>0</v>
      </c>
      <c r="Q408" s="361">
        <v>0</v>
      </c>
      <c r="R408" s="361">
        <v>0</v>
      </c>
      <c r="S408" s="362">
        <v>0</v>
      </c>
      <c r="T408" s="29">
        <v>1.6</v>
      </c>
      <c r="U408" s="361">
        <f t="shared" si="190"/>
        <v>400</v>
      </c>
      <c r="V408" s="361">
        <v>0</v>
      </c>
      <c r="W408" s="361">
        <v>0</v>
      </c>
      <c r="X408" s="362">
        <v>400</v>
      </c>
      <c r="Y408" s="29">
        <v>0</v>
      </c>
      <c r="Z408" s="361">
        <f t="shared" si="191"/>
        <v>0</v>
      </c>
      <c r="AA408" s="361">
        <v>0</v>
      </c>
      <c r="AB408" s="361">
        <v>0</v>
      </c>
      <c r="AC408" s="362">
        <v>0</v>
      </c>
      <c r="AD408" s="7"/>
    </row>
    <row r="409" spans="1:30" s="8" customFormat="1" ht="22.15" customHeight="1" outlineLevel="1" x14ac:dyDescent="0.2">
      <c r="A409" s="352" t="s">
        <v>611</v>
      </c>
      <c r="B409" s="363" t="s">
        <v>355</v>
      </c>
      <c r="C409" s="286">
        <f t="shared" si="187"/>
        <v>1.75</v>
      </c>
      <c r="D409" s="361">
        <f t="shared" si="185"/>
        <v>438</v>
      </c>
      <c r="E409" s="311">
        <v>0</v>
      </c>
      <c r="F409" s="260">
        <f t="shared" si="188"/>
        <v>0</v>
      </c>
      <c r="G409" s="361">
        <v>0</v>
      </c>
      <c r="H409" s="361">
        <v>0</v>
      </c>
      <c r="I409" s="361">
        <v>0</v>
      </c>
      <c r="J409" s="311">
        <v>0</v>
      </c>
      <c r="K409" s="260">
        <f t="shared" si="186"/>
        <v>0</v>
      </c>
      <c r="L409" s="361">
        <v>0</v>
      </c>
      <c r="M409" s="361">
        <v>0</v>
      </c>
      <c r="N409" s="361">
        <v>0</v>
      </c>
      <c r="O409" s="29">
        <v>0</v>
      </c>
      <c r="P409" s="361">
        <f t="shared" si="189"/>
        <v>0</v>
      </c>
      <c r="Q409" s="361">
        <v>0</v>
      </c>
      <c r="R409" s="361">
        <v>0</v>
      </c>
      <c r="S409" s="362">
        <v>0</v>
      </c>
      <c r="T409" s="29">
        <v>1.75</v>
      </c>
      <c r="U409" s="361">
        <f t="shared" si="190"/>
        <v>438</v>
      </c>
      <c r="V409" s="361">
        <v>0</v>
      </c>
      <c r="W409" s="361">
        <v>0</v>
      </c>
      <c r="X409" s="362">
        <v>438</v>
      </c>
      <c r="Y409" s="29">
        <v>0</v>
      </c>
      <c r="Z409" s="361">
        <f t="shared" si="191"/>
        <v>0</v>
      </c>
      <c r="AA409" s="361">
        <v>0</v>
      </c>
      <c r="AB409" s="361">
        <v>0</v>
      </c>
      <c r="AC409" s="362">
        <v>0</v>
      </c>
      <c r="AD409" s="7"/>
    </row>
    <row r="410" spans="1:30" s="8" customFormat="1" ht="22.15" customHeight="1" outlineLevel="1" x14ac:dyDescent="0.2">
      <c r="A410" s="352" t="s">
        <v>612</v>
      </c>
      <c r="B410" s="363" t="s">
        <v>356</v>
      </c>
      <c r="C410" s="286">
        <f t="shared" si="187"/>
        <v>2.9499999999999997</v>
      </c>
      <c r="D410" s="361">
        <f t="shared" si="185"/>
        <v>738</v>
      </c>
      <c r="E410" s="311">
        <v>0</v>
      </c>
      <c r="F410" s="260">
        <f t="shared" si="188"/>
        <v>0</v>
      </c>
      <c r="G410" s="361">
        <v>0</v>
      </c>
      <c r="H410" s="361">
        <v>0</v>
      </c>
      <c r="I410" s="361">
        <v>0</v>
      </c>
      <c r="J410" s="311">
        <v>0</v>
      </c>
      <c r="K410" s="260">
        <f t="shared" si="186"/>
        <v>0</v>
      </c>
      <c r="L410" s="361">
        <v>0</v>
      </c>
      <c r="M410" s="361">
        <v>0</v>
      </c>
      <c r="N410" s="361">
        <v>0</v>
      </c>
      <c r="O410" s="29">
        <v>0</v>
      </c>
      <c r="P410" s="361">
        <f t="shared" si="189"/>
        <v>0</v>
      </c>
      <c r="Q410" s="361">
        <v>0</v>
      </c>
      <c r="R410" s="361">
        <v>0</v>
      </c>
      <c r="S410" s="362">
        <v>0</v>
      </c>
      <c r="T410" s="29">
        <v>2.9499999999999997</v>
      </c>
      <c r="U410" s="361">
        <f t="shared" si="190"/>
        <v>738</v>
      </c>
      <c r="V410" s="361">
        <v>0</v>
      </c>
      <c r="W410" s="361">
        <v>0</v>
      </c>
      <c r="X410" s="362">
        <v>738</v>
      </c>
      <c r="Y410" s="29">
        <v>0</v>
      </c>
      <c r="Z410" s="361">
        <f t="shared" si="191"/>
        <v>0</v>
      </c>
      <c r="AA410" s="361">
        <v>0</v>
      </c>
      <c r="AB410" s="361">
        <v>0</v>
      </c>
      <c r="AC410" s="362">
        <v>0</v>
      </c>
      <c r="AD410" s="7"/>
    </row>
    <row r="411" spans="1:30" s="8" customFormat="1" ht="22.15" customHeight="1" outlineLevel="1" x14ac:dyDescent="0.2">
      <c r="A411" s="352" t="s">
        <v>613</v>
      </c>
      <c r="B411" s="363" t="s">
        <v>357</v>
      </c>
      <c r="C411" s="286">
        <f t="shared" si="187"/>
        <v>1.05</v>
      </c>
      <c r="D411" s="361">
        <f t="shared" si="185"/>
        <v>263</v>
      </c>
      <c r="E411" s="311">
        <v>0</v>
      </c>
      <c r="F411" s="260">
        <f t="shared" si="188"/>
        <v>0</v>
      </c>
      <c r="G411" s="361">
        <v>0</v>
      </c>
      <c r="H411" s="361">
        <v>0</v>
      </c>
      <c r="I411" s="361">
        <v>0</v>
      </c>
      <c r="J411" s="311">
        <v>0</v>
      </c>
      <c r="K411" s="260">
        <f t="shared" si="186"/>
        <v>0</v>
      </c>
      <c r="L411" s="361">
        <v>0</v>
      </c>
      <c r="M411" s="361">
        <v>0</v>
      </c>
      <c r="N411" s="361">
        <v>0</v>
      </c>
      <c r="O411" s="29">
        <v>0</v>
      </c>
      <c r="P411" s="361">
        <f t="shared" si="189"/>
        <v>0</v>
      </c>
      <c r="Q411" s="361">
        <v>0</v>
      </c>
      <c r="R411" s="361">
        <v>0</v>
      </c>
      <c r="S411" s="362">
        <v>0</v>
      </c>
      <c r="T411" s="29">
        <v>1.05</v>
      </c>
      <c r="U411" s="361">
        <f t="shared" si="190"/>
        <v>263</v>
      </c>
      <c r="V411" s="361">
        <v>0</v>
      </c>
      <c r="W411" s="361">
        <v>0</v>
      </c>
      <c r="X411" s="362">
        <v>263</v>
      </c>
      <c r="Y411" s="29">
        <v>0</v>
      </c>
      <c r="Z411" s="361">
        <f t="shared" si="191"/>
        <v>0</v>
      </c>
      <c r="AA411" s="361">
        <v>0</v>
      </c>
      <c r="AB411" s="361">
        <v>0</v>
      </c>
      <c r="AC411" s="362">
        <v>0</v>
      </c>
      <c r="AD411" s="7"/>
    </row>
    <row r="412" spans="1:30" s="8" customFormat="1" ht="22.15" customHeight="1" outlineLevel="1" x14ac:dyDescent="0.2">
      <c r="A412" s="352" t="s">
        <v>614</v>
      </c>
      <c r="B412" s="363" t="s">
        <v>358</v>
      </c>
      <c r="C412" s="286">
        <f t="shared" si="187"/>
        <v>1.1000000000000001</v>
      </c>
      <c r="D412" s="361">
        <f t="shared" si="185"/>
        <v>275</v>
      </c>
      <c r="E412" s="311">
        <v>0</v>
      </c>
      <c r="F412" s="260">
        <f t="shared" si="188"/>
        <v>0</v>
      </c>
      <c r="G412" s="361">
        <v>0</v>
      </c>
      <c r="H412" s="361">
        <v>0</v>
      </c>
      <c r="I412" s="361">
        <v>0</v>
      </c>
      <c r="J412" s="311">
        <v>0</v>
      </c>
      <c r="K412" s="260">
        <f t="shared" si="186"/>
        <v>0</v>
      </c>
      <c r="L412" s="361">
        <v>0</v>
      </c>
      <c r="M412" s="361">
        <v>0</v>
      </c>
      <c r="N412" s="361">
        <v>0</v>
      </c>
      <c r="O412" s="29">
        <v>0</v>
      </c>
      <c r="P412" s="361">
        <f t="shared" si="189"/>
        <v>0</v>
      </c>
      <c r="Q412" s="361">
        <v>0</v>
      </c>
      <c r="R412" s="361">
        <v>0</v>
      </c>
      <c r="S412" s="362">
        <v>0</v>
      </c>
      <c r="T412" s="29">
        <v>1.1000000000000001</v>
      </c>
      <c r="U412" s="361">
        <f t="shared" si="190"/>
        <v>275</v>
      </c>
      <c r="V412" s="361">
        <v>0</v>
      </c>
      <c r="W412" s="361">
        <v>0</v>
      </c>
      <c r="X412" s="362">
        <v>275</v>
      </c>
      <c r="Y412" s="29">
        <v>0</v>
      </c>
      <c r="Z412" s="361">
        <f t="shared" si="191"/>
        <v>0</v>
      </c>
      <c r="AA412" s="361">
        <v>0</v>
      </c>
      <c r="AB412" s="361">
        <v>0</v>
      </c>
      <c r="AC412" s="362">
        <v>0</v>
      </c>
      <c r="AD412" s="7"/>
    </row>
    <row r="413" spans="1:30" s="8" customFormat="1" ht="22.9" customHeight="1" outlineLevel="1" x14ac:dyDescent="0.2">
      <c r="A413" s="352" t="s">
        <v>615</v>
      </c>
      <c r="B413" s="363" t="s">
        <v>359</v>
      </c>
      <c r="C413" s="286">
        <f t="shared" si="187"/>
        <v>1.1000000000000001</v>
      </c>
      <c r="D413" s="361">
        <f t="shared" si="185"/>
        <v>275</v>
      </c>
      <c r="E413" s="311">
        <v>0</v>
      </c>
      <c r="F413" s="260">
        <f t="shared" si="188"/>
        <v>0</v>
      </c>
      <c r="G413" s="361">
        <v>0</v>
      </c>
      <c r="H413" s="361">
        <v>0</v>
      </c>
      <c r="I413" s="361">
        <v>0</v>
      </c>
      <c r="J413" s="311">
        <v>0</v>
      </c>
      <c r="K413" s="260">
        <f t="shared" si="186"/>
        <v>0</v>
      </c>
      <c r="L413" s="361">
        <v>0</v>
      </c>
      <c r="M413" s="361">
        <v>0</v>
      </c>
      <c r="N413" s="361">
        <v>0</v>
      </c>
      <c r="O413" s="29">
        <v>0</v>
      </c>
      <c r="P413" s="361">
        <f t="shared" si="189"/>
        <v>0</v>
      </c>
      <c r="Q413" s="361">
        <v>0</v>
      </c>
      <c r="R413" s="361">
        <v>0</v>
      </c>
      <c r="S413" s="362">
        <v>0</v>
      </c>
      <c r="T413" s="29">
        <v>1.1000000000000001</v>
      </c>
      <c r="U413" s="361">
        <f t="shared" si="190"/>
        <v>275</v>
      </c>
      <c r="V413" s="361">
        <v>0</v>
      </c>
      <c r="W413" s="361">
        <v>0</v>
      </c>
      <c r="X413" s="362">
        <v>275</v>
      </c>
      <c r="Y413" s="29">
        <v>0</v>
      </c>
      <c r="Z413" s="361">
        <f t="shared" si="191"/>
        <v>0</v>
      </c>
      <c r="AA413" s="361">
        <v>0</v>
      </c>
      <c r="AB413" s="361">
        <v>0</v>
      </c>
      <c r="AC413" s="362">
        <v>0</v>
      </c>
      <c r="AD413" s="7"/>
    </row>
    <row r="414" spans="1:30" s="8" customFormat="1" ht="24.6" customHeight="1" outlineLevel="1" x14ac:dyDescent="0.2">
      <c r="A414" s="352" t="s">
        <v>616</v>
      </c>
      <c r="B414" s="363" t="s">
        <v>360</v>
      </c>
      <c r="C414" s="286">
        <f t="shared" si="187"/>
        <v>2.9499999999999997</v>
      </c>
      <c r="D414" s="361">
        <f t="shared" si="185"/>
        <v>738</v>
      </c>
      <c r="E414" s="311">
        <v>0</v>
      </c>
      <c r="F414" s="260">
        <f t="shared" si="188"/>
        <v>0</v>
      </c>
      <c r="G414" s="361">
        <v>0</v>
      </c>
      <c r="H414" s="361">
        <v>0</v>
      </c>
      <c r="I414" s="361">
        <v>0</v>
      </c>
      <c r="J414" s="311">
        <v>0</v>
      </c>
      <c r="K414" s="260">
        <f t="shared" si="186"/>
        <v>0</v>
      </c>
      <c r="L414" s="361">
        <v>0</v>
      </c>
      <c r="M414" s="361">
        <v>0</v>
      </c>
      <c r="N414" s="361">
        <v>0</v>
      </c>
      <c r="O414" s="29">
        <v>0</v>
      </c>
      <c r="P414" s="361">
        <f t="shared" si="189"/>
        <v>0</v>
      </c>
      <c r="Q414" s="361">
        <v>0</v>
      </c>
      <c r="R414" s="361">
        <v>0</v>
      </c>
      <c r="S414" s="362">
        <v>0</v>
      </c>
      <c r="T414" s="29">
        <v>2.9499999999999997</v>
      </c>
      <c r="U414" s="361">
        <f t="shared" si="190"/>
        <v>738</v>
      </c>
      <c r="V414" s="361">
        <v>0</v>
      </c>
      <c r="W414" s="361">
        <v>0</v>
      </c>
      <c r="X414" s="362">
        <v>738</v>
      </c>
      <c r="Y414" s="29">
        <v>0</v>
      </c>
      <c r="Z414" s="361">
        <f t="shared" si="191"/>
        <v>0</v>
      </c>
      <c r="AA414" s="361">
        <v>0</v>
      </c>
      <c r="AB414" s="361">
        <v>0</v>
      </c>
      <c r="AC414" s="362">
        <v>0</v>
      </c>
      <c r="AD414" s="7"/>
    </row>
    <row r="415" spans="1:30" s="8" customFormat="1" ht="23.45" customHeight="1" outlineLevel="1" x14ac:dyDescent="0.2">
      <c r="A415" s="352" t="s">
        <v>617</v>
      </c>
      <c r="B415" s="363" t="s">
        <v>361</v>
      </c>
      <c r="C415" s="286">
        <f t="shared" si="187"/>
        <v>2.9499999999999997</v>
      </c>
      <c r="D415" s="361">
        <f t="shared" si="185"/>
        <v>738</v>
      </c>
      <c r="E415" s="311">
        <v>0</v>
      </c>
      <c r="F415" s="260">
        <f t="shared" si="188"/>
        <v>0</v>
      </c>
      <c r="G415" s="361">
        <v>0</v>
      </c>
      <c r="H415" s="361">
        <v>0</v>
      </c>
      <c r="I415" s="361">
        <v>0</v>
      </c>
      <c r="J415" s="311">
        <v>0</v>
      </c>
      <c r="K415" s="260">
        <f t="shared" si="186"/>
        <v>0</v>
      </c>
      <c r="L415" s="361">
        <v>0</v>
      </c>
      <c r="M415" s="361">
        <v>0</v>
      </c>
      <c r="N415" s="361">
        <v>0</v>
      </c>
      <c r="O415" s="29">
        <v>0</v>
      </c>
      <c r="P415" s="361">
        <f t="shared" si="189"/>
        <v>0</v>
      </c>
      <c r="Q415" s="361">
        <v>0</v>
      </c>
      <c r="R415" s="361">
        <v>0</v>
      </c>
      <c r="S415" s="362">
        <v>0</v>
      </c>
      <c r="T415" s="29">
        <v>2.9499999999999997</v>
      </c>
      <c r="U415" s="361">
        <f t="shared" si="190"/>
        <v>738</v>
      </c>
      <c r="V415" s="361">
        <v>0</v>
      </c>
      <c r="W415" s="361">
        <v>0</v>
      </c>
      <c r="X415" s="362">
        <v>738</v>
      </c>
      <c r="Y415" s="29">
        <v>0</v>
      </c>
      <c r="Z415" s="361">
        <f t="shared" si="191"/>
        <v>0</v>
      </c>
      <c r="AA415" s="361">
        <v>0</v>
      </c>
      <c r="AB415" s="361">
        <v>0</v>
      </c>
      <c r="AC415" s="362">
        <v>0</v>
      </c>
      <c r="AD415" s="7"/>
    </row>
    <row r="416" spans="1:30" s="8" customFormat="1" ht="22.15" customHeight="1" outlineLevel="1" x14ac:dyDescent="0.2">
      <c r="A416" s="352" t="s">
        <v>618</v>
      </c>
      <c r="B416" s="363" t="s">
        <v>848</v>
      </c>
      <c r="C416" s="286">
        <f t="shared" si="187"/>
        <v>3.35</v>
      </c>
      <c r="D416" s="361">
        <f t="shared" si="185"/>
        <v>838</v>
      </c>
      <c r="E416" s="311">
        <v>0</v>
      </c>
      <c r="F416" s="260">
        <f t="shared" si="188"/>
        <v>0</v>
      </c>
      <c r="G416" s="361">
        <v>0</v>
      </c>
      <c r="H416" s="361">
        <v>0</v>
      </c>
      <c r="I416" s="361">
        <v>0</v>
      </c>
      <c r="J416" s="311">
        <v>0</v>
      </c>
      <c r="K416" s="260">
        <f t="shared" si="186"/>
        <v>0</v>
      </c>
      <c r="L416" s="361">
        <v>0</v>
      </c>
      <c r="M416" s="361">
        <v>0</v>
      </c>
      <c r="N416" s="361">
        <v>0</v>
      </c>
      <c r="O416" s="29">
        <v>0</v>
      </c>
      <c r="P416" s="361">
        <f t="shared" si="189"/>
        <v>0</v>
      </c>
      <c r="Q416" s="361">
        <v>0</v>
      </c>
      <c r="R416" s="361">
        <v>0</v>
      </c>
      <c r="S416" s="362">
        <v>0</v>
      </c>
      <c r="T416" s="29">
        <v>3.35</v>
      </c>
      <c r="U416" s="361">
        <f t="shared" si="190"/>
        <v>838</v>
      </c>
      <c r="V416" s="361">
        <v>0</v>
      </c>
      <c r="W416" s="361">
        <v>0</v>
      </c>
      <c r="X416" s="362">
        <v>838</v>
      </c>
      <c r="Y416" s="29">
        <v>0</v>
      </c>
      <c r="Z416" s="361">
        <f t="shared" si="191"/>
        <v>0</v>
      </c>
      <c r="AA416" s="361">
        <v>0</v>
      </c>
      <c r="AB416" s="361">
        <v>0</v>
      </c>
      <c r="AC416" s="362">
        <v>0</v>
      </c>
      <c r="AD416" s="7"/>
    </row>
    <row r="417" spans="1:30" s="8" customFormat="1" ht="22.15" customHeight="1" outlineLevel="1" x14ac:dyDescent="0.2">
      <c r="A417" s="352" t="s">
        <v>619</v>
      </c>
      <c r="B417" s="363" t="s">
        <v>362</v>
      </c>
      <c r="C417" s="286">
        <f t="shared" si="187"/>
        <v>3.9000000000000004</v>
      </c>
      <c r="D417" s="361">
        <f t="shared" si="185"/>
        <v>975.00000000000011</v>
      </c>
      <c r="E417" s="311">
        <v>0</v>
      </c>
      <c r="F417" s="260">
        <f t="shared" si="188"/>
        <v>0</v>
      </c>
      <c r="G417" s="361">
        <v>0</v>
      </c>
      <c r="H417" s="361">
        <v>0</v>
      </c>
      <c r="I417" s="361">
        <v>0</v>
      </c>
      <c r="J417" s="311">
        <v>0</v>
      </c>
      <c r="K417" s="260">
        <f t="shared" si="186"/>
        <v>0</v>
      </c>
      <c r="L417" s="361">
        <v>0</v>
      </c>
      <c r="M417" s="361">
        <v>0</v>
      </c>
      <c r="N417" s="361">
        <v>0</v>
      </c>
      <c r="O417" s="29">
        <v>0</v>
      </c>
      <c r="P417" s="361">
        <f t="shared" si="189"/>
        <v>0</v>
      </c>
      <c r="Q417" s="361">
        <v>0</v>
      </c>
      <c r="R417" s="361">
        <v>0</v>
      </c>
      <c r="S417" s="362">
        <v>0</v>
      </c>
      <c r="T417" s="29">
        <v>3.9000000000000004</v>
      </c>
      <c r="U417" s="361">
        <f t="shared" si="190"/>
        <v>975.00000000000011</v>
      </c>
      <c r="V417" s="361">
        <v>0</v>
      </c>
      <c r="W417" s="361">
        <v>0</v>
      </c>
      <c r="X417" s="362">
        <v>975.00000000000011</v>
      </c>
      <c r="Y417" s="29">
        <v>0</v>
      </c>
      <c r="Z417" s="361">
        <f t="shared" si="191"/>
        <v>0</v>
      </c>
      <c r="AA417" s="361">
        <v>0</v>
      </c>
      <c r="AB417" s="361">
        <v>0</v>
      </c>
      <c r="AC417" s="362">
        <v>0</v>
      </c>
      <c r="AD417" s="7"/>
    </row>
    <row r="418" spans="1:30" s="8" customFormat="1" ht="46.9" customHeight="1" outlineLevel="1" x14ac:dyDescent="0.2">
      <c r="A418" s="352" t="s">
        <v>620</v>
      </c>
      <c r="B418" s="363" t="s">
        <v>463</v>
      </c>
      <c r="C418" s="286">
        <f t="shared" si="187"/>
        <v>1.25</v>
      </c>
      <c r="D418" s="361">
        <f t="shared" si="185"/>
        <v>313</v>
      </c>
      <c r="E418" s="311">
        <v>0</v>
      </c>
      <c r="F418" s="260">
        <f t="shared" si="188"/>
        <v>0</v>
      </c>
      <c r="G418" s="361">
        <v>0</v>
      </c>
      <c r="H418" s="361">
        <v>0</v>
      </c>
      <c r="I418" s="361">
        <v>0</v>
      </c>
      <c r="J418" s="311">
        <v>0</v>
      </c>
      <c r="K418" s="260">
        <f t="shared" si="186"/>
        <v>0</v>
      </c>
      <c r="L418" s="361">
        <v>0</v>
      </c>
      <c r="M418" s="361">
        <v>0</v>
      </c>
      <c r="N418" s="361">
        <v>0</v>
      </c>
      <c r="O418" s="29">
        <v>0</v>
      </c>
      <c r="P418" s="361">
        <f t="shared" si="189"/>
        <v>0</v>
      </c>
      <c r="Q418" s="361">
        <v>0</v>
      </c>
      <c r="R418" s="361">
        <v>0</v>
      </c>
      <c r="S418" s="362">
        <v>0</v>
      </c>
      <c r="T418" s="29">
        <v>1.25</v>
      </c>
      <c r="U418" s="361">
        <f t="shared" si="190"/>
        <v>313</v>
      </c>
      <c r="V418" s="361">
        <v>0</v>
      </c>
      <c r="W418" s="361">
        <v>0</v>
      </c>
      <c r="X418" s="362">
        <v>313</v>
      </c>
      <c r="Y418" s="29">
        <v>0</v>
      </c>
      <c r="Z418" s="361">
        <f t="shared" si="191"/>
        <v>0</v>
      </c>
      <c r="AA418" s="361">
        <v>0</v>
      </c>
      <c r="AB418" s="361">
        <v>0</v>
      </c>
      <c r="AC418" s="362">
        <v>0</v>
      </c>
      <c r="AD418" s="7"/>
    </row>
    <row r="419" spans="1:30" s="8" customFormat="1" ht="46.9" customHeight="1" outlineLevel="1" x14ac:dyDescent="0.2">
      <c r="A419" s="352" t="s">
        <v>621</v>
      </c>
      <c r="B419" s="363" t="s">
        <v>464</v>
      </c>
      <c r="C419" s="286">
        <f t="shared" si="187"/>
        <v>1.25</v>
      </c>
      <c r="D419" s="361">
        <f t="shared" si="185"/>
        <v>313</v>
      </c>
      <c r="E419" s="311">
        <v>0</v>
      </c>
      <c r="F419" s="260">
        <f t="shared" si="188"/>
        <v>0</v>
      </c>
      <c r="G419" s="361">
        <v>0</v>
      </c>
      <c r="H419" s="361">
        <v>0</v>
      </c>
      <c r="I419" s="361">
        <v>0</v>
      </c>
      <c r="J419" s="311">
        <v>0</v>
      </c>
      <c r="K419" s="260">
        <f t="shared" si="186"/>
        <v>0</v>
      </c>
      <c r="L419" s="361">
        <v>0</v>
      </c>
      <c r="M419" s="361">
        <v>0</v>
      </c>
      <c r="N419" s="361">
        <v>0</v>
      </c>
      <c r="O419" s="29">
        <v>0</v>
      </c>
      <c r="P419" s="361">
        <f t="shared" si="189"/>
        <v>0</v>
      </c>
      <c r="Q419" s="361">
        <v>0</v>
      </c>
      <c r="R419" s="361">
        <v>0</v>
      </c>
      <c r="S419" s="362">
        <v>0</v>
      </c>
      <c r="T419" s="29">
        <v>1.25</v>
      </c>
      <c r="U419" s="361">
        <f t="shared" si="190"/>
        <v>313</v>
      </c>
      <c r="V419" s="361">
        <v>0</v>
      </c>
      <c r="W419" s="361">
        <v>0</v>
      </c>
      <c r="X419" s="362">
        <v>313</v>
      </c>
      <c r="Y419" s="29">
        <v>0</v>
      </c>
      <c r="Z419" s="361">
        <f t="shared" si="191"/>
        <v>0</v>
      </c>
      <c r="AA419" s="361">
        <v>0</v>
      </c>
      <c r="AB419" s="361">
        <v>0</v>
      </c>
      <c r="AC419" s="362">
        <v>0</v>
      </c>
      <c r="AD419" s="7"/>
    </row>
    <row r="420" spans="1:30" s="8" customFormat="1" ht="39.6" customHeight="1" outlineLevel="1" x14ac:dyDescent="0.2">
      <c r="A420" s="352" t="s">
        <v>1187</v>
      </c>
      <c r="B420" s="363" t="s">
        <v>1186</v>
      </c>
      <c r="C420" s="286">
        <f t="shared" ref="C420" si="195">E420+J420+O420+T420+Y420</f>
        <v>6.43</v>
      </c>
      <c r="D420" s="361">
        <f t="shared" ref="D420" si="196">F420+K420+P420+U420+Z420</f>
        <v>888</v>
      </c>
      <c r="E420" s="311">
        <v>6.43</v>
      </c>
      <c r="F420" s="260">
        <f>G420+H420+I420</f>
        <v>888</v>
      </c>
      <c r="G420" s="361">
        <v>0</v>
      </c>
      <c r="H420" s="361">
        <v>0</v>
      </c>
      <c r="I420" s="361">
        <v>888</v>
      </c>
      <c r="J420" s="311">
        <v>0</v>
      </c>
      <c r="K420" s="260">
        <f t="shared" ref="K420" si="197">SUM(L420:N420)</f>
        <v>0</v>
      </c>
      <c r="L420" s="361">
        <v>0</v>
      </c>
      <c r="M420" s="361">
        <v>0</v>
      </c>
      <c r="N420" s="361">
        <v>0</v>
      </c>
      <c r="O420" s="29">
        <v>0</v>
      </c>
      <c r="P420" s="361">
        <f t="shared" ref="P420" si="198">Q420+R420+S420</f>
        <v>0</v>
      </c>
      <c r="Q420" s="361">
        <v>0</v>
      </c>
      <c r="R420" s="361">
        <v>0</v>
      </c>
      <c r="S420" s="362">
        <v>0</v>
      </c>
      <c r="T420" s="29">
        <v>0</v>
      </c>
      <c r="U420" s="361">
        <f t="shared" ref="U420" si="199">V420+W420+X420</f>
        <v>0</v>
      </c>
      <c r="V420" s="361">
        <v>0</v>
      </c>
      <c r="W420" s="361">
        <v>0</v>
      </c>
      <c r="X420" s="362">
        <v>0</v>
      </c>
      <c r="Y420" s="29">
        <v>0</v>
      </c>
      <c r="Z420" s="361">
        <f t="shared" ref="Z420" si="200">AA420+AB420+AC420</f>
        <v>0</v>
      </c>
      <c r="AA420" s="361">
        <v>0</v>
      </c>
      <c r="AB420" s="361">
        <v>0</v>
      </c>
      <c r="AC420" s="362">
        <v>0</v>
      </c>
      <c r="AD420" s="7"/>
    </row>
    <row r="421" spans="1:30" s="8" customFormat="1" ht="39.6" customHeight="1" outlineLevel="1" x14ac:dyDescent="0.2">
      <c r="A421" s="352" t="s">
        <v>1355</v>
      </c>
      <c r="B421" s="363" t="s">
        <v>1356</v>
      </c>
      <c r="C421" s="286">
        <f t="shared" ref="C421" si="201">E421+J421+O421+T421+Y421</f>
        <v>0</v>
      </c>
      <c r="D421" s="361">
        <f t="shared" ref="D421" si="202">F421+K421+P421+U421+Z421</f>
        <v>1267</v>
      </c>
      <c r="E421" s="311">
        <v>0</v>
      </c>
      <c r="F421" s="260">
        <f>G421+H421+I421</f>
        <v>1267</v>
      </c>
      <c r="G421" s="361">
        <v>0</v>
      </c>
      <c r="H421" s="361">
        <v>0</v>
      </c>
      <c r="I421" s="361">
        <v>1267</v>
      </c>
      <c r="J421" s="311">
        <v>0</v>
      </c>
      <c r="K421" s="260">
        <f t="shared" ref="K421" si="203">SUM(L421:N421)</f>
        <v>0</v>
      </c>
      <c r="L421" s="361">
        <v>0</v>
      </c>
      <c r="M421" s="361">
        <v>0</v>
      </c>
      <c r="N421" s="361">
        <v>0</v>
      </c>
      <c r="O421" s="29">
        <v>0</v>
      </c>
      <c r="P421" s="361">
        <f t="shared" ref="P421" si="204">Q421+R421+S421</f>
        <v>0</v>
      </c>
      <c r="Q421" s="361">
        <v>0</v>
      </c>
      <c r="R421" s="361">
        <v>0</v>
      </c>
      <c r="S421" s="362">
        <v>0</v>
      </c>
      <c r="T421" s="29">
        <v>0</v>
      </c>
      <c r="U421" s="361">
        <f t="shared" ref="U421" si="205">V421+W421+X421</f>
        <v>0</v>
      </c>
      <c r="V421" s="361">
        <v>0</v>
      </c>
      <c r="W421" s="361">
        <v>0</v>
      </c>
      <c r="X421" s="362">
        <v>0</v>
      </c>
      <c r="Y421" s="29">
        <v>0</v>
      </c>
      <c r="Z421" s="361">
        <f t="shared" ref="Z421" si="206">AA421+AB421+AC421</f>
        <v>0</v>
      </c>
      <c r="AA421" s="361">
        <v>0</v>
      </c>
      <c r="AB421" s="361">
        <v>0</v>
      </c>
      <c r="AC421" s="362">
        <v>0</v>
      </c>
      <c r="AD421" s="7"/>
    </row>
    <row r="422" spans="1:30" s="8" customFormat="1" ht="25.9" customHeight="1" x14ac:dyDescent="0.2">
      <c r="A422" s="319"/>
      <c r="B422" s="364" t="s">
        <v>461</v>
      </c>
      <c r="C422" s="365">
        <f t="shared" ref="C422:J422" si="207">SUM(C263,C396,C393)</f>
        <v>334.74000000000007</v>
      </c>
      <c r="D422" s="261">
        <f t="shared" si="207"/>
        <v>83874</v>
      </c>
      <c r="E422" s="365">
        <f t="shared" si="207"/>
        <v>14.67</v>
      </c>
      <c r="F422" s="261">
        <f>SUM(F263,F396,F393)</f>
        <v>3294</v>
      </c>
      <c r="G422" s="261">
        <f t="shared" si="207"/>
        <v>0</v>
      </c>
      <c r="H422" s="261">
        <f t="shared" si="207"/>
        <v>0</v>
      </c>
      <c r="I422" s="261">
        <f>SUM(I263,I396,I393)</f>
        <v>3294</v>
      </c>
      <c r="J422" s="365">
        <f t="shared" si="207"/>
        <v>0</v>
      </c>
      <c r="K422" s="261">
        <f t="shared" si="186"/>
        <v>0</v>
      </c>
      <c r="L422" s="261">
        <f>SUM(L263,L396,L393)</f>
        <v>0</v>
      </c>
      <c r="M422" s="261">
        <f>SUM(M263,M396,M393)</f>
        <v>0</v>
      </c>
      <c r="N422" s="261">
        <f>SUM(N263,N396,N393)</f>
        <v>0</v>
      </c>
      <c r="O422" s="365">
        <f>SUM(O263,O396,O393)</f>
        <v>0</v>
      </c>
      <c r="P422" s="261">
        <f t="shared" si="189"/>
        <v>0</v>
      </c>
      <c r="Q422" s="261">
        <f>SUM(Q263,Q396,Q393)</f>
        <v>0</v>
      </c>
      <c r="R422" s="261">
        <f>SUM(R263,R396,R393)</f>
        <v>0</v>
      </c>
      <c r="S422" s="261">
        <f>SUM(S263,S396,S393)</f>
        <v>0</v>
      </c>
      <c r="T422" s="365">
        <f>SUM(T263,T396,T393)</f>
        <v>184.53000000000003</v>
      </c>
      <c r="U422" s="261">
        <f t="shared" si="190"/>
        <v>46720</v>
      </c>
      <c r="V422" s="261">
        <f t="shared" ref="V422:AC422" si="208">SUM(V263,V396,V393)</f>
        <v>0</v>
      </c>
      <c r="W422" s="261">
        <f t="shared" si="208"/>
        <v>0</v>
      </c>
      <c r="X422" s="261">
        <f t="shared" si="208"/>
        <v>46720</v>
      </c>
      <c r="Y422" s="365">
        <f t="shared" si="208"/>
        <v>135.53999999999996</v>
      </c>
      <c r="Z422" s="261">
        <f t="shared" si="208"/>
        <v>33860</v>
      </c>
      <c r="AA422" s="366">
        <f t="shared" si="208"/>
        <v>0</v>
      </c>
      <c r="AB422" s="366">
        <f t="shared" si="208"/>
        <v>0</v>
      </c>
      <c r="AC422" s="261">
        <f t="shared" si="208"/>
        <v>33860</v>
      </c>
      <c r="AD422" s="7"/>
    </row>
    <row r="423" spans="1:30" s="8" customFormat="1" ht="24" customHeight="1" x14ac:dyDescent="0.2">
      <c r="A423" s="359" t="s">
        <v>468</v>
      </c>
      <c r="B423" s="367" t="s">
        <v>363</v>
      </c>
      <c r="C423" s="368"/>
      <c r="D423" s="361"/>
      <c r="E423" s="311"/>
      <c r="F423" s="260"/>
      <c r="G423" s="369"/>
      <c r="H423" s="369"/>
      <c r="I423" s="369"/>
      <c r="J423" s="322"/>
      <c r="K423" s="260">
        <f t="shared" si="186"/>
        <v>0</v>
      </c>
      <c r="L423" s="369"/>
      <c r="M423" s="369"/>
      <c r="N423" s="369"/>
      <c r="O423" s="368"/>
      <c r="P423" s="361"/>
      <c r="Q423" s="369"/>
      <c r="R423" s="369"/>
      <c r="S423" s="370"/>
      <c r="T423" s="368"/>
      <c r="U423" s="361"/>
      <c r="V423" s="369"/>
      <c r="W423" s="369"/>
      <c r="X423" s="370"/>
      <c r="Y423" s="368"/>
      <c r="Z423" s="361"/>
      <c r="AA423" s="361"/>
      <c r="AB423" s="361"/>
      <c r="AC423" s="370"/>
      <c r="AD423" s="7"/>
    </row>
    <row r="424" spans="1:30" s="8" customFormat="1" ht="34.15" customHeight="1" outlineLevel="1" x14ac:dyDescent="0.2">
      <c r="A424" s="319"/>
      <c r="B424" s="371" t="s">
        <v>458</v>
      </c>
      <c r="C424" s="354">
        <f>SUM(C425:C429)</f>
        <v>14.030000000000001</v>
      </c>
      <c r="D424" s="259">
        <f t="shared" ref="D424:AC424" si="209">SUM(D425:D429)</f>
        <v>4348</v>
      </c>
      <c r="E424" s="354">
        <f t="shared" si="209"/>
        <v>0</v>
      </c>
      <c r="F424" s="259">
        <f t="shared" si="209"/>
        <v>0</v>
      </c>
      <c r="G424" s="259">
        <f t="shared" si="209"/>
        <v>0</v>
      </c>
      <c r="H424" s="259">
        <f t="shared" si="209"/>
        <v>0</v>
      </c>
      <c r="I424" s="259">
        <f t="shared" si="209"/>
        <v>0</v>
      </c>
      <c r="J424" s="354">
        <f t="shared" si="209"/>
        <v>0</v>
      </c>
      <c r="K424" s="259">
        <f t="shared" si="186"/>
        <v>0</v>
      </c>
      <c r="L424" s="259">
        <f t="shared" si="209"/>
        <v>0</v>
      </c>
      <c r="M424" s="259">
        <f t="shared" si="209"/>
        <v>0</v>
      </c>
      <c r="N424" s="259">
        <f t="shared" si="209"/>
        <v>0</v>
      </c>
      <c r="O424" s="354">
        <f t="shared" si="209"/>
        <v>0</v>
      </c>
      <c r="P424" s="361">
        <f t="shared" si="189"/>
        <v>0</v>
      </c>
      <c r="Q424" s="259">
        <f t="shared" si="209"/>
        <v>0</v>
      </c>
      <c r="R424" s="259">
        <f t="shared" si="209"/>
        <v>0</v>
      </c>
      <c r="S424" s="259">
        <f t="shared" si="209"/>
        <v>0</v>
      </c>
      <c r="T424" s="354">
        <f t="shared" si="209"/>
        <v>14.030000000000001</v>
      </c>
      <c r="U424" s="361">
        <f t="shared" si="190"/>
        <v>4348</v>
      </c>
      <c r="V424" s="259">
        <f t="shared" si="209"/>
        <v>0</v>
      </c>
      <c r="W424" s="259">
        <f t="shared" si="209"/>
        <v>0</v>
      </c>
      <c r="X424" s="259">
        <f t="shared" si="209"/>
        <v>4348</v>
      </c>
      <c r="Y424" s="354">
        <f t="shared" si="209"/>
        <v>0</v>
      </c>
      <c r="Z424" s="361">
        <f t="shared" si="209"/>
        <v>0</v>
      </c>
      <c r="AA424" s="362">
        <f t="shared" si="209"/>
        <v>0</v>
      </c>
      <c r="AB424" s="362">
        <f t="shared" si="209"/>
        <v>0</v>
      </c>
      <c r="AC424" s="259">
        <f t="shared" si="209"/>
        <v>0</v>
      </c>
      <c r="AD424" s="7"/>
    </row>
    <row r="425" spans="1:30" s="8" customFormat="1" ht="27" customHeight="1" outlineLevel="1" x14ac:dyDescent="0.2">
      <c r="A425" s="352" t="s">
        <v>622</v>
      </c>
      <c r="B425" s="324" t="s">
        <v>365</v>
      </c>
      <c r="C425" s="286">
        <f t="shared" ref="C425:C490" si="210">E425+J425+O425+T425+Y425</f>
        <v>4.2300000000000004</v>
      </c>
      <c r="D425" s="361">
        <f t="shared" si="185"/>
        <v>1310</v>
      </c>
      <c r="E425" s="311">
        <v>0</v>
      </c>
      <c r="F425" s="260">
        <f t="shared" si="188"/>
        <v>0</v>
      </c>
      <c r="G425" s="361">
        <v>0</v>
      </c>
      <c r="H425" s="361">
        <v>0</v>
      </c>
      <c r="I425" s="361">
        <v>0</v>
      </c>
      <c r="J425" s="311">
        <v>0</v>
      </c>
      <c r="K425" s="260">
        <f t="shared" si="186"/>
        <v>0</v>
      </c>
      <c r="L425" s="361">
        <v>0</v>
      </c>
      <c r="M425" s="361">
        <v>0</v>
      </c>
      <c r="N425" s="361">
        <v>0</v>
      </c>
      <c r="O425" s="29">
        <v>0</v>
      </c>
      <c r="P425" s="361">
        <f t="shared" si="189"/>
        <v>0</v>
      </c>
      <c r="Q425" s="361">
        <v>0</v>
      </c>
      <c r="R425" s="361">
        <v>0</v>
      </c>
      <c r="S425" s="362">
        <v>0</v>
      </c>
      <c r="T425" s="29">
        <f>ROUND(4.225,2)</f>
        <v>4.2300000000000004</v>
      </c>
      <c r="U425" s="361">
        <f t="shared" si="190"/>
        <v>1310</v>
      </c>
      <c r="V425" s="361">
        <v>0</v>
      </c>
      <c r="W425" s="361">
        <v>0</v>
      </c>
      <c r="X425" s="362">
        <v>1310</v>
      </c>
      <c r="Y425" s="29">
        <v>0</v>
      </c>
      <c r="Z425" s="361">
        <f t="shared" si="191"/>
        <v>0</v>
      </c>
      <c r="AA425" s="361">
        <v>0</v>
      </c>
      <c r="AB425" s="361">
        <v>0</v>
      </c>
      <c r="AC425" s="362">
        <v>0</v>
      </c>
      <c r="AD425" s="7"/>
    </row>
    <row r="426" spans="1:30" s="8" customFormat="1" ht="37.9" customHeight="1" outlineLevel="1" x14ac:dyDescent="0.2">
      <c r="A426" s="352" t="s">
        <v>623</v>
      </c>
      <c r="B426" s="324" t="s">
        <v>366</v>
      </c>
      <c r="C426" s="286">
        <f t="shared" si="210"/>
        <v>1</v>
      </c>
      <c r="D426" s="361">
        <f t="shared" si="185"/>
        <v>310</v>
      </c>
      <c r="E426" s="311">
        <v>0</v>
      </c>
      <c r="F426" s="260">
        <f t="shared" si="188"/>
        <v>0</v>
      </c>
      <c r="G426" s="361">
        <v>0</v>
      </c>
      <c r="H426" s="361">
        <v>0</v>
      </c>
      <c r="I426" s="361">
        <v>0</v>
      </c>
      <c r="J426" s="311">
        <v>0</v>
      </c>
      <c r="K426" s="260">
        <f t="shared" si="186"/>
        <v>0</v>
      </c>
      <c r="L426" s="361">
        <v>0</v>
      </c>
      <c r="M426" s="361">
        <v>0</v>
      </c>
      <c r="N426" s="361">
        <v>0</v>
      </c>
      <c r="O426" s="29">
        <v>0</v>
      </c>
      <c r="P426" s="361">
        <f t="shared" si="189"/>
        <v>0</v>
      </c>
      <c r="Q426" s="361">
        <v>0</v>
      </c>
      <c r="R426" s="361">
        <v>0</v>
      </c>
      <c r="S426" s="362">
        <v>0</v>
      </c>
      <c r="T426" s="29">
        <v>1</v>
      </c>
      <c r="U426" s="361">
        <f t="shared" si="190"/>
        <v>310</v>
      </c>
      <c r="V426" s="361">
        <v>0</v>
      </c>
      <c r="W426" s="361">
        <v>0</v>
      </c>
      <c r="X426" s="362">
        <v>310</v>
      </c>
      <c r="Y426" s="29">
        <v>0</v>
      </c>
      <c r="Z426" s="361">
        <f t="shared" si="191"/>
        <v>0</v>
      </c>
      <c r="AA426" s="361">
        <v>0</v>
      </c>
      <c r="AB426" s="361">
        <v>0</v>
      </c>
      <c r="AC426" s="362">
        <v>0</v>
      </c>
      <c r="AD426" s="7"/>
    </row>
    <row r="427" spans="1:30" s="8" customFormat="1" ht="46.9" customHeight="1" outlineLevel="1" x14ac:dyDescent="0.2">
      <c r="A427" s="352" t="s">
        <v>624</v>
      </c>
      <c r="B427" s="324" t="s">
        <v>429</v>
      </c>
      <c r="C427" s="286">
        <f t="shared" si="210"/>
        <v>1</v>
      </c>
      <c r="D427" s="361">
        <f t="shared" si="185"/>
        <v>310</v>
      </c>
      <c r="E427" s="311">
        <v>0</v>
      </c>
      <c r="F427" s="260">
        <f t="shared" si="188"/>
        <v>0</v>
      </c>
      <c r="G427" s="361">
        <v>0</v>
      </c>
      <c r="H427" s="361">
        <v>0</v>
      </c>
      <c r="I427" s="361">
        <v>0</v>
      </c>
      <c r="J427" s="311">
        <v>0</v>
      </c>
      <c r="K427" s="260">
        <f t="shared" si="186"/>
        <v>0</v>
      </c>
      <c r="L427" s="361">
        <v>0</v>
      </c>
      <c r="M427" s="361">
        <v>0</v>
      </c>
      <c r="N427" s="361">
        <v>0</v>
      </c>
      <c r="O427" s="29">
        <v>0</v>
      </c>
      <c r="P427" s="361">
        <f t="shared" si="189"/>
        <v>0</v>
      </c>
      <c r="Q427" s="361">
        <v>0</v>
      </c>
      <c r="R427" s="361">
        <v>0</v>
      </c>
      <c r="S427" s="362">
        <v>0</v>
      </c>
      <c r="T427" s="29">
        <v>1</v>
      </c>
      <c r="U427" s="361">
        <f t="shared" si="190"/>
        <v>310</v>
      </c>
      <c r="V427" s="361">
        <v>0</v>
      </c>
      <c r="W427" s="361">
        <v>0</v>
      </c>
      <c r="X427" s="362">
        <v>310</v>
      </c>
      <c r="Y427" s="29">
        <v>0</v>
      </c>
      <c r="Z427" s="361">
        <f t="shared" si="191"/>
        <v>0</v>
      </c>
      <c r="AA427" s="361">
        <v>0</v>
      </c>
      <c r="AB427" s="361">
        <v>0</v>
      </c>
      <c r="AC427" s="362">
        <v>0</v>
      </c>
      <c r="AD427" s="7"/>
    </row>
    <row r="428" spans="1:30" s="8" customFormat="1" ht="28.15" customHeight="1" outlineLevel="1" x14ac:dyDescent="0.2">
      <c r="A428" s="352" t="s">
        <v>625</v>
      </c>
      <c r="B428" s="324" t="s">
        <v>430</v>
      </c>
      <c r="C428" s="286">
        <f t="shared" si="210"/>
        <v>3.3000000000000003</v>
      </c>
      <c r="D428" s="361">
        <f t="shared" si="185"/>
        <v>1023.0000000000001</v>
      </c>
      <c r="E428" s="311">
        <v>0</v>
      </c>
      <c r="F428" s="260">
        <f t="shared" si="188"/>
        <v>0</v>
      </c>
      <c r="G428" s="361">
        <v>0</v>
      </c>
      <c r="H428" s="361">
        <v>0</v>
      </c>
      <c r="I428" s="361">
        <v>0</v>
      </c>
      <c r="J428" s="311">
        <v>0</v>
      </c>
      <c r="K428" s="260">
        <f t="shared" si="186"/>
        <v>0</v>
      </c>
      <c r="L428" s="361">
        <v>0</v>
      </c>
      <c r="M428" s="361">
        <v>0</v>
      </c>
      <c r="N428" s="361">
        <v>0</v>
      </c>
      <c r="O428" s="29">
        <v>0</v>
      </c>
      <c r="P428" s="361">
        <f t="shared" si="189"/>
        <v>0</v>
      </c>
      <c r="Q428" s="361">
        <v>0</v>
      </c>
      <c r="R428" s="361">
        <v>0</v>
      </c>
      <c r="S428" s="362">
        <v>0</v>
      </c>
      <c r="T428" s="29">
        <v>3.3000000000000003</v>
      </c>
      <c r="U428" s="361">
        <f t="shared" si="190"/>
        <v>1023.0000000000001</v>
      </c>
      <c r="V428" s="361">
        <v>0</v>
      </c>
      <c r="W428" s="361">
        <v>0</v>
      </c>
      <c r="X428" s="362">
        <v>1023.0000000000001</v>
      </c>
      <c r="Y428" s="29">
        <v>0</v>
      </c>
      <c r="Z428" s="361">
        <f t="shared" si="191"/>
        <v>0</v>
      </c>
      <c r="AA428" s="361">
        <v>0</v>
      </c>
      <c r="AB428" s="361">
        <v>0</v>
      </c>
      <c r="AC428" s="362">
        <v>0</v>
      </c>
      <c r="AD428" s="7"/>
    </row>
    <row r="429" spans="1:30" s="8" customFormat="1" ht="28.15" customHeight="1" outlineLevel="1" x14ac:dyDescent="0.2">
      <c r="A429" s="352" t="s">
        <v>626</v>
      </c>
      <c r="B429" s="324" t="s">
        <v>460</v>
      </c>
      <c r="C429" s="286">
        <f t="shared" si="210"/>
        <v>4.5</v>
      </c>
      <c r="D429" s="361">
        <f t="shared" si="185"/>
        <v>1395</v>
      </c>
      <c r="E429" s="311">
        <v>0</v>
      </c>
      <c r="F429" s="260">
        <f t="shared" si="188"/>
        <v>0</v>
      </c>
      <c r="G429" s="361">
        <v>0</v>
      </c>
      <c r="H429" s="361">
        <v>0</v>
      </c>
      <c r="I429" s="361">
        <v>0</v>
      </c>
      <c r="J429" s="311">
        <v>0</v>
      </c>
      <c r="K429" s="260">
        <f t="shared" si="186"/>
        <v>0</v>
      </c>
      <c r="L429" s="361">
        <v>0</v>
      </c>
      <c r="M429" s="361">
        <v>0</v>
      </c>
      <c r="N429" s="361">
        <v>0</v>
      </c>
      <c r="O429" s="29">
        <v>0</v>
      </c>
      <c r="P429" s="361">
        <f t="shared" si="189"/>
        <v>0</v>
      </c>
      <c r="Q429" s="361">
        <v>0</v>
      </c>
      <c r="R429" s="361">
        <v>0</v>
      </c>
      <c r="S429" s="362">
        <v>0</v>
      </c>
      <c r="T429" s="29">
        <v>4.5</v>
      </c>
      <c r="U429" s="361">
        <f t="shared" si="190"/>
        <v>1395</v>
      </c>
      <c r="V429" s="361">
        <v>0</v>
      </c>
      <c r="W429" s="361">
        <v>0</v>
      </c>
      <c r="X429" s="362">
        <v>1395</v>
      </c>
      <c r="Y429" s="29">
        <v>0</v>
      </c>
      <c r="Z429" s="361">
        <f t="shared" si="191"/>
        <v>0</v>
      </c>
      <c r="AA429" s="361">
        <v>0</v>
      </c>
      <c r="AB429" s="361">
        <v>0</v>
      </c>
      <c r="AC429" s="362">
        <v>0</v>
      </c>
      <c r="AD429" s="7"/>
    </row>
    <row r="430" spans="1:30" s="8" customFormat="1" ht="28.9" customHeight="1" outlineLevel="1" x14ac:dyDescent="0.2">
      <c r="A430" s="352"/>
      <c r="B430" s="371" t="s">
        <v>457</v>
      </c>
      <c r="C430" s="354">
        <f>SUM(C431:C436)</f>
        <v>22.95</v>
      </c>
      <c r="D430" s="259">
        <f t="shared" ref="D430:AC430" si="211">SUM(D431:D436)</f>
        <v>7344</v>
      </c>
      <c r="E430" s="354">
        <f t="shared" si="211"/>
        <v>0</v>
      </c>
      <c r="F430" s="259">
        <f t="shared" si="211"/>
        <v>0</v>
      </c>
      <c r="G430" s="259">
        <f t="shared" si="211"/>
        <v>0</v>
      </c>
      <c r="H430" s="259">
        <f t="shared" si="211"/>
        <v>0</v>
      </c>
      <c r="I430" s="259">
        <f t="shared" si="211"/>
        <v>0</v>
      </c>
      <c r="J430" s="354">
        <f t="shared" si="211"/>
        <v>0</v>
      </c>
      <c r="K430" s="259">
        <f t="shared" si="186"/>
        <v>0</v>
      </c>
      <c r="L430" s="259">
        <f t="shared" si="211"/>
        <v>0</v>
      </c>
      <c r="M430" s="259">
        <f t="shared" si="211"/>
        <v>0</v>
      </c>
      <c r="N430" s="259">
        <f t="shared" si="211"/>
        <v>0</v>
      </c>
      <c r="O430" s="354">
        <f t="shared" si="211"/>
        <v>0</v>
      </c>
      <c r="P430" s="361">
        <f t="shared" si="189"/>
        <v>0</v>
      </c>
      <c r="Q430" s="259">
        <f>SUM(Q431:Q436)</f>
        <v>0</v>
      </c>
      <c r="R430" s="259">
        <f>SUM(R431:R436)</f>
        <v>0</v>
      </c>
      <c r="S430" s="259">
        <f t="shared" si="211"/>
        <v>0</v>
      </c>
      <c r="T430" s="354">
        <f t="shared" si="211"/>
        <v>22.95</v>
      </c>
      <c r="U430" s="361">
        <f t="shared" si="190"/>
        <v>7344</v>
      </c>
      <c r="V430" s="259">
        <f t="shared" si="211"/>
        <v>0</v>
      </c>
      <c r="W430" s="259">
        <f t="shared" si="211"/>
        <v>0</v>
      </c>
      <c r="X430" s="259">
        <f t="shared" si="211"/>
        <v>7344</v>
      </c>
      <c r="Y430" s="354">
        <f t="shared" si="211"/>
        <v>0</v>
      </c>
      <c r="Z430" s="361">
        <f t="shared" si="211"/>
        <v>0</v>
      </c>
      <c r="AA430" s="362">
        <f t="shared" si="211"/>
        <v>0</v>
      </c>
      <c r="AB430" s="362">
        <f t="shared" si="211"/>
        <v>0</v>
      </c>
      <c r="AC430" s="259">
        <f t="shared" si="211"/>
        <v>0</v>
      </c>
      <c r="AD430" s="7"/>
    </row>
    <row r="431" spans="1:30" s="8" customFormat="1" ht="27" customHeight="1" outlineLevel="1" x14ac:dyDescent="0.2">
      <c r="A431" s="352" t="s">
        <v>627</v>
      </c>
      <c r="B431" s="324" t="s">
        <v>456</v>
      </c>
      <c r="C431" s="286">
        <f t="shared" si="210"/>
        <v>2.15</v>
      </c>
      <c r="D431" s="361">
        <f t="shared" si="185"/>
        <v>688</v>
      </c>
      <c r="E431" s="311">
        <v>0</v>
      </c>
      <c r="F431" s="260">
        <f t="shared" si="188"/>
        <v>0</v>
      </c>
      <c r="G431" s="361">
        <v>0</v>
      </c>
      <c r="H431" s="361">
        <v>0</v>
      </c>
      <c r="I431" s="361">
        <v>0</v>
      </c>
      <c r="J431" s="311">
        <v>0</v>
      </c>
      <c r="K431" s="260">
        <f t="shared" si="186"/>
        <v>0</v>
      </c>
      <c r="L431" s="361">
        <v>0</v>
      </c>
      <c r="M431" s="361">
        <v>0</v>
      </c>
      <c r="N431" s="361">
        <v>0</v>
      </c>
      <c r="O431" s="29">
        <v>0</v>
      </c>
      <c r="P431" s="361">
        <f t="shared" ref="P431:P436" si="212">Q431+R431+S431</f>
        <v>0</v>
      </c>
      <c r="Q431" s="361">
        <v>0</v>
      </c>
      <c r="R431" s="361">
        <v>0</v>
      </c>
      <c r="S431" s="362">
        <v>0</v>
      </c>
      <c r="T431" s="29">
        <v>2.15</v>
      </c>
      <c r="U431" s="361">
        <f t="shared" si="190"/>
        <v>688</v>
      </c>
      <c r="V431" s="361">
        <v>0</v>
      </c>
      <c r="W431" s="361">
        <v>0</v>
      </c>
      <c r="X431" s="362">
        <v>688</v>
      </c>
      <c r="Y431" s="29">
        <v>0</v>
      </c>
      <c r="Z431" s="361">
        <f t="shared" si="191"/>
        <v>0</v>
      </c>
      <c r="AA431" s="361">
        <v>0</v>
      </c>
      <c r="AB431" s="361">
        <v>0</v>
      </c>
      <c r="AC431" s="362">
        <v>0</v>
      </c>
      <c r="AD431" s="7"/>
    </row>
    <row r="432" spans="1:30" s="8" customFormat="1" ht="22.15" customHeight="1" outlineLevel="1" x14ac:dyDescent="0.2">
      <c r="A432" s="352" t="s">
        <v>628</v>
      </c>
      <c r="B432" s="324" t="s">
        <v>367</v>
      </c>
      <c r="C432" s="286">
        <f t="shared" si="210"/>
        <v>7</v>
      </c>
      <c r="D432" s="361">
        <f t="shared" si="185"/>
        <v>2240</v>
      </c>
      <c r="E432" s="311">
        <v>0</v>
      </c>
      <c r="F432" s="260">
        <f t="shared" si="188"/>
        <v>0</v>
      </c>
      <c r="G432" s="361">
        <v>0</v>
      </c>
      <c r="H432" s="361">
        <v>0</v>
      </c>
      <c r="I432" s="361">
        <v>0</v>
      </c>
      <c r="J432" s="311">
        <v>0</v>
      </c>
      <c r="K432" s="260">
        <f t="shared" si="186"/>
        <v>0</v>
      </c>
      <c r="L432" s="361">
        <v>0</v>
      </c>
      <c r="M432" s="361">
        <v>0</v>
      </c>
      <c r="N432" s="361">
        <v>0</v>
      </c>
      <c r="O432" s="29">
        <v>0</v>
      </c>
      <c r="P432" s="361">
        <f t="shared" si="212"/>
        <v>0</v>
      </c>
      <c r="Q432" s="361">
        <v>0</v>
      </c>
      <c r="R432" s="361">
        <v>0</v>
      </c>
      <c r="S432" s="362">
        <v>0</v>
      </c>
      <c r="T432" s="29">
        <v>7</v>
      </c>
      <c r="U432" s="361">
        <f t="shared" si="190"/>
        <v>2240</v>
      </c>
      <c r="V432" s="361">
        <v>0</v>
      </c>
      <c r="W432" s="361">
        <v>0</v>
      </c>
      <c r="X432" s="362">
        <v>2240</v>
      </c>
      <c r="Y432" s="29">
        <v>0</v>
      </c>
      <c r="Z432" s="361">
        <f t="shared" si="191"/>
        <v>0</v>
      </c>
      <c r="AA432" s="361">
        <v>0</v>
      </c>
      <c r="AB432" s="361">
        <v>0</v>
      </c>
      <c r="AC432" s="362">
        <v>0</v>
      </c>
      <c r="AD432" s="7"/>
    </row>
    <row r="433" spans="1:30" s="8" customFormat="1" ht="26.45" customHeight="1" outlineLevel="1" x14ac:dyDescent="0.2">
      <c r="A433" s="352" t="s">
        <v>629</v>
      </c>
      <c r="B433" s="324" t="s">
        <v>368</v>
      </c>
      <c r="C433" s="286">
        <f t="shared" si="210"/>
        <v>3.75</v>
      </c>
      <c r="D433" s="361">
        <f t="shared" si="185"/>
        <v>1200</v>
      </c>
      <c r="E433" s="311">
        <v>0</v>
      </c>
      <c r="F433" s="260">
        <f t="shared" si="188"/>
        <v>0</v>
      </c>
      <c r="G433" s="361">
        <v>0</v>
      </c>
      <c r="H433" s="361">
        <v>0</v>
      </c>
      <c r="I433" s="361">
        <v>0</v>
      </c>
      <c r="J433" s="311">
        <v>0</v>
      </c>
      <c r="K433" s="260">
        <f t="shared" si="186"/>
        <v>0</v>
      </c>
      <c r="L433" s="361">
        <v>0</v>
      </c>
      <c r="M433" s="361">
        <v>0</v>
      </c>
      <c r="N433" s="361">
        <v>0</v>
      </c>
      <c r="O433" s="29">
        <v>0</v>
      </c>
      <c r="P433" s="361">
        <f t="shared" si="212"/>
        <v>0</v>
      </c>
      <c r="Q433" s="361">
        <v>0</v>
      </c>
      <c r="R433" s="361">
        <v>0</v>
      </c>
      <c r="S433" s="362">
        <v>0</v>
      </c>
      <c r="T433" s="29">
        <v>3.75</v>
      </c>
      <c r="U433" s="361">
        <f t="shared" si="190"/>
        <v>1200</v>
      </c>
      <c r="V433" s="361">
        <v>0</v>
      </c>
      <c r="W433" s="361">
        <v>0</v>
      </c>
      <c r="X433" s="362">
        <v>1200</v>
      </c>
      <c r="Y433" s="29">
        <v>0</v>
      </c>
      <c r="Z433" s="361">
        <f t="shared" si="191"/>
        <v>0</v>
      </c>
      <c r="AA433" s="361">
        <v>0</v>
      </c>
      <c r="AB433" s="361">
        <v>0</v>
      </c>
      <c r="AC433" s="362">
        <v>0</v>
      </c>
      <c r="AD433" s="7"/>
    </row>
    <row r="434" spans="1:30" s="8" customFormat="1" ht="36" customHeight="1" outlineLevel="1" x14ac:dyDescent="0.2">
      <c r="A434" s="352" t="s">
        <v>630</v>
      </c>
      <c r="B434" s="324" t="s">
        <v>369</v>
      </c>
      <c r="C434" s="286">
        <f t="shared" si="210"/>
        <v>4</v>
      </c>
      <c r="D434" s="361">
        <f t="shared" si="185"/>
        <v>1280</v>
      </c>
      <c r="E434" s="311">
        <v>0</v>
      </c>
      <c r="F434" s="260">
        <f t="shared" si="188"/>
        <v>0</v>
      </c>
      <c r="G434" s="361">
        <v>0</v>
      </c>
      <c r="H434" s="361">
        <v>0</v>
      </c>
      <c r="I434" s="361">
        <v>0</v>
      </c>
      <c r="J434" s="311">
        <v>0</v>
      </c>
      <c r="K434" s="260">
        <f t="shared" si="186"/>
        <v>0</v>
      </c>
      <c r="L434" s="361">
        <v>0</v>
      </c>
      <c r="M434" s="361">
        <v>0</v>
      </c>
      <c r="N434" s="361">
        <v>0</v>
      </c>
      <c r="O434" s="29">
        <v>0</v>
      </c>
      <c r="P434" s="361">
        <f t="shared" si="212"/>
        <v>0</v>
      </c>
      <c r="Q434" s="361">
        <v>0</v>
      </c>
      <c r="R434" s="361">
        <v>0</v>
      </c>
      <c r="S434" s="362">
        <v>0</v>
      </c>
      <c r="T434" s="29">
        <v>4</v>
      </c>
      <c r="U434" s="361">
        <f t="shared" si="190"/>
        <v>1280</v>
      </c>
      <c r="V434" s="361">
        <v>0</v>
      </c>
      <c r="W434" s="361">
        <v>0</v>
      </c>
      <c r="X434" s="362">
        <v>1280</v>
      </c>
      <c r="Y434" s="29">
        <v>0</v>
      </c>
      <c r="Z434" s="361">
        <f t="shared" si="191"/>
        <v>0</v>
      </c>
      <c r="AA434" s="361">
        <v>0</v>
      </c>
      <c r="AB434" s="361">
        <v>0</v>
      </c>
      <c r="AC434" s="362">
        <v>0</v>
      </c>
      <c r="AD434" s="7"/>
    </row>
    <row r="435" spans="1:30" s="8" customFormat="1" ht="24" customHeight="1" outlineLevel="1" x14ac:dyDescent="0.2">
      <c r="A435" s="352" t="s">
        <v>631</v>
      </c>
      <c r="B435" s="324" t="s">
        <v>370</v>
      </c>
      <c r="C435" s="286">
        <f t="shared" si="210"/>
        <v>3.55</v>
      </c>
      <c r="D435" s="361">
        <f t="shared" si="185"/>
        <v>1136</v>
      </c>
      <c r="E435" s="311">
        <v>0</v>
      </c>
      <c r="F435" s="260">
        <f t="shared" si="188"/>
        <v>0</v>
      </c>
      <c r="G435" s="361">
        <v>0</v>
      </c>
      <c r="H435" s="361">
        <v>0</v>
      </c>
      <c r="I435" s="361">
        <v>0</v>
      </c>
      <c r="J435" s="311">
        <v>0</v>
      </c>
      <c r="K435" s="260">
        <f t="shared" si="186"/>
        <v>0</v>
      </c>
      <c r="L435" s="361">
        <v>0</v>
      </c>
      <c r="M435" s="361">
        <v>0</v>
      </c>
      <c r="N435" s="361">
        <v>0</v>
      </c>
      <c r="O435" s="29">
        <v>0</v>
      </c>
      <c r="P435" s="361">
        <f t="shared" si="212"/>
        <v>0</v>
      </c>
      <c r="Q435" s="361">
        <v>0</v>
      </c>
      <c r="R435" s="361">
        <v>0</v>
      </c>
      <c r="S435" s="362">
        <v>0</v>
      </c>
      <c r="T435" s="29">
        <v>3.55</v>
      </c>
      <c r="U435" s="361">
        <f t="shared" si="190"/>
        <v>1136</v>
      </c>
      <c r="V435" s="361">
        <v>0</v>
      </c>
      <c r="W435" s="361">
        <v>0</v>
      </c>
      <c r="X435" s="362">
        <v>1136</v>
      </c>
      <c r="Y435" s="29">
        <v>0</v>
      </c>
      <c r="Z435" s="361">
        <f t="shared" si="191"/>
        <v>0</v>
      </c>
      <c r="AA435" s="361">
        <v>0</v>
      </c>
      <c r="AB435" s="361">
        <v>0</v>
      </c>
      <c r="AC435" s="362">
        <v>0</v>
      </c>
      <c r="AD435" s="7"/>
    </row>
    <row r="436" spans="1:30" s="8" customFormat="1" ht="23.45" customHeight="1" outlineLevel="1" x14ac:dyDescent="0.2">
      <c r="A436" s="352" t="s">
        <v>632</v>
      </c>
      <c r="B436" s="324" t="s">
        <v>371</v>
      </c>
      <c r="C436" s="286">
        <f t="shared" si="210"/>
        <v>2.5</v>
      </c>
      <c r="D436" s="361">
        <f t="shared" si="185"/>
        <v>800</v>
      </c>
      <c r="E436" s="311">
        <v>0</v>
      </c>
      <c r="F436" s="260">
        <f t="shared" si="188"/>
        <v>0</v>
      </c>
      <c r="G436" s="361">
        <v>0</v>
      </c>
      <c r="H436" s="361">
        <v>0</v>
      </c>
      <c r="I436" s="361">
        <v>0</v>
      </c>
      <c r="J436" s="311">
        <v>0</v>
      </c>
      <c r="K436" s="260">
        <f t="shared" si="186"/>
        <v>0</v>
      </c>
      <c r="L436" s="361">
        <v>0</v>
      </c>
      <c r="M436" s="361">
        <v>0</v>
      </c>
      <c r="N436" s="361">
        <v>0</v>
      </c>
      <c r="O436" s="29">
        <v>0</v>
      </c>
      <c r="P436" s="361">
        <f t="shared" si="212"/>
        <v>0</v>
      </c>
      <c r="Q436" s="361">
        <v>0</v>
      </c>
      <c r="R436" s="361">
        <v>0</v>
      </c>
      <c r="S436" s="362">
        <v>0</v>
      </c>
      <c r="T436" s="29">
        <v>2.5</v>
      </c>
      <c r="U436" s="361">
        <f t="shared" si="190"/>
        <v>800</v>
      </c>
      <c r="V436" s="361">
        <v>0</v>
      </c>
      <c r="W436" s="361">
        <v>0</v>
      </c>
      <c r="X436" s="362">
        <v>800</v>
      </c>
      <c r="Y436" s="29">
        <v>0</v>
      </c>
      <c r="Z436" s="361">
        <f t="shared" si="191"/>
        <v>0</v>
      </c>
      <c r="AA436" s="361">
        <v>0</v>
      </c>
      <c r="AB436" s="361">
        <v>0</v>
      </c>
      <c r="AC436" s="362">
        <v>0</v>
      </c>
      <c r="AD436" s="7"/>
    </row>
    <row r="437" spans="1:30" s="8" customFormat="1" ht="28.15" customHeight="1" outlineLevel="1" x14ac:dyDescent="0.2">
      <c r="A437" s="319"/>
      <c r="B437" s="364" t="s">
        <v>455</v>
      </c>
      <c r="C437" s="354">
        <f>SUM(C438:C487)</f>
        <v>81.280000000000015</v>
      </c>
      <c r="D437" s="259">
        <f t="shared" ref="D437:AC437" si="213">SUM(D438:D487)</f>
        <v>24367</v>
      </c>
      <c r="E437" s="354">
        <f t="shared" si="213"/>
        <v>0</v>
      </c>
      <c r="F437" s="259">
        <f t="shared" si="213"/>
        <v>0</v>
      </c>
      <c r="G437" s="259">
        <f t="shared" si="213"/>
        <v>0</v>
      </c>
      <c r="H437" s="259">
        <f t="shared" si="213"/>
        <v>0</v>
      </c>
      <c r="I437" s="259">
        <f t="shared" si="213"/>
        <v>0</v>
      </c>
      <c r="J437" s="354">
        <f t="shared" si="213"/>
        <v>0</v>
      </c>
      <c r="K437" s="259">
        <f t="shared" si="186"/>
        <v>0</v>
      </c>
      <c r="L437" s="259">
        <f t="shared" si="213"/>
        <v>0</v>
      </c>
      <c r="M437" s="259">
        <f t="shared" si="213"/>
        <v>0</v>
      </c>
      <c r="N437" s="259">
        <f t="shared" si="213"/>
        <v>0</v>
      </c>
      <c r="O437" s="354">
        <f t="shared" si="213"/>
        <v>0</v>
      </c>
      <c r="P437" s="361">
        <f t="shared" si="189"/>
        <v>0</v>
      </c>
      <c r="Q437" s="259">
        <f t="shared" si="213"/>
        <v>0</v>
      </c>
      <c r="R437" s="259">
        <f t="shared" si="213"/>
        <v>0</v>
      </c>
      <c r="S437" s="259">
        <v>0</v>
      </c>
      <c r="T437" s="354">
        <f t="shared" si="213"/>
        <v>81.280000000000015</v>
      </c>
      <c r="U437" s="361">
        <f t="shared" si="190"/>
        <v>24367</v>
      </c>
      <c r="V437" s="259">
        <f t="shared" si="213"/>
        <v>0</v>
      </c>
      <c r="W437" s="259">
        <f t="shared" si="213"/>
        <v>0</v>
      </c>
      <c r="X437" s="259">
        <f t="shared" si="213"/>
        <v>24367</v>
      </c>
      <c r="Y437" s="354">
        <f t="shared" si="213"/>
        <v>0</v>
      </c>
      <c r="Z437" s="361">
        <f t="shared" si="213"/>
        <v>0</v>
      </c>
      <c r="AA437" s="362">
        <f t="shared" si="213"/>
        <v>0</v>
      </c>
      <c r="AB437" s="362">
        <f t="shared" si="213"/>
        <v>0</v>
      </c>
      <c r="AC437" s="259">
        <f t="shared" si="213"/>
        <v>0</v>
      </c>
      <c r="AD437" s="7"/>
    </row>
    <row r="438" spans="1:30" s="8" customFormat="1" ht="33" customHeight="1" outlineLevel="1" x14ac:dyDescent="0.2">
      <c r="A438" s="352" t="s">
        <v>633</v>
      </c>
      <c r="B438" s="324" t="s">
        <v>364</v>
      </c>
      <c r="C438" s="286">
        <f t="shared" si="210"/>
        <v>4.66</v>
      </c>
      <c r="D438" s="361">
        <f t="shared" si="185"/>
        <v>1398</v>
      </c>
      <c r="E438" s="311">
        <v>0</v>
      </c>
      <c r="F438" s="260">
        <f t="shared" si="188"/>
        <v>0</v>
      </c>
      <c r="G438" s="361">
        <v>0</v>
      </c>
      <c r="H438" s="361">
        <v>0</v>
      </c>
      <c r="I438" s="361">
        <v>0</v>
      </c>
      <c r="J438" s="311">
        <v>0</v>
      </c>
      <c r="K438" s="260">
        <f t="shared" si="186"/>
        <v>0</v>
      </c>
      <c r="L438" s="361">
        <v>0</v>
      </c>
      <c r="M438" s="361">
        <v>0</v>
      </c>
      <c r="N438" s="361">
        <v>0</v>
      </c>
      <c r="O438" s="29">
        <v>0</v>
      </c>
      <c r="P438" s="361">
        <f t="shared" si="189"/>
        <v>0</v>
      </c>
      <c r="Q438" s="361">
        <v>0</v>
      </c>
      <c r="R438" s="361">
        <v>0</v>
      </c>
      <c r="S438" s="362">
        <v>0</v>
      </c>
      <c r="T438" s="29">
        <v>4.66</v>
      </c>
      <c r="U438" s="361">
        <f t="shared" si="190"/>
        <v>1398</v>
      </c>
      <c r="V438" s="361">
        <v>0</v>
      </c>
      <c r="W438" s="361">
        <v>0</v>
      </c>
      <c r="X438" s="362">
        <v>1398</v>
      </c>
      <c r="Y438" s="29">
        <v>0</v>
      </c>
      <c r="Z438" s="361">
        <f t="shared" si="191"/>
        <v>0</v>
      </c>
      <c r="AA438" s="361">
        <v>0</v>
      </c>
      <c r="AB438" s="361">
        <v>0</v>
      </c>
      <c r="AC438" s="362">
        <v>0</v>
      </c>
      <c r="AD438" s="7"/>
    </row>
    <row r="439" spans="1:30" s="8" customFormat="1" ht="36" customHeight="1" outlineLevel="1" x14ac:dyDescent="0.2">
      <c r="A439" s="352" t="s">
        <v>634</v>
      </c>
      <c r="B439" s="324" t="s">
        <v>373</v>
      </c>
      <c r="C439" s="286">
        <f t="shared" si="210"/>
        <v>1.35</v>
      </c>
      <c r="D439" s="361">
        <f t="shared" si="185"/>
        <v>405</v>
      </c>
      <c r="E439" s="311">
        <v>0</v>
      </c>
      <c r="F439" s="260">
        <f t="shared" si="188"/>
        <v>0</v>
      </c>
      <c r="G439" s="361">
        <v>0</v>
      </c>
      <c r="H439" s="361">
        <v>0</v>
      </c>
      <c r="I439" s="361">
        <v>0</v>
      </c>
      <c r="J439" s="311">
        <v>0</v>
      </c>
      <c r="K439" s="260">
        <f t="shared" si="186"/>
        <v>0</v>
      </c>
      <c r="L439" s="361">
        <v>0</v>
      </c>
      <c r="M439" s="361">
        <v>0</v>
      </c>
      <c r="N439" s="361">
        <v>0</v>
      </c>
      <c r="O439" s="29">
        <v>0</v>
      </c>
      <c r="P439" s="361">
        <f t="shared" si="189"/>
        <v>0</v>
      </c>
      <c r="Q439" s="361">
        <v>0</v>
      </c>
      <c r="R439" s="361">
        <v>0</v>
      </c>
      <c r="S439" s="362">
        <v>0</v>
      </c>
      <c r="T439" s="29">
        <v>1.35</v>
      </c>
      <c r="U439" s="361">
        <f t="shared" si="190"/>
        <v>405</v>
      </c>
      <c r="V439" s="361">
        <v>0</v>
      </c>
      <c r="W439" s="361">
        <v>0</v>
      </c>
      <c r="X439" s="362">
        <v>405</v>
      </c>
      <c r="Y439" s="29">
        <v>0</v>
      </c>
      <c r="Z439" s="361">
        <f t="shared" si="191"/>
        <v>0</v>
      </c>
      <c r="AA439" s="361">
        <v>0</v>
      </c>
      <c r="AB439" s="361">
        <v>0</v>
      </c>
      <c r="AC439" s="362">
        <v>0</v>
      </c>
      <c r="AD439" s="7"/>
    </row>
    <row r="440" spans="1:30" s="8" customFormat="1" ht="36" customHeight="1" outlineLevel="1" x14ac:dyDescent="0.2">
      <c r="A440" s="352" t="s">
        <v>635</v>
      </c>
      <c r="B440" s="324" t="s">
        <v>374</v>
      </c>
      <c r="C440" s="286">
        <f t="shared" si="210"/>
        <v>0.4</v>
      </c>
      <c r="D440" s="361">
        <f t="shared" si="185"/>
        <v>120</v>
      </c>
      <c r="E440" s="311">
        <v>0</v>
      </c>
      <c r="F440" s="260">
        <f t="shared" si="188"/>
        <v>0</v>
      </c>
      <c r="G440" s="361">
        <v>0</v>
      </c>
      <c r="H440" s="361">
        <v>0</v>
      </c>
      <c r="I440" s="361">
        <v>0</v>
      </c>
      <c r="J440" s="311">
        <v>0</v>
      </c>
      <c r="K440" s="260">
        <f t="shared" si="186"/>
        <v>0</v>
      </c>
      <c r="L440" s="361">
        <v>0</v>
      </c>
      <c r="M440" s="361">
        <v>0</v>
      </c>
      <c r="N440" s="361">
        <v>0</v>
      </c>
      <c r="O440" s="29">
        <v>0</v>
      </c>
      <c r="P440" s="361">
        <f t="shared" si="189"/>
        <v>0</v>
      </c>
      <c r="Q440" s="361">
        <v>0</v>
      </c>
      <c r="R440" s="361">
        <v>0</v>
      </c>
      <c r="S440" s="362">
        <v>0</v>
      </c>
      <c r="T440" s="29">
        <v>0.4</v>
      </c>
      <c r="U440" s="361">
        <f t="shared" si="190"/>
        <v>120</v>
      </c>
      <c r="V440" s="361">
        <v>0</v>
      </c>
      <c r="W440" s="361">
        <v>0</v>
      </c>
      <c r="X440" s="362">
        <v>120</v>
      </c>
      <c r="Y440" s="29">
        <v>0</v>
      </c>
      <c r="Z440" s="361">
        <f t="shared" si="191"/>
        <v>0</v>
      </c>
      <c r="AA440" s="361">
        <v>0</v>
      </c>
      <c r="AB440" s="361">
        <v>0</v>
      </c>
      <c r="AC440" s="362">
        <v>0</v>
      </c>
      <c r="AD440" s="7"/>
    </row>
    <row r="441" spans="1:30" s="8" customFormat="1" ht="35.450000000000003" customHeight="1" outlineLevel="1" x14ac:dyDescent="0.2">
      <c r="A441" s="352" t="s">
        <v>636</v>
      </c>
      <c r="B441" s="363" t="s">
        <v>375</v>
      </c>
      <c r="C441" s="286">
        <f t="shared" si="210"/>
        <v>0.56000000000000005</v>
      </c>
      <c r="D441" s="361">
        <f t="shared" si="185"/>
        <v>168.00000000000003</v>
      </c>
      <c r="E441" s="311">
        <v>0</v>
      </c>
      <c r="F441" s="260">
        <f t="shared" si="188"/>
        <v>0</v>
      </c>
      <c r="G441" s="361">
        <v>0</v>
      </c>
      <c r="H441" s="361">
        <v>0</v>
      </c>
      <c r="I441" s="361">
        <v>0</v>
      </c>
      <c r="J441" s="311">
        <v>0</v>
      </c>
      <c r="K441" s="260">
        <f t="shared" si="186"/>
        <v>0</v>
      </c>
      <c r="L441" s="361">
        <v>0</v>
      </c>
      <c r="M441" s="361">
        <v>0</v>
      </c>
      <c r="N441" s="361">
        <v>0</v>
      </c>
      <c r="O441" s="29">
        <v>0</v>
      </c>
      <c r="P441" s="361">
        <f t="shared" si="189"/>
        <v>0</v>
      </c>
      <c r="Q441" s="361">
        <v>0</v>
      </c>
      <c r="R441" s="361">
        <v>0</v>
      </c>
      <c r="S441" s="362">
        <v>0</v>
      </c>
      <c r="T441" s="29">
        <v>0.56000000000000005</v>
      </c>
      <c r="U441" s="361">
        <f t="shared" si="190"/>
        <v>168.00000000000003</v>
      </c>
      <c r="V441" s="361">
        <v>0</v>
      </c>
      <c r="W441" s="361">
        <v>0</v>
      </c>
      <c r="X441" s="362">
        <v>168.00000000000003</v>
      </c>
      <c r="Y441" s="29">
        <v>0</v>
      </c>
      <c r="Z441" s="361">
        <f t="shared" si="191"/>
        <v>0</v>
      </c>
      <c r="AA441" s="361">
        <v>0</v>
      </c>
      <c r="AB441" s="361">
        <v>0</v>
      </c>
      <c r="AC441" s="362">
        <v>0</v>
      </c>
      <c r="AD441" s="7"/>
    </row>
    <row r="442" spans="1:30" s="8" customFormat="1" ht="28.15" customHeight="1" outlineLevel="1" x14ac:dyDescent="0.2">
      <c r="A442" s="352" t="s">
        <v>637</v>
      </c>
      <c r="B442" s="363" t="s">
        <v>454</v>
      </c>
      <c r="C442" s="286">
        <f t="shared" si="210"/>
        <v>1.45</v>
      </c>
      <c r="D442" s="361">
        <f t="shared" si="185"/>
        <v>435</v>
      </c>
      <c r="E442" s="311">
        <v>0</v>
      </c>
      <c r="F442" s="260">
        <f t="shared" si="188"/>
        <v>0</v>
      </c>
      <c r="G442" s="361">
        <v>0</v>
      </c>
      <c r="H442" s="361">
        <v>0</v>
      </c>
      <c r="I442" s="361">
        <v>0</v>
      </c>
      <c r="J442" s="311">
        <v>0</v>
      </c>
      <c r="K442" s="260">
        <f t="shared" si="186"/>
        <v>0</v>
      </c>
      <c r="L442" s="361">
        <v>0</v>
      </c>
      <c r="M442" s="361">
        <v>0</v>
      </c>
      <c r="N442" s="361">
        <v>0</v>
      </c>
      <c r="O442" s="29">
        <v>0</v>
      </c>
      <c r="P442" s="361">
        <f t="shared" si="189"/>
        <v>0</v>
      </c>
      <c r="Q442" s="361">
        <v>0</v>
      </c>
      <c r="R442" s="361">
        <v>0</v>
      </c>
      <c r="S442" s="362">
        <v>0</v>
      </c>
      <c r="T442" s="29">
        <v>1.45</v>
      </c>
      <c r="U442" s="361">
        <f t="shared" si="190"/>
        <v>435</v>
      </c>
      <c r="V442" s="361">
        <v>0</v>
      </c>
      <c r="W442" s="361">
        <v>0</v>
      </c>
      <c r="X442" s="362">
        <v>435</v>
      </c>
      <c r="Y442" s="29">
        <v>0</v>
      </c>
      <c r="Z442" s="361">
        <f t="shared" si="191"/>
        <v>0</v>
      </c>
      <c r="AA442" s="361">
        <v>0</v>
      </c>
      <c r="AB442" s="361">
        <v>0</v>
      </c>
      <c r="AC442" s="362">
        <v>0</v>
      </c>
      <c r="AD442" s="7"/>
    </row>
    <row r="443" spans="1:30" s="8" customFormat="1" ht="26.45" customHeight="1" outlineLevel="1" x14ac:dyDescent="0.2">
      <c r="A443" s="352" t="s">
        <v>638</v>
      </c>
      <c r="B443" s="363" t="s">
        <v>377</v>
      </c>
      <c r="C443" s="286">
        <f t="shared" si="210"/>
        <v>4.62</v>
      </c>
      <c r="D443" s="361">
        <f t="shared" si="185"/>
        <v>1386</v>
      </c>
      <c r="E443" s="311">
        <v>0</v>
      </c>
      <c r="F443" s="260">
        <f t="shared" si="188"/>
        <v>0</v>
      </c>
      <c r="G443" s="361">
        <v>0</v>
      </c>
      <c r="H443" s="361">
        <v>0</v>
      </c>
      <c r="I443" s="361">
        <v>0</v>
      </c>
      <c r="J443" s="311">
        <v>0</v>
      </c>
      <c r="K443" s="260">
        <f t="shared" si="186"/>
        <v>0</v>
      </c>
      <c r="L443" s="361">
        <v>0</v>
      </c>
      <c r="M443" s="361">
        <v>0</v>
      </c>
      <c r="N443" s="361">
        <v>0</v>
      </c>
      <c r="O443" s="29">
        <v>0</v>
      </c>
      <c r="P443" s="361">
        <f t="shared" si="189"/>
        <v>0</v>
      </c>
      <c r="Q443" s="361">
        <v>0</v>
      </c>
      <c r="R443" s="361">
        <v>0</v>
      </c>
      <c r="S443" s="362">
        <v>0</v>
      </c>
      <c r="T443" s="29">
        <v>4.62</v>
      </c>
      <c r="U443" s="361">
        <f t="shared" si="190"/>
        <v>1386</v>
      </c>
      <c r="V443" s="361">
        <v>0</v>
      </c>
      <c r="W443" s="361">
        <v>0</v>
      </c>
      <c r="X443" s="362">
        <v>1386</v>
      </c>
      <c r="Y443" s="29">
        <v>0</v>
      </c>
      <c r="Z443" s="361">
        <f t="shared" si="191"/>
        <v>0</v>
      </c>
      <c r="AA443" s="361">
        <v>0</v>
      </c>
      <c r="AB443" s="361">
        <v>0</v>
      </c>
      <c r="AC443" s="362">
        <v>0</v>
      </c>
      <c r="AD443" s="7"/>
    </row>
    <row r="444" spans="1:30" s="8" customFormat="1" ht="25.9" customHeight="1" outlineLevel="1" x14ac:dyDescent="0.2">
      <c r="A444" s="352" t="s">
        <v>639</v>
      </c>
      <c r="B444" s="363" t="s">
        <v>378</v>
      </c>
      <c r="C444" s="286">
        <f t="shared" si="210"/>
        <v>1.23</v>
      </c>
      <c r="D444" s="361">
        <f t="shared" si="185"/>
        <v>369</v>
      </c>
      <c r="E444" s="311">
        <v>0</v>
      </c>
      <c r="F444" s="260">
        <f t="shared" si="188"/>
        <v>0</v>
      </c>
      <c r="G444" s="361">
        <v>0</v>
      </c>
      <c r="H444" s="361">
        <v>0</v>
      </c>
      <c r="I444" s="361">
        <v>0</v>
      </c>
      <c r="J444" s="311">
        <v>0</v>
      </c>
      <c r="K444" s="260">
        <f t="shared" si="186"/>
        <v>0</v>
      </c>
      <c r="L444" s="361">
        <v>0</v>
      </c>
      <c r="M444" s="361">
        <v>0</v>
      </c>
      <c r="N444" s="361">
        <v>0</v>
      </c>
      <c r="O444" s="29">
        <v>0</v>
      </c>
      <c r="P444" s="361">
        <f t="shared" si="189"/>
        <v>0</v>
      </c>
      <c r="Q444" s="361">
        <v>0</v>
      </c>
      <c r="R444" s="361">
        <v>0</v>
      </c>
      <c r="S444" s="362">
        <v>0</v>
      </c>
      <c r="T444" s="29">
        <v>1.23</v>
      </c>
      <c r="U444" s="361">
        <f t="shared" si="190"/>
        <v>369</v>
      </c>
      <c r="V444" s="361">
        <v>0</v>
      </c>
      <c r="W444" s="361">
        <v>0</v>
      </c>
      <c r="X444" s="362">
        <v>369</v>
      </c>
      <c r="Y444" s="29">
        <v>0</v>
      </c>
      <c r="Z444" s="361">
        <f t="shared" si="191"/>
        <v>0</v>
      </c>
      <c r="AA444" s="361">
        <v>0</v>
      </c>
      <c r="AB444" s="361">
        <v>0</v>
      </c>
      <c r="AC444" s="362">
        <v>0</v>
      </c>
      <c r="AD444" s="7"/>
    </row>
    <row r="445" spans="1:30" s="8" customFormat="1" ht="31.15" customHeight="1" outlineLevel="1" x14ac:dyDescent="0.2">
      <c r="A445" s="352" t="s">
        <v>640</v>
      </c>
      <c r="B445" s="363" t="s">
        <v>379</v>
      </c>
      <c r="C445" s="286">
        <f t="shared" si="210"/>
        <v>1.9300000000000002</v>
      </c>
      <c r="D445" s="361">
        <f t="shared" si="185"/>
        <v>579</v>
      </c>
      <c r="E445" s="311">
        <v>0</v>
      </c>
      <c r="F445" s="260">
        <f t="shared" si="188"/>
        <v>0</v>
      </c>
      <c r="G445" s="361">
        <v>0</v>
      </c>
      <c r="H445" s="361">
        <v>0</v>
      </c>
      <c r="I445" s="361">
        <v>0</v>
      </c>
      <c r="J445" s="311">
        <v>0</v>
      </c>
      <c r="K445" s="260">
        <f t="shared" si="186"/>
        <v>0</v>
      </c>
      <c r="L445" s="361">
        <v>0</v>
      </c>
      <c r="M445" s="361">
        <v>0</v>
      </c>
      <c r="N445" s="361">
        <v>0</v>
      </c>
      <c r="O445" s="29">
        <v>0</v>
      </c>
      <c r="P445" s="361">
        <f t="shared" si="189"/>
        <v>0</v>
      </c>
      <c r="Q445" s="361">
        <v>0</v>
      </c>
      <c r="R445" s="361">
        <v>0</v>
      </c>
      <c r="S445" s="362">
        <v>0</v>
      </c>
      <c r="T445" s="29">
        <v>1.9300000000000002</v>
      </c>
      <c r="U445" s="361">
        <f t="shared" si="190"/>
        <v>579</v>
      </c>
      <c r="V445" s="361">
        <v>0</v>
      </c>
      <c r="W445" s="361">
        <v>0</v>
      </c>
      <c r="X445" s="362">
        <v>579</v>
      </c>
      <c r="Y445" s="29">
        <v>0</v>
      </c>
      <c r="Z445" s="361">
        <f t="shared" si="191"/>
        <v>0</v>
      </c>
      <c r="AA445" s="361">
        <v>0</v>
      </c>
      <c r="AB445" s="361">
        <v>0</v>
      </c>
      <c r="AC445" s="362">
        <v>0</v>
      </c>
      <c r="AD445" s="7"/>
    </row>
    <row r="446" spans="1:30" s="8" customFormat="1" ht="37.9" customHeight="1" outlineLevel="1" x14ac:dyDescent="0.2">
      <c r="A446" s="352" t="s">
        <v>641</v>
      </c>
      <c r="B446" s="363" t="s">
        <v>465</v>
      </c>
      <c r="C446" s="286">
        <f t="shared" si="210"/>
        <v>1.82</v>
      </c>
      <c r="D446" s="361">
        <f t="shared" si="185"/>
        <v>545</v>
      </c>
      <c r="E446" s="311">
        <v>0</v>
      </c>
      <c r="F446" s="260">
        <f t="shared" si="188"/>
        <v>0</v>
      </c>
      <c r="G446" s="361">
        <v>0</v>
      </c>
      <c r="H446" s="361">
        <v>0</v>
      </c>
      <c r="I446" s="361">
        <v>0</v>
      </c>
      <c r="J446" s="311">
        <v>0</v>
      </c>
      <c r="K446" s="260">
        <f t="shared" si="186"/>
        <v>0</v>
      </c>
      <c r="L446" s="361">
        <v>0</v>
      </c>
      <c r="M446" s="361">
        <v>0</v>
      </c>
      <c r="N446" s="361">
        <v>0</v>
      </c>
      <c r="O446" s="29">
        <v>0</v>
      </c>
      <c r="P446" s="361">
        <f t="shared" si="189"/>
        <v>0</v>
      </c>
      <c r="Q446" s="361">
        <v>0</v>
      </c>
      <c r="R446" s="361">
        <v>0</v>
      </c>
      <c r="S446" s="362">
        <v>0</v>
      </c>
      <c r="T446" s="29">
        <v>1.82</v>
      </c>
      <c r="U446" s="361">
        <f t="shared" si="190"/>
        <v>545</v>
      </c>
      <c r="V446" s="361">
        <v>0</v>
      </c>
      <c r="W446" s="361">
        <v>0</v>
      </c>
      <c r="X446" s="362">
        <v>545</v>
      </c>
      <c r="Y446" s="29">
        <v>0</v>
      </c>
      <c r="Z446" s="361">
        <f t="shared" si="191"/>
        <v>0</v>
      </c>
      <c r="AA446" s="361">
        <v>0</v>
      </c>
      <c r="AB446" s="361">
        <v>0</v>
      </c>
      <c r="AC446" s="362">
        <v>0</v>
      </c>
      <c r="AD446" s="7"/>
    </row>
    <row r="447" spans="1:30" s="8" customFormat="1" ht="25.15" customHeight="1" outlineLevel="1" x14ac:dyDescent="0.2">
      <c r="A447" s="352" t="s">
        <v>642</v>
      </c>
      <c r="B447" s="363" t="s">
        <v>380</v>
      </c>
      <c r="C447" s="286">
        <f t="shared" si="210"/>
        <v>1.6900000000000002</v>
      </c>
      <c r="D447" s="361">
        <f t="shared" si="185"/>
        <v>507.00000000000006</v>
      </c>
      <c r="E447" s="311">
        <v>0</v>
      </c>
      <c r="F447" s="260">
        <f t="shared" si="188"/>
        <v>0</v>
      </c>
      <c r="G447" s="361">
        <v>0</v>
      </c>
      <c r="H447" s="361">
        <v>0</v>
      </c>
      <c r="I447" s="361">
        <v>0</v>
      </c>
      <c r="J447" s="311">
        <v>0</v>
      </c>
      <c r="K447" s="260">
        <f t="shared" si="186"/>
        <v>0</v>
      </c>
      <c r="L447" s="361">
        <v>0</v>
      </c>
      <c r="M447" s="361">
        <v>0</v>
      </c>
      <c r="N447" s="361">
        <v>0</v>
      </c>
      <c r="O447" s="29">
        <v>0</v>
      </c>
      <c r="P447" s="361">
        <f t="shared" si="189"/>
        <v>0</v>
      </c>
      <c r="Q447" s="361">
        <v>0</v>
      </c>
      <c r="R447" s="361">
        <v>0</v>
      </c>
      <c r="S447" s="362">
        <v>0</v>
      </c>
      <c r="T447" s="29">
        <v>1.6900000000000002</v>
      </c>
      <c r="U447" s="361">
        <f t="shared" si="190"/>
        <v>507.00000000000006</v>
      </c>
      <c r="V447" s="361">
        <v>0</v>
      </c>
      <c r="W447" s="361">
        <v>0</v>
      </c>
      <c r="X447" s="362">
        <v>507.00000000000006</v>
      </c>
      <c r="Y447" s="29">
        <v>0</v>
      </c>
      <c r="Z447" s="361">
        <f t="shared" si="191"/>
        <v>0</v>
      </c>
      <c r="AA447" s="361">
        <v>0</v>
      </c>
      <c r="AB447" s="361">
        <v>0</v>
      </c>
      <c r="AC447" s="362">
        <v>0</v>
      </c>
      <c r="AD447" s="7"/>
    </row>
    <row r="448" spans="1:30" s="8" customFormat="1" ht="28.15" customHeight="1" outlineLevel="1" x14ac:dyDescent="0.2">
      <c r="A448" s="352" t="s">
        <v>643</v>
      </c>
      <c r="B448" s="363" t="s">
        <v>381</v>
      </c>
      <c r="C448" s="286">
        <f t="shared" si="210"/>
        <v>1.1000000000000001</v>
      </c>
      <c r="D448" s="361">
        <f t="shared" si="185"/>
        <v>330</v>
      </c>
      <c r="E448" s="311">
        <v>0</v>
      </c>
      <c r="F448" s="260">
        <f t="shared" si="188"/>
        <v>0</v>
      </c>
      <c r="G448" s="361">
        <v>0</v>
      </c>
      <c r="H448" s="361">
        <v>0</v>
      </c>
      <c r="I448" s="361">
        <v>0</v>
      </c>
      <c r="J448" s="311">
        <v>0</v>
      </c>
      <c r="K448" s="260">
        <f t="shared" si="186"/>
        <v>0</v>
      </c>
      <c r="L448" s="361">
        <v>0</v>
      </c>
      <c r="M448" s="361">
        <v>0</v>
      </c>
      <c r="N448" s="361">
        <v>0</v>
      </c>
      <c r="O448" s="29">
        <v>0</v>
      </c>
      <c r="P448" s="361">
        <f t="shared" si="189"/>
        <v>0</v>
      </c>
      <c r="Q448" s="361">
        <v>0</v>
      </c>
      <c r="R448" s="361">
        <v>0</v>
      </c>
      <c r="S448" s="362">
        <v>0</v>
      </c>
      <c r="T448" s="29">
        <v>1.1000000000000001</v>
      </c>
      <c r="U448" s="361">
        <f t="shared" si="190"/>
        <v>330</v>
      </c>
      <c r="V448" s="361">
        <v>0</v>
      </c>
      <c r="W448" s="361">
        <v>0</v>
      </c>
      <c r="X448" s="362">
        <v>330</v>
      </c>
      <c r="Y448" s="29">
        <v>0</v>
      </c>
      <c r="Z448" s="361">
        <f t="shared" si="191"/>
        <v>0</v>
      </c>
      <c r="AA448" s="361">
        <v>0</v>
      </c>
      <c r="AB448" s="361">
        <v>0</v>
      </c>
      <c r="AC448" s="362">
        <v>0</v>
      </c>
      <c r="AD448" s="7"/>
    </row>
    <row r="449" spans="1:30" s="8" customFormat="1" ht="24" customHeight="1" outlineLevel="1" x14ac:dyDescent="0.2">
      <c r="A449" s="352" t="s">
        <v>644</v>
      </c>
      <c r="B449" s="363" t="s">
        <v>382</v>
      </c>
      <c r="C449" s="286">
        <f t="shared" si="210"/>
        <v>0.35000000000000003</v>
      </c>
      <c r="D449" s="361">
        <f t="shared" si="185"/>
        <v>105.00000000000001</v>
      </c>
      <c r="E449" s="311">
        <v>0</v>
      </c>
      <c r="F449" s="260">
        <f t="shared" si="188"/>
        <v>0</v>
      </c>
      <c r="G449" s="361">
        <v>0</v>
      </c>
      <c r="H449" s="361">
        <v>0</v>
      </c>
      <c r="I449" s="361">
        <v>0</v>
      </c>
      <c r="J449" s="311">
        <v>0</v>
      </c>
      <c r="K449" s="260">
        <f t="shared" si="186"/>
        <v>0</v>
      </c>
      <c r="L449" s="361">
        <v>0</v>
      </c>
      <c r="M449" s="361">
        <v>0</v>
      </c>
      <c r="N449" s="361">
        <v>0</v>
      </c>
      <c r="O449" s="29">
        <v>0</v>
      </c>
      <c r="P449" s="361">
        <f t="shared" si="189"/>
        <v>0</v>
      </c>
      <c r="Q449" s="361">
        <v>0</v>
      </c>
      <c r="R449" s="361">
        <v>0</v>
      </c>
      <c r="S449" s="362">
        <v>0</v>
      </c>
      <c r="T449" s="29">
        <v>0.35000000000000003</v>
      </c>
      <c r="U449" s="361">
        <f t="shared" si="190"/>
        <v>105.00000000000001</v>
      </c>
      <c r="V449" s="361">
        <v>0</v>
      </c>
      <c r="W449" s="361">
        <v>0</v>
      </c>
      <c r="X449" s="362">
        <v>105.00000000000001</v>
      </c>
      <c r="Y449" s="29">
        <v>0</v>
      </c>
      <c r="Z449" s="361">
        <f t="shared" si="191"/>
        <v>0</v>
      </c>
      <c r="AA449" s="361">
        <v>0</v>
      </c>
      <c r="AB449" s="361">
        <v>0</v>
      </c>
      <c r="AC449" s="362">
        <v>0</v>
      </c>
      <c r="AD449" s="7"/>
    </row>
    <row r="450" spans="1:30" s="8" customFormat="1" ht="25.15" customHeight="1" outlineLevel="1" x14ac:dyDescent="0.2">
      <c r="A450" s="352" t="s">
        <v>645</v>
      </c>
      <c r="B450" s="363" t="s">
        <v>383</v>
      </c>
      <c r="C450" s="286">
        <f t="shared" si="210"/>
        <v>3.87</v>
      </c>
      <c r="D450" s="361">
        <f t="shared" si="185"/>
        <v>1161</v>
      </c>
      <c r="E450" s="311">
        <v>0</v>
      </c>
      <c r="F450" s="260">
        <f t="shared" si="188"/>
        <v>0</v>
      </c>
      <c r="G450" s="361">
        <v>0</v>
      </c>
      <c r="H450" s="361">
        <v>0</v>
      </c>
      <c r="I450" s="361">
        <v>0</v>
      </c>
      <c r="J450" s="311">
        <v>0</v>
      </c>
      <c r="K450" s="260">
        <f t="shared" si="186"/>
        <v>0</v>
      </c>
      <c r="L450" s="361">
        <v>0</v>
      </c>
      <c r="M450" s="361">
        <v>0</v>
      </c>
      <c r="N450" s="361">
        <v>0</v>
      </c>
      <c r="O450" s="29">
        <v>0</v>
      </c>
      <c r="P450" s="361">
        <f t="shared" si="189"/>
        <v>0</v>
      </c>
      <c r="Q450" s="361">
        <v>0</v>
      </c>
      <c r="R450" s="361">
        <v>0</v>
      </c>
      <c r="S450" s="362">
        <v>0</v>
      </c>
      <c r="T450" s="29">
        <v>3.87</v>
      </c>
      <c r="U450" s="361">
        <f t="shared" si="190"/>
        <v>1161</v>
      </c>
      <c r="V450" s="361">
        <v>0</v>
      </c>
      <c r="W450" s="361">
        <v>0</v>
      </c>
      <c r="X450" s="362">
        <v>1161</v>
      </c>
      <c r="Y450" s="29">
        <v>0</v>
      </c>
      <c r="Z450" s="361">
        <f t="shared" si="191"/>
        <v>0</v>
      </c>
      <c r="AA450" s="361">
        <v>0</v>
      </c>
      <c r="AB450" s="361">
        <v>0</v>
      </c>
      <c r="AC450" s="362">
        <v>0</v>
      </c>
      <c r="AD450" s="7"/>
    </row>
    <row r="451" spans="1:30" s="8" customFormat="1" ht="21" customHeight="1" outlineLevel="1" x14ac:dyDescent="0.2">
      <c r="A451" s="352" t="s">
        <v>646</v>
      </c>
      <c r="B451" s="363" t="s">
        <v>384</v>
      </c>
      <c r="C451" s="286">
        <f t="shared" si="210"/>
        <v>1.61</v>
      </c>
      <c r="D451" s="361">
        <f t="shared" si="185"/>
        <v>482</v>
      </c>
      <c r="E451" s="311">
        <v>0</v>
      </c>
      <c r="F451" s="260">
        <f t="shared" si="188"/>
        <v>0</v>
      </c>
      <c r="G451" s="361">
        <v>0</v>
      </c>
      <c r="H451" s="361">
        <v>0</v>
      </c>
      <c r="I451" s="361">
        <v>0</v>
      </c>
      <c r="J451" s="311">
        <v>0</v>
      </c>
      <c r="K451" s="260">
        <f t="shared" si="186"/>
        <v>0</v>
      </c>
      <c r="L451" s="361">
        <v>0</v>
      </c>
      <c r="M451" s="361">
        <v>0</v>
      </c>
      <c r="N451" s="361">
        <v>0</v>
      </c>
      <c r="O451" s="29">
        <v>0</v>
      </c>
      <c r="P451" s="361">
        <f t="shared" si="189"/>
        <v>0</v>
      </c>
      <c r="Q451" s="361">
        <v>0</v>
      </c>
      <c r="R451" s="361">
        <v>0</v>
      </c>
      <c r="S451" s="362">
        <v>0</v>
      </c>
      <c r="T451" s="29">
        <v>1.61</v>
      </c>
      <c r="U451" s="361">
        <f t="shared" si="190"/>
        <v>482</v>
      </c>
      <c r="V451" s="361">
        <v>0</v>
      </c>
      <c r="W451" s="361">
        <v>0</v>
      </c>
      <c r="X451" s="362">
        <v>482</v>
      </c>
      <c r="Y451" s="29">
        <v>0</v>
      </c>
      <c r="Z451" s="361">
        <f t="shared" si="191"/>
        <v>0</v>
      </c>
      <c r="AA451" s="361">
        <v>0</v>
      </c>
      <c r="AB451" s="361">
        <v>0</v>
      </c>
      <c r="AC451" s="362">
        <v>0</v>
      </c>
      <c r="AD451" s="7"/>
    </row>
    <row r="452" spans="1:30" s="8" customFormat="1" ht="25.15" customHeight="1" outlineLevel="1" x14ac:dyDescent="0.2">
      <c r="A452" s="352" t="s">
        <v>647</v>
      </c>
      <c r="B452" s="363" t="s">
        <v>387</v>
      </c>
      <c r="C452" s="286">
        <f t="shared" si="210"/>
        <v>3.05</v>
      </c>
      <c r="D452" s="361">
        <f t="shared" si="185"/>
        <v>915</v>
      </c>
      <c r="E452" s="311">
        <v>0</v>
      </c>
      <c r="F452" s="260">
        <f t="shared" si="188"/>
        <v>0</v>
      </c>
      <c r="G452" s="361">
        <v>0</v>
      </c>
      <c r="H452" s="361">
        <v>0</v>
      </c>
      <c r="I452" s="361">
        <v>0</v>
      </c>
      <c r="J452" s="311">
        <v>0</v>
      </c>
      <c r="K452" s="260">
        <f t="shared" si="186"/>
        <v>0</v>
      </c>
      <c r="L452" s="361">
        <v>0</v>
      </c>
      <c r="M452" s="361">
        <v>0</v>
      </c>
      <c r="N452" s="361">
        <v>0</v>
      </c>
      <c r="O452" s="29">
        <v>0</v>
      </c>
      <c r="P452" s="361">
        <f t="shared" si="189"/>
        <v>0</v>
      </c>
      <c r="Q452" s="361">
        <v>0</v>
      </c>
      <c r="R452" s="361">
        <v>0</v>
      </c>
      <c r="S452" s="362">
        <v>0</v>
      </c>
      <c r="T452" s="29">
        <v>3.05</v>
      </c>
      <c r="U452" s="361">
        <f t="shared" si="190"/>
        <v>915</v>
      </c>
      <c r="V452" s="361">
        <v>0</v>
      </c>
      <c r="W452" s="361">
        <v>0</v>
      </c>
      <c r="X452" s="362">
        <v>915</v>
      </c>
      <c r="Y452" s="29">
        <v>0</v>
      </c>
      <c r="Z452" s="361">
        <f t="shared" si="191"/>
        <v>0</v>
      </c>
      <c r="AA452" s="361">
        <v>0</v>
      </c>
      <c r="AB452" s="361">
        <v>0</v>
      </c>
      <c r="AC452" s="362">
        <v>0</v>
      </c>
      <c r="AD452" s="7"/>
    </row>
    <row r="453" spans="1:30" s="8" customFormat="1" ht="25.15" customHeight="1" outlineLevel="1" x14ac:dyDescent="0.2">
      <c r="A453" s="352" t="s">
        <v>648</v>
      </c>
      <c r="B453" s="363" t="s">
        <v>389</v>
      </c>
      <c r="C453" s="286">
        <f t="shared" si="210"/>
        <v>1.5</v>
      </c>
      <c r="D453" s="361">
        <f t="shared" si="185"/>
        <v>450</v>
      </c>
      <c r="E453" s="311">
        <v>0</v>
      </c>
      <c r="F453" s="260">
        <f t="shared" si="188"/>
        <v>0</v>
      </c>
      <c r="G453" s="361">
        <v>0</v>
      </c>
      <c r="H453" s="361">
        <v>0</v>
      </c>
      <c r="I453" s="361">
        <v>0</v>
      </c>
      <c r="J453" s="311">
        <v>0</v>
      </c>
      <c r="K453" s="260">
        <f t="shared" si="186"/>
        <v>0</v>
      </c>
      <c r="L453" s="361">
        <v>0</v>
      </c>
      <c r="M453" s="361">
        <v>0</v>
      </c>
      <c r="N453" s="361">
        <v>0</v>
      </c>
      <c r="O453" s="29">
        <v>0</v>
      </c>
      <c r="P453" s="361">
        <f t="shared" si="189"/>
        <v>0</v>
      </c>
      <c r="Q453" s="361">
        <v>0</v>
      </c>
      <c r="R453" s="361">
        <v>0</v>
      </c>
      <c r="S453" s="362">
        <v>0</v>
      </c>
      <c r="T453" s="29">
        <v>1.5</v>
      </c>
      <c r="U453" s="361">
        <f t="shared" si="190"/>
        <v>450</v>
      </c>
      <c r="V453" s="361">
        <v>0</v>
      </c>
      <c r="W453" s="361">
        <v>0</v>
      </c>
      <c r="X453" s="362">
        <v>450</v>
      </c>
      <c r="Y453" s="29">
        <v>0</v>
      </c>
      <c r="Z453" s="361">
        <f t="shared" si="191"/>
        <v>0</v>
      </c>
      <c r="AA453" s="361">
        <v>0</v>
      </c>
      <c r="AB453" s="361">
        <v>0</v>
      </c>
      <c r="AC453" s="362">
        <v>0</v>
      </c>
      <c r="AD453" s="7"/>
    </row>
    <row r="454" spans="1:30" s="8" customFormat="1" ht="23.45" customHeight="1" outlineLevel="1" x14ac:dyDescent="0.2">
      <c r="A454" s="352" t="s">
        <v>649</v>
      </c>
      <c r="B454" s="363" t="s">
        <v>390</v>
      </c>
      <c r="C454" s="286">
        <f t="shared" si="210"/>
        <v>2.6100000000000003</v>
      </c>
      <c r="D454" s="361">
        <f t="shared" si="185"/>
        <v>783.00000000000011</v>
      </c>
      <c r="E454" s="311">
        <v>0</v>
      </c>
      <c r="F454" s="260">
        <f t="shared" si="188"/>
        <v>0</v>
      </c>
      <c r="G454" s="361">
        <v>0</v>
      </c>
      <c r="H454" s="361">
        <v>0</v>
      </c>
      <c r="I454" s="361">
        <v>0</v>
      </c>
      <c r="J454" s="311">
        <v>0</v>
      </c>
      <c r="K454" s="260">
        <f t="shared" si="186"/>
        <v>0</v>
      </c>
      <c r="L454" s="361">
        <v>0</v>
      </c>
      <c r="M454" s="361">
        <v>0</v>
      </c>
      <c r="N454" s="361">
        <v>0</v>
      </c>
      <c r="O454" s="29">
        <v>0</v>
      </c>
      <c r="P454" s="361">
        <f t="shared" si="189"/>
        <v>0</v>
      </c>
      <c r="Q454" s="361">
        <v>0</v>
      </c>
      <c r="R454" s="361">
        <v>0</v>
      </c>
      <c r="S454" s="362">
        <v>0</v>
      </c>
      <c r="T454" s="29">
        <v>2.6100000000000003</v>
      </c>
      <c r="U454" s="361">
        <f t="shared" si="190"/>
        <v>783.00000000000011</v>
      </c>
      <c r="V454" s="361">
        <v>0</v>
      </c>
      <c r="W454" s="361">
        <v>0</v>
      </c>
      <c r="X454" s="362">
        <v>783.00000000000011</v>
      </c>
      <c r="Y454" s="29">
        <v>0</v>
      </c>
      <c r="Z454" s="361">
        <f t="shared" si="191"/>
        <v>0</v>
      </c>
      <c r="AA454" s="361">
        <v>0</v>
      </c>
      <c r="AB454" s="361">
        <v>0</v>
      </c>
      <c r="AC454" s="362">
        <v>0</v>
      </c>
      <c r="AD454" s="7"/>
    </row>
    <row r="455" spans="1:30" s="8" customFormat="1" ht="22.9" customHeight="1" outlineLevel="1" x14ac:dyDescent="0.2">
      <c r="A455" s="352" t="s">
        <v>650</v>
      </c>
      <c r="B455" s="363" t="s">
        <v>391</v>
      </c>
      <c r="C455" s="286">
        <f t="shared" si="210"/>
        <v>1.34</v>
      </c>
      <c r="D455" s="361">
        <f t="shared" si="185"/>
        <v>402</v>
      </c>
      <c r="E455" s="311">
        <v>0</v>
      </c>
      <c r="F455" s="260">
        <f t="shared" si="188"/>
        <v>0</v>
      </c>
      <c r="G455" s="361">
        <v>0</v>
      </c>
      <c r="H455" s="361">
        <v>0</v>
      </c>
      <c r="I455" s="361">
        <v>0</v>
      </c>
      <c r="J455" s="311">
        <v>0</v>
      </c>
      <c r="K455" s="260">
        <f t="shared" si="186"/>
        <v>0</v>
      </c>
      <c r="L455" s="361">
        <v>0</v>
      </c>
      <c r="M455" s="361">
        <v>0</v>
      </c>
      <c r="N455" s="361">
        <v>0</v>
      </c>
      <c r="O455" s="29">
        <v>0</v>
      </c>
      <c r="P455" s="361">
        <f t="shared" si="189"/>
        <v>0</v>
      </c>
      <c r="Q455" s="361">
        <v>0</v>
      </c>
      <c r="R455" s="361">
        <v>0</v>
      </c>
      <c r="S455" s="362">
        <v>0</v>
      </c>
      <c r="T455" s="29">
        <v>1.34</v>
      </c>
      <c r="U455" s="361">
        <f t="shared" si="190"/>
        <v>402</v>
      </c>
      <c r="V455" s="361">
        <v>0</v>
      </c>
      <c r="W455" s="361">
        <v>0</v>
      </c>
      <c r="X455" s="362">
        <v>402</v>
      </c>
      <c r="Y455" s="29">
        <v>0</v>
      </c>
      <c r="Z455" s="361">
        <f t="shared" si="191"/>
        <v>0</v>
      </c>
      <c r="AA455" s="361">
        <v>0</v>
      </c>
      <c r="AB455" s="361">
        <v>0</v>
      </c>
      <c r="AC455" s="362">
        <v>0</v>
      </c>
      <c r="AD455" s="7"/>
    </row>
    <row r="456" spans="1:30" s="8" customFormat="1" ht="33" customHeight="1" outlineLevel="1" x14ac:dyDescent="0.2">
      <c r="A456" s="352" t="s">
        <v>651</v>
      </c>
      <c r="B456" s="363" t="s">
        <v>392</v>
      </c>
      <c r="C456" s="286">
        <f t="shared" si="210"/>
        <v>0.61</v>
      </c>
      <c r="D456" s="361">
        <f t="shared" si="185"/>
        <v>182</v>
      </c>
      <c r="E456" s="311">
        <v>0</v>
      </c>
      <c r="F456" s="260">
        <f t="shared" si="188"/>
        <v>0</v>
      </c>
      <c r="G456" s="361">
        <v>0</v>
      </c>
      <c r="H456" s="361">
        <v>0</v>
      </c>
      <c r="I456" s="361">
        <v>0</v>
      </c>
      <c r="J456" s="311">
        <v>0</v>
      </c>
      <c r="K456" s="260">
        <f t="shared" si="186"/>
        <v>0</v>
      </c>
      <c r="L456" s="361">
        <v>0</v>
      </c>
      <c r="M456" s="361">
        <v>0</v>
      </c>
      <c r="N456" s="361">
        <v>0</v>
      </c>
      <c r="O456" s="29">
        <v>0</v>
      </c>
      <c r="P456" s="361">
        <f t="shared" si="189"/>
        <v>0</v>
      </c>
      <c r="Q456" s="361">
        <v>0</v>
      </c>
      <c r="R456" s="361">
        <v>0</v>
      </c>
      <c r="S456" s="362">
        <v>0</v>
      </c>
      <c r="T456" s="29">
        <v>0.61</v>
      </c>
      <c r="U456" s="361">
        <f t="shared" si="190"/>
        <v>182</v>
      </c>
      <c r="V456" s="361">
        <v>0</v>
      </c>
      <c r="W456" s="361">
        <v>0</v>
      </c>
      <c r="X456" s="362">
        <v>182</v>
      </c>
      <c r="Y456" s="29">
        <v>0</v>
      </c>
      <c r="Z456" s="361">
        <f t="shared" si="191"/>
        <v>0</v>
      </c>
      <c r="AA456" s="361">
        <v>0</v>
      </c>
      <c r="AB456" s="361">
        <v>0</v>
      </c>
      <c r="AC456" s="362">
        <v>0</v>
      </c>
      <c r="AD456" s="7"/>
    </row>
    <row r="457" spans="1:30" s="8" customFormat="1" ht="33" customHeight="1" outlineLevel="1" x14ac:dyDescent="0.2">
      <c r="A457" s="352" t="s">
        <v>652</v>
      </c>
      <c r="B457" s="363" t="s">
        <v>393</v>
      </c>
      <c r="C457" s="286">
        <f t="shared" si="210"/>
        <v>0.44</v>
      </c>
      <c r="D457" s="361">
        <f t="shared" ref="D457:D509" si="214">F457+K457+P457+U457+Z457</f>
        <v>131</v>
      </c>
      <c r="E457" s="311">
        <v>0</v>
      </c>
      <c r="F457" s="260">
        <f t="shared" si="188"/>
        <v>0</v>
      </c>
      <c r="G457" s="361">
        <v>0</v>
      </c>
      <c r="H457" s="361">
        <v>0</v>
      </c>
      <c r="I457" s="361">
        <v>0</v>
      </c>
      <c r="J457" s="311">
        <v>0</v>
      </c>
      <c r="K457" s="260">
        <f t="shared" ref="K457:K509" si="215">SUM(L457:N457)</f>
        <v>0</v>
      </c>
      <c r="L457" s="361">
        <v>0</v>
      </c>
      <c r="M457" s="361">
        <v>0</v>
      </c>
      <c r="N457" s="361">
        <v>0</v>
      </c>
      <c r="O457" s="29">
        <v>0</v>
      </c>
      <c r="P457" s="361">
        <f t="shared" si="189"/>
        <v>0</v>
      </c>
      <c r="Q457" s="361">
        <v>0</v>
      </c>
      <c r="R457" s="361">
        <v>0</v>
      </c>
      <c r="S457" s="362">
        <v>0</v>
      </c>
      <c r="T457" s="29">
        <v>0.44</v>
      </c>
      <c r="U457" s="361">
        <f t="shared" si="190"/>
        <v>131</v>
      </c>
      <c r="V457" s="361">
        <v>0</v>
      </c>
      <c r="W457" s="361">
        <v>0</v>
      </c>
      <c r="X457" s="362">
        <v>131</v>
      </c>
      <c r="Y457" s="29">
        <v>0</v>
      </c>
      <c r="Z457" s="361">
        <f t="shared" si="191"/>
        <v>0</v>
      </c>
      <c r="AA457" s="361">
        <v>0</v>
      </c>
      <c r="AB457" s="361">
        <v>0</v>
      </c>
      <c r="AC457" s="362">
        <v>0</v>
      </c>
      <c r="AD457" s="7"/>
    </row>
    <row r="458" spans="1:30" s="8" customFormat="1" ht="31.9" customHeight="1" outlineLevel="1" x14ac:dyDescent="0.2">
      <c r="A458" s="352" t="s">
        <v>653</v>
      </c>
      <c r="B458" s="363" t="s">
        <v>394</v>
      </c>
      <c r="C458" s="286">
        <f t="shared" si="210"/>
        <v>0.4</v>
      </c>
      <c r="D458" s="361">
        <f t="shared" si="214"/>
        <v>119</v>
      </c>
      <c r="E458" s="311">
        <v>0</v>
      </c>
      <c r="F458" s="260">
        <f t="shared" ref="F458:F509" si="216">G458+H458+I458</f>
        <v>0</v>
      </c>
      <c r="G458" s="361">
        <v>0</v>
      </c>
      <c r="H458" s="361">
        <v>0</v>
      </c>
      <c r="I458" s="361">
        <v>0</v>
      </c>
      <c r="J458" s="311">
        <v>0</v>
      </c>
      <c r="K458" s="260">
        <f t="shared" si="215"/>
        <v>0</v>
      </c>
      <c r="L458" s="361">
        <v>0</v>
      </c>
      <c r="M458" s="361">
        <v>0</v>
      </c>
      <c r="N458" s="361">
        <v>0</v>
      </c>
      <c r="O458" s="29">
        <v>0</v>
      </c>
      <c r="P458" s="361">
        <f t="shared" ref="P458:P509" si="217">Q458+R458+S458</f>
        <v>0</v>
      </c>
      <c r="Q458" s="361">
        <v>0</v>
      </c>
      <c r="R458" s="361">
        <v>0</v>
      </c>
      <c r="S458" s="362">
        <v>0</v>
      </c>
      <c r="T458" s="29">
        <v>0.4</v>
      </c>
      <c r="U458" s="361">
        <f t="shared" ref="U458:U509" si="218">V458+W458+X458</f>
        <v>119</v>
      </c>
      <c r="V458" s="361">
        <v>0</v>
      </c>
      <c r="W458" s="361">
        <v>0</v>
      </c>
      <c r="X458" s="362">
        <v>119</v>
      </c>
      <c r="Y458" s="29">
        <v>0</v>
      </c>
      <c r="Z458" s="361">
        <f t="shared" ref="Z458:Z509" si="219">AA458+AB458+AC458</f>
        <v>0</v>
      </c>
      <c r="AA458" s="361">
        <v>0</v>
      </c>
      <c r="AB458" s="361">
        <v>0</v>
      </c>
      <c r="AC458" s="362">
        <v>0</v>
      </c>
      <c r="AD458" s="7"/>
    </row>
    <row r="459" spans="1:30" s="8" customFormat="1" ht="30" customHeight="1" outlineLevel="1" x14ac:dyDescent="0.2">
      <c r="A459" s="352" t="s">
        <v>654</v>
      </c>
      <c r="B459" s="363" t="s">
        <v>395</v>
      </c>
      <c r="C459" s="286">
        <f t="shared" si="210"/>
        <v>0.71</v>
      </c>
      <c r="D459" s="361">
        <f t="shared" si="214"/>
        <v>212</v>
      </c>
      <c r="E459" s="311">
        <v>0</v>
      </c>
      <c r="F459" s="260">
        <f t="shared" si="216"/>
        <v>0</v>
      </c>
      <c r="G459" s="361">
        <v>0</v>
      </c>
      <c r="H459" s="361">
        <v>0</v>
      </c>
      <c r="I459" s="361">
        <v>0</v>
      </c>
      <c r="J459" s="311">
        <v>0</v>
      </c>
      <c r="K459" s="260">
        <f t="shared" si="215"/>
        <v>0</v>
      </c>
      <c r="L459" s="361">
        <v>0</v>
      </c>
      <c r="M459" s="361">
        <v>0</v>
      </c>
      <c r="N459" s="361">
        <v>0</v>
      </c>
      <c r="O459" s="29">
        <v>0</v>
      </c>
      <c r="P459" s="361">
        <f t="shared" si="217"/>
        <v>0</v>
      </c>
      <c r="Q459" s="361">
        <v>0</v>
      </c>
      <c r="R459" s="361">
        <v>0</v>
      </c>
      <c r="S459" s="362">
        <v>0</v>
      </c>
      <c r="T459" s="29">
        <v>0.71</v>
      </c>
      <c r="U459" s="361">
        <f t="shared" si="218"/>
        <v>212</v>
      </c>
      <c r="V459" s="361">
        <v>0</v>
      </c>
      <c r="W459" s="361">
        <v>0</v>
      </c>
      <c r="X459" s="362">
        <v>212</v>
      </c>
      <c r="Y459" s="29">
        <v>0</v>
      </c>
      <c r="Z459" s="361">
        <f t="shared" si="219"/>
        <v>0</v>
      </c>
      <c r="AA459" s="361">
        <v>0</v>
      </c>
      <c r="AB459" s="361">
        <v>0</v>
      </c>
      <c r="AC459" s="362">
        <v>0</v>
      </c>
      <c r="AD459" s="7"/>
    </row>
    <row r="460" spans="1:30" s="8" customFormat="1" ht="26.45" customHeight="1" outlineLevel="1" x14ac:dyDescent="0.2">
      <c r="A460" s="352" t="s">
        <v>655</v>
      </c>
      <c r="B460" s="363" t="s">
        <v>396</v>
      </c>
      <c r="C460" s="286">
        <f t="shared" si="210"/>
        <v>1.2</v>
      </c>
      <c r="D460" s="361">
        <f t="shared" si="214"/>
        <v>360</v>
      </c>
      <c r="E460" s="311">
        <v>0</v>
      </c>
      <c r="F460" s="260">
        <f t="shared" si="216"/>
        <v>0</v>
      </c>
      <c r="G460" s="361">
        <v>0</v>
      </c>
      <c r="H460" s="361">
        <v>0</v>
      </c>
      <c r="I460" s="361">
        <v>0</v>
      </c>
      <c r="J460" s="311">
        <v>0</v>
      </c>
      <c r="K460" s="260">
        <f t="shared" si="215"/>
        <v>0</v>
      </c>
      <c r="L460" s="361">
        <v>0</v>
      </c>
      <c r="M460" s="361">
        <v>0</v>
      </c>
      <c r="N460" s="361">
        <v>0</v>
      </c>
      <c r="O460" s="29">
        <v>0</v>
      </c>
      <c r="P460" s="361">
        <f t="shared" si="217"/>
        <v>0</v>
      </c>
      <c r="Q460" s="361">
        <v>0</v>
      </c>
      <c r="R460" s="361">
        <v>0</v>
      </c>
      <c r="S460" s="362">
        <v>0</v>
      </c>
      <c r="T460" s="29">
        <v>1.2</v>
      </c>
      <c r="U460" s="361">
        <f t="shared" si="218"/>
        <v>360</v>
      </c>
      <c r="V460" s="361">
        <v>0</v>
      </c>
      <c r="W460" s="361">
        <v>0</v>
      </c>
      <c r="X460" s="362">
        <v>360</v>
      </c>
      <c r="Y460" s="29">
        <v>0</v>
      </c>
      <c r="Z460" s="361">
        <f t="shared" si="219"/>
        <v>0</v>
      </c>
      <c r="AA460" s="361">
        <v>0</v>
      </c>
      <c r="AB460" s="361">
        <v>0</v>
      </c>
      <c r="AC460" s="362">
        <v>0</v>
      </c>
      <c r="AD460" s="7"/>
    </row>
    <row r="461" spans="1:30" s="8" customFormat="1" ht="27" customHeight="1" outlineLevel="1" x14ac:dyDescent="0.2">
      <c r="A461" s="352" t="s">
        <v>656</v>
      </c>
      <c r="B461" s="363" t="s">
        <v>397</v>
      </c>
      <c r="C461" s="286">
        <f t="shared" si="210"/>
        <v>1.24</v>
      </c>
      <c r="D461" s="361">
        <f t="shared" si="214"/>
        <v>372</v>
      </c>
      <c r="E461" s="311">
        <v>0</v>
      </c>
      <c r="F461" s="260">
        <f t="shared" si="216"/>
        <v>0</v>
      </c>
      <c r="G461" s="361">
        <v>0</v>
      </c>
      <c r="H461" s="361">
        <v>0</v>
      </c>
      <c r="I461" s="361">
        <v>0</v>
      </c>
      <c r="J461" s="311">
        <v>0</v>
      </c>
      <c r="K461" s="260">
        <f t="shared" si="215"/>
        <v>0</v>
      </c>
      <c r="L461" s="361">
        <v>0</v>
      </c>
      <c r="M461" s="361">
        <v>0</v>
      </c>
      <c r="N461" s="361">
        <v>0</v>
      </c>
      <c r="O461" s="29">
        <v>0</v>
      </c>
      <c r="P461" s="361">
        <f t="shared" si="217"/>
        <v>0</v>
      </c>
      <c r="Q461" s="361">
        <v>0</v>
      </c>
      <c r="R461" s="361">
        <v>0</v>
      </c>
      <c r="S461" s="362">
        <v>0</v>
      </c>
      <c r="T461" s="29">
        <v>1.24</v>
      </c>
      <c r="U461" s="361">
        <f t="shared" si="218"/>
        <v>372</v>
      </c>
      <c r="V461" s="361">
        <v>0</v>
      </c>
      <c r="W461" s="361">
        <v>0</v>
      </c>
      <c r="X461" s="362">
        <v>372</v>
      </c>
      <c r="Y461" s="29">
        <v>0</v>
      </c>
      <c r="Z461" s="361">
        <f t="shared" si="219"/>
        <v>0</v>
      </c>
      <c r="AA461" s="361">
        <v>0</v>
      </c>
      <c r="AB461" s="361">
        <v>0</v>
      </c>
      <c r="AC461" s="362">
        <v>0</v>
      </c>
      <c r="AD461" s="7"/>
    </row>
    <row r="462" spans="1:30" s="8" customFormat="1" ht="35.450000000000003" customHeight="1" outlineLevel="1" x14ac:dyDescent="0.2">
      <c r="A462" s="352" t="s">
        <v>657</v>
      </c>
      <c r="B462" s="363" t="s">
        <v>398</v>
      </c>
      <c r="C462" s="286">
        <f t="shared" si="210"/>
        <v>1.19</v>
      </c>
      <c r="D462" s="361">
        <f t="shared" si="214"/>
        <v>357</v>
      </c>
      <c r="E462" s="311">
        <v>0</v>
      </c>
      <c r="F462" s="260">
        <f t="shared" si="216"/>
        <v>0</v>
      </c>
      <c r="G462" s="361">
        <v>0</v>
      </c>
      <c r="H462" s="361">
        <v>0</v>
      </c>
      <c r="I462" s="361">
        <v>0</v>
      </c>
      <c r="J462" s="311">
        <v>0</v>
      </c>
      <c r="K462" s="260">
        <f t="shared" si="215"/>
        <v>0</v>
      </c>
      <c r="L462" s="361">
        <v>0</v>
      </c>
      <c r="M462" s="361">
        <v>0</v>
      </c>
      <c r="N462" s="361">
        <v>0</v>
      </c>
      <c r="O462" s="29">
        <v>0</v>
      </c>
      <c r="P462" s="361">
        <f t="shared" si="217"/>
        <v>0</v>
      </c>
      <c r="Q462" s="361">
        <v>0</v>
      </c>
      <c r="R462" s="361">
        <v>0</v>
      </c>
      <c r="S462" s="362">
        <v>0</v>
      </c>
      <c r="T462" s="29">
        <v>1.19</v>
      </c>
      <c r="U462" s="361">
        <f t="shared" si="218"/>
        <v>357</v>
      </c>
      <c r="V462" s="361">
        <v>0</v>
      </c>
      <c r="W462" s="361">
        <v>0</v>
      </c>
      <c r="X462" s="362">
        <v>357</v>
      </c>
      <c r="Y462" s="29">
        <v>0</v>
      </c>
      <c r="Z462" s="361">
        <f t="shared" si="219"/>
        <v>0</v>
      </c>
      <c r="AA462" s="361">
        <v>0</v>
      </c>
      <c r="AB462" s="361">
        <v>0</v>
      </c>
      <c r="AC462" s="362">
        <v>0</v>
      </c>
      <c r="AD462" s="7"/>
    </row>
    <row r="463" spans="1:30" s="8" customFormat="1" ht="23.45" customHeight="1" outlineLevel="1" x14ac:dyDescent="0.2">
      <c r="A463" s="352" t="s">
        <v>658</v>
      </c>
      <c r="B463" s="363" t="s">
        <v>399</v>
      </c>
      <c r="C463" s="286">
        <f t="shared" si="210"/>
        <v>3.03</v>
      </c>
      <c r="D463" s="361">
        <f t="shared" si="214"/>
        <v>908.99999999999989</v>
      </c>
      <c r="E463" s="311">
        <v>0</v>
      </c>
      <c r="F463" s="260">
        <f t="shared" si="216"/>
        <v>0</v>
      </c>
      <c r="G463" s="361">
        <v>0</v>
      </c>
      <c r="H463" s="361">
        <v>0</v>
      </c>
      <c r="I463" s="361">
        <v>0</v>
      </c>
      <c r="J463" s="311">
        <v>0</v>
      </c>
      <c r="K463" s="260">
        <f t="shared" si="215"/>
        <v>0</v>
      </c>
      <c r="L463" s="361">
        <v>0</v>
      </c>
      <c r="M463" s="361">
        <v>0</v>
      </c>
      <c r="N463" s="361">
        <v>0</v>
      </c>
      <c r="O463" s="29">
        <v>0</v>
      </c>
      <c r="P463" s="361">
        <f t="shared" si="217"/>
        <v>0</v>
      </c>
      <c r="Q463" s="361">
        <v>0</v>
      </c>
      <c r="R463" s="361">
        <v>0</v>
      </c>
      <c r="S463" s="362">
        <v>0</v>
      </c>
      <c r="T463" s="29">
        <v>3.03</v>
      </c>
      <c r="U463" s="361">
        <f t="shared" si="218"/>
        <v>908.99999999999989</v>
      </c>
      <c r="V463" s="361">
        <v>0</v>
      </c>
      <c r="W463" s="361">
        <v>0</v>
      </c>
      <c r="X463" s="362">
        <v>908.99999999999989</v>
      </c>
      <c r="Y463" s="29">
        <v>0</v>
      </c>
      <c r="Z463" s="361">
        <f t="shared" si="219"/>
        <v>0</v>
      </c>
      <c r="AA463" s="361">
        <v>0</v>
      </c>
      <c r="AB463" s="361">
        <v>0</v>
      </c>
      <c r="AC463" s="362">
        <v>0</v>
      </c>
      <c r="AD463" s="7"/>
    </row>
    <row r="464" spans="1:30" s="8" customFormat="1" ht="29.45" customHeight="1" outlineLevel="1" x14ac:dyDescent="0.2">
      <c r="A464" s="352" t="s">
        <v>659</v>
      </c>
      <c r="B464" s="363" t="s">
        <v>400</v>
      </c>
      <c r="C464" s="286">
        <f t="shared" si="210"/>
        <v>3.16</v>
      </c>
      <c r="D464" s="361">
        <f t="shared" si="214"/>
        <v>947</v>
      </c>
      <c r="E464" s="311">
        <v>0</v>
      </c>
      <c r="F464" s="260">
        <f t="shared" si="216"/>
        <v>0</v>
      </c>
      <c r="G464" s="361">
        <v>0</v>
      </c>
      <c r="H464" s="361">
        <v>0</v>
      </c>
      <c r="I464" s="361">
        <v>0</v>
      </c>
      <c r="J464" s="311">
        <v>0</v>
      </c>
      <c r="K464" s="260">
        <f t="shared" si="215"/>
        <v>0</v>
      </c>
      <c r="L464" s="361">
        <v>0</v>
      </c>
      <c r="M464" s="361">
        <v>0</v>
      </c>
      <c r="N464" s="361">
        <v>0</v>
      </c>
      <c r="O464" s="29">
        <v>0</v>
      </c>
      <c r="P464" s="361">
        <f t="shared" si="217"/>
        <v>0</v>
      </c>
      <c r="Q464" s="361">
        <v>0</v>
      </c>
      <c r="R464" s="361">
        <v>0</v>
      </c>
      <c r="S464" s="362">
        <v>0</v>
      </c>
      <c r="T464" s="29">
        <v>3.16</v>
      </c>
      <c r="U464" s="361">
        <f t="shared" si="218"/>
        <v>947</v>
      </c>
      <c r="V464" s="361">
        <v>0</v>
      </c>
      <c r="W464" s="361">
        <v>0</v>
      </c>
      <c r="X464" s="362">
        <v>947</v>
      </c>
      <c r="Y464" s="29">
        <v>0</v>
      </c>
      <c r="Z464" s="361">
        <f t="shared" si="219"/>
        <v>0</v>
      </c>
      <c r="AA464" s="361">
        <v>0</v>
      </c>
      <c r="AB464" s="361">
        <v>0</v>
      </c>
      <c r="AC464" s="362">
        <v>0</v>
      </c>
      <c r="AD464" s="7"/>
    </row>
    <row r="465" spans="1:30" s="8" customFormat="1" ht="27" customHeight="1" outlineLevel="1" x14ac:dyDescent="0.2">
      <c r="A465" s="352" t="s">
        <v>660</v>
      </c>
      <c r="B465" s="363" t="s">
        <v>401</v>
      </c>
      <c r="C465" s="286">
        <f t="shared" si="210"/>
        <v>1.79</v>
      </c>
      <c r="D465" s="361">
        <f t="shared" si="214"/>
        <v>536</v>
      </c>
      <c r="E465" s="311">
        <v>0</v>
      </c>
      <c r="F465" s="260">
        <f t="shared" si="216"/>
        <v>0</v>
      </c>
      <c r="G465" s="361">
        <v>0</v>
      </c>
      <c r="H465" s="361">
        <v>0</v>
      </c>
      <c r="I465" s="361">
        <v>0</v>
      </c>
      <c r="J465" s="311">
        <v>0</v>
      </c>
      <c r="K465" s="260">
        <f t="shared" si="215"/>
        <v>0</v>
      </c>
      <c r="L465" s="361">
        <v>0</v>
      </c>
      <c r="M465" s="361">
        <v>0</v>
      </c>
      <c r="N465" s="361">
        <v>0</v>
      </c>
      <c r="O465" s="29">
        <v>0</v>
      </c>
      <c r="P465" s="361">
        <f t="shared" si="217"/>
        <v>0</v>
      </c>
      <c r="Q465" s="361">
        <v>0</v>
      </c>
      <c r="R465" s="361">
        <v>0</v>
      </c>
      <c r="S465" s="362">
        <v>0</v>
      </c>
      <c r="T465" s="29">
        <v>1.79</v>
      </c>
      <c r="U465" s="361">
        <f t="shared" si="218"/>
        <v>536</v>
      </c>
      <c r="V465" s="361">
        <v>0</v>
      </c>
      <c r="W465" s="361">
        <v>0</v>
      </c>
      <c r="X465" s="362">
        <v>536</v>
      </c>
      <c r="Y465" s="29">
        <v>0</v>
      </c>
      <c r="Z465" s="361">
        <f t="shared" si="219"/>
        <v>0</v>
      </c>
      <c r="AA465" s="361">
        <v>0</v>
      </c>
      <c r="AB465" s="361">
        <v>0</v>
      </c>
      <c r="AC465" s="362">
        <v>0</v>
      </c>
      <c r="AD465" s="7"/>
    </row>
    <row r="466" spans="1:30" s="8" customFormat="1" ht="28.15" customHeight="1" outlineLevel="1" x14ac:dyDescent="0.2">
      <c r="A466" s="352" t="s">
        <v>661</v>
      </c>
      <c r="B466" s="363" t="s">
        <v>402</v>
      </c>
      <c r="C466" s="286">
        <f t="shared" si="210"/>
        <v>0.82</v>
      </c>
      <c r="D466" s="361">
        <f t="shared" si="214"/>
        <v>245</v>
      </c>
      <c r="E466" s="311">
        <v>0</v>
      </c>
      <c r="F466" s="260">
        <f t="shared" si="216"/>
        <v>0</v>
      </c>
      <c r="G466" s="361">
        <v>0</v>
      </c>
      <c r="H466" s="361">
        <v>0</v>
      </c>
      <c r="I466" s="361">
        <v>0</v>
      </c>
      <c r="J466" s="311">
        <v>0</v>
      </c>
      <c r="K466" s="260">
        <f t="shared" si="215"/>
        <v>0</v>
      </c>
      <c r="L466" s="361">
        <v>0</v>
      </c>
      <c r="M466" s="361">
        <v>0</v>
      </c>
      <c r="N466" s="361">
        <v>0</v>
      </c>
      <c r="O466" s="29">
        <v>0</v>
      </c>
      <c r="P466" s="361">
        <f t="shared" si="217"/>
        <v>0</v>
      </c>
      <c r="Q466" s="361">
        <v>0</v>
      </c>
      <c r="R466" s="361">
        <v>0</v>
      </c>
      <c r="S466" s="362">
        <v>0</v>
      </c>
      <c r="T466" s="29">
        <v>0.82</v>
      </c>
      <c r="U466" s="361">
        <f t="shared" si="218"/>
        <v>245</v>
      </c>
      <c r="V466" s="361">
        <v>0</v>
      </c>
      <c r="W466" s="361">
        <v>0</v>
      </c>
      <c r="X466" s="362">
        <v>245</v>
      </c>
      <c r="Y466" s="29">
        <v>0</v>
      </c>
      <c r="Z466" s="361">
        <f t="shared" si="219"/>
        <v>0</v>
      </c>
      <c r="AA466" s="361">
        <v>0</v>
      </c>
      <c r="AB466" s="361">
        <v>0</v>
      </c>
      <c r="AC466" s="362">
        <v>0</v>
      </c>
      <c r="AD466" s="7"/>
    </row>
    <row r="467" spans="1:30" s="8" customFormat="1" ht="25.15" customHeight="1" outlineLevel="1" x14ac:dyDescent="0.2">
      <c r="A467" s="352" t="s">
        <v>662</v>
      </c>
      <c r="B467" s="363" t="s">
        <v>403</v>
      </c>
      <c r="C467" s="286">
        <f t="shared" si="210"/>
        <v>0.75</v>
      </c>
      <c r="D467" s="361">
        <f t="shared" si="214"/>
        <v>225</v>
      </c>
      <c r="E467" s="311">
        <v>0</v>
      </c>
      <c r="F467" s="260">
        <f t="shared" si="216"/>
        <v>0</v>
      </c>
      <c r="G467" s="361">
        <v>0</v>
      </c>
      <c r="H467" s="361">
        <v>0</v>
      </c>
      <c r="I467" s="361">
        <v>0</v>
      </c>
      <c r="J467" s="311">
        <v>0</v>
      </c>
      <c r="K467" s="260">
        <f t="shared" si="215"/>
        <v>0</v>
      </c>
      <c r="L467" s="361">
        <v>0</v>
      </c>
      <c r="M467" s="361">
        <v>0</v>
      </c>
      <c r="N467" s="361">
        <v>0</v>
      </c>
      <c r="O467" s="29">
        <v>0</v>
      </c>
      <c r="P467" s="361">
        <f t="shared" si="217"/>
        <v>0</v>
      </c>
      <c r="Q467" s="361">
        <v>0</v>
      </c>
      <c r="R467" s="361">
        <v>0</v>
      </c>
      <c r="S467" s="362">
        <v>0</v>
      </c>
      <c r="T467" s="29">
        <v>0.75</v>
      </c>
      <c r="U467" s="361">
        <f t="shared" si="218"/>
        <v>225</v>
      </c>
      <c r="V467" s="361">
        <v>0</v>
      </c>
      <c r="W467" s="361">
        <v>0</v>
      </c>
      <c r="X467" s="362">
        <v>225</v>
      </c>
      <c r="Y467" s="29">
        <v>0</v>
      </c>
      <c r="Z467" s="361">
        <f t="shared" si="219"/>
        <v>0</v>
      </c>
      <c r="AA467" s="361">
        <v>0</v>
      </c>
      <c r="AB467" s="361">
        <v>0</v>
      </c>
      <c r="AC467" s="362">
        <v>0</v>
      </c>
      <c r="AD467" s="7"/>
    </row>
    <row r="468" spans="1:30" s="8" customFormat="1" ht="28.9" customHeight="1" outlineLevel="1" x14ac:dyDescent="0.2">
      <c r="A468" s="352" t="s">
        <v>663</v>
      </c>
      <c r="B468" s="363" t="s">
        <v>404</v>
      </c>
      <c r="C468" s="286">
        <f t="shared" si="210"/>
        <v>1.06</v>
      </c>
      <c r="D468" s="361">
        <f t="shared" si="214"/>
        <v>318</v>
      </c>
      <c r="E468" s="311">
        <v>0</v>
      </c>
      <c r="F468" s="260">
        <f t="shared" si="216"/>
        <v>0</v>
      </c>
      <c r="G468" s="361">
        <v>0</v>
      </c>
      <c r="H468" s="361">
        <v>0</v>
      </c>
      <c r="I468" s="361">
        <v>0</v>
      </c>
      <c r="J468" s="311">
        <v>0</v>
      </c>
      <c r="K468" s="260">
        <f t="shared" si="215"/>
        <v>0</v>
      </c>
      <c r="L468" s="361">
        <v>0</v>
      </c>
      <c r="M468" s="361">
        <v>0</v>
      </c>
      <c r="N468" s="361">
        <v>0</v>
      </c>
      <c r="O468" s="29">
        <v>0</v>
      </c>
      <c r="P468" s="361">
        <f t="shared" si="217"/>
        <v>0</v>
      </c>
      <c r="Q468" s="361">
        <v>0</v>
      </c>
      <c r="R468" s="361">
        <v>0</v>
      </c>
      <c r="S468" s="362">
        <v>0</v>
      </c>
      <c r="T468" s="29">
        <v>1.06</v>
      </c>
      <c r="U468" s="361">
        <f t="shared" si="218"/>
        <v>318</v>
      </c>
      <c r="V468" s="361">
        <v>0</v>
      </c>
      <c r="W468" s="361">
        <v>0</v>
      </c>
      <c r="X468" s="362">
        <v>318</v>
      </c>
      <c r="Y468" s="29">
        <v>0</v>
      </c>
      <c r="Z468" s="361">
        <f t="shared" si="219"/>
        <v>0</v>
      </c>
      <c r="AA468" s="361">
        <v>0</v>
      </c>
      <c r="AB468" s="361">
        <v>0</v>
      </c>
      <c r="AC468" s="362">
        <v>0</v>
      </c>
      <c r="AD468" s="7"/>
    </row>
    <row r="469" spans="1:30" s="8" customFormat="1" ht="26.45" customHeight="1" outlineLevel="1" x14ac:dyDescent="0.2">
      <c r="A469" s="352" t="s">
        <v>664</v>
      </c>
      <c r="B469" s="363" t="s">
        <v>405</v>
      </c>
      <c r="C469" s="286">
        <f t="shared" si="210"/>
        <v>3.68</v>
      </c>
      <c r="D469" s="361">
        <f t="shared" si="214"/>
        <v>1103</v>
      </c>
      <c r="E469" s="311">
        <v>0</v>
      </c>
      <c r="F469" s="260">
        <f t="shared" si="216"/>
        <v>0</v>
      </c>
      <c r="G469" s="361">
        <v>0</v>
      </c>
      <c r="H469" s="361">
        <v>0</v>
      </c>
      <c r="I469" s="361">
        <v>0</v>
      </c>
      <c r="J469" s="311">
        <v>0</v>
      </c>
      <c r="K469" s="260">
        <f t="shared" si="215"/>
        <v>0</v>
      </c>
      <c r="L469" s="361">
        <v>0</v>
      </c>
      <c r="M469" s="361">
        <v>0</v>
      </c>
      <c r="N469" s="361">
        <v>0</v>
      </c>
      <c r="O469" s="29">
        <v>0</v>
      </c>
      <c r="P469" s="361">
        <f t="shared" si="217"/>
        <v>0</v>
      </c>
      <c r="Q469" s="361">
        <v>0</v>
      </c>
      <c r="R469" s="361">
        <v>0</v>
      </c>
      <c r="S469" s="362">
        <v>0</v>
      </c>
      <c r="T469" s="29">
        <v>3.68</v>
      </c>
      <c r="U469" s="361">
        <f t="shared" si="218"/>
        <v>1103</v>
      </c>
      <c r="V469" s="361">
        <v>0</v>
      </c>
      <c r="W469" s="361">
        <v>0</v>
      </c>
      <c r="X469" s="362">
        <v>1103</v>
      </c>
      <c r="Y469" s="29">
        <v>0</v>
      </c>
      <c r="Z469" s="361">
        <f t="shared" si="219"/>
        <v>0</v>
      </c>
      <c r="AA469" s="361">
        <v>0</v>
      </c>
      <c r="AB469" s="361">
        <v>0</v>
      </c>
      <c r="AC469" s="362">
        <v>0</v>
      </c>
      <c r="AD469" s="7"/>
    </row>
    <row r="470" spans="1:30" s="8" customFormat="1" ht="25.9" customHeight="1" outlineLevel="1" x14ac:dyDescent="0.2">
      <c r="A470" s="352" t="s">
        <v>665</v>
      </c>
      <c r="B470" s="363" t="s">
        <v>413</v>
      </c>
      <c r="C470" s="286">
        <f t="shared" si="210"/>
        <v>1.59</v>
      </c>
      <c r="D470" s="361">
        <f t="shared" si="214"/>
        <v>477</v>
      </c>
      <c r="E470" s="311">
        <v>0</v>
      </c>
      <c r="F470" s="260">
        <f t="shared" si="216"/>
        <v>0</v>
      </c>
      <c r="G470" s="361">
        <v>0</v>
      </c>
      <c r="H470" s="361">
        <v>0</v>
      </c>
      <c r="I470" s="361">
        <v>0</v>
      </c>
      <c r="J470" s="311">
        <v>0</v>
      </c>
      <c r="K470" s="260">
        <f t="shared" si="215"/>
        <v>0</v>
      </c>
      <c r="L470" s="361">
        <v>0</v>
      </c>
      <c r="M470" s="361">
        <v>0</v>
      </c>
      <c r="N470" s="361">
        <v>0</v>
      </c>
      <c r="O470" s="29">
        <v>0</v>
      </c>
      <c r="P470" s="361">
        <f t="shared" si="217"/>
        <v>0</v>
      </c>
      <c r="Q470" s="361">
        <v>0</v>
      </c>
      <c r="R470" s="361">
        <v>0</v>
      </c>
      <c r="S470" s="362">
        <v>0</v>
      </c>
      <c r="T470" s="29">
        <v>1.59</v>
      </c>
      <c r="U470" s="361">
        <f t="shared" si="218"/>
        <v>477</v>
      </c>
      <c r="V470" s="361">
        <v>0</v>
      </c>
      <c r="W470" s="361">
        <v>0</v>
      </c>
      <c r="X470" s="362">
        <v>477</v>
      </c>
      <c r="Y470" s="29">
        <v>0</v>
      </c>
      <c r="Z470" s="361">
        <f t="shared" si="219"/>
        <v>0</v>
      </c>
      <c r="AA470" s="361">
        <v>0</v>
      </c>
      <c r="AB470" s="361">
        <v>0</v>
      </c>
      <c r="AC470" s="362">
        <v>0</v>
      </c>
      <c r="AD470" s="7"/>
    </row>
    <row r="471" spans="1:30" s="8" customFormat="1" ht="28.9" customHeight="1" outlineLevel="1" x14ac:dyDescent="0.2">
      <c r="A471" s="352" t="s">
        <v>666</v>
      </c>
      <c r="B471" s="363" t="s">
        <v>414</v>
      </c>
      <c r="C471" s="286">
        <f t="shared" si="210"/>
        <v>1.39</v>
      </c>
      <c r="D471" s="361">
        <f t="shared" si="214"/>
        <v>416</v>
      </c>
      <c r="E471" s="311">
        <v>0</v>
      </c>
      <c r="F471" s="260">
        <f t="shared" si="216"/>
        <v>0</v>
      </c>
      <c r="G471" s="361">
        <v>0</v>
      </c>
      <c r="H471" s="361">
        <v>0</v>
      </c>
      <c r="I471" s="361">
        <v>0</v>
      </c>
      <c r="J471" s="311">
        <v>0</v>
      </c>
      <c r="K471" s="260">
        <f t="shared" si="215"/>
        <v>0</v>
      </c>
      <c r="L471" s="361">
        <v>0</v>
      </c>
      <c r="M471" s="361">
        <v>0</v>
      </c>
      <c r="N471" s="361">
        <v>0</v>
      </c>
      <c r="O471" s="29">
        <v>0</v>
      </c>
      <c r="P471" s="361">
        <f t="shared" si="217"/>
        <v>0</v>
      </c>
      <c r="Q471" s="361">
        <v>0</v>
      </c>
      <c r="R471" s="361">
        <v>0</v>
      </c>
      <c r="S471" s="362">
        <v>0</v>
      </c>
      <c r="T471" s="29">
        <v>1.39</v>
      </c>
      <c r="U471" s="361">
        <f t="shared" si="218"/>
        <v>416</v>
      </c>
      <c r="V471" s="361">
        <v>0</v>
      </c>
      <c r="W471" s="361">
        <v>0</v>
      </c>
      <c r="X471" s="362">
        <v>416</v>
      </c>
      <c r="Y471" s="29">
        <v>0</v>
      </c>
      <c r="Z471" s="361">
        <f t="shared" si="219"/>
        <v>0</v>
      </c>
      <c r="AA471" s="361">
        <v>0</v>
      </c>
      <c r="AB471" s="361">
        <v>0</v>
      </c>
      <c r="AC471" s="362">
        <v>0</v>
      </c>
      <c r="AD471" s="7"/>
    </row>
    <row r="472" spans="1:30" s="8" customFormat="1" ht="26.45" customHeight="1" outlineLevel="1" x14ac:dyDescent="0.2">
      <c r="A472" s="352" t="s">
        <v>667</v>
      </c>
      <c r="B472" s="363" t="s">
        <v>415</v>
      </c>
      <c r="C472" s="286">
        <f t="shared" si="210"/>
        <v>1.9</v>
      </c>
      <c r="D472" s="361">
        <f t="shared" si="214"/>
        <v>570</v>
      </c>
      <c r="E472" s="311">
        <v>0</v>
      </c>
      <c r="F472" s="260">
        <f t="shared" si="216"/>
        <v>0</v>
      </c>
      <c r="G472" s="361">
        <v>0</v>
      </c>
      <c r="H472" s="361">
        <v>0</v>
      </c>
      <c r="I472" s="361">
        <v>0</v>
      </c>
      <c r="J472" s="311">
        <v>0</v>
      </c>
      <c r="K472" s="260">
        <f t="shared" si="215"/>
        <v>0</v>
      </c>
      <c r="L472" s="361">
        <v>0</v>
      </c>
      <c r="M472" s="361">
        <v>0</v>
      </c>
      <c r="N472" s="361">
        <v>0</v>
      </c>
      <c r="O472" s="29">
        <v>0</v>
      </c>
      <c r="P472" s="361">
        <f t="shared" si="217"/>
        <v>0</v>
      </c>
      <c r="Q472" s="361">
        <v>0</v>
      </c>
      <c r="R472" s="361">
        <v>0</v>
      </c>
      <c r="S472" s="362">
        <v>0</v>
      </c>
      <c r="T472" s="29">
        <v>1.9</v>
      </c>
      <c r="U472" s="361">
        <f t="shared" si="218"/>
        <v>570</v>
      </c>
      <c r="V472" s="361">
        <v>0</v>
      </c>
      <c r="W472" s="361">
        <v>0</v>
      </c>
      <c r="X472" s="362">
        <v>570</v>
      </c>
      <c r="Y472" s="29">
        <v>0</v>
      </c>
      <c r="Z472" s="361">
        <f t="shared" si="219"/>
        <v>0</v>
      </c>
      <c r="AA472" s="361">
        <v>0</v>
      </c>
      <c r="AB472" s="361">
        <v>0</v>
      </c>
      <c r="AC472" s="362">
        <v>0</v>
      </c>
      <c r="AD472" s="7"/>
    </row>
    <row r="473" spans="1:30" s="8" customFormat="1" ht="33" customHeight="1" outlineLevel="1" x14ac:dyDescent="0.2">
      <c r="A473" s="352" t="s">
        <v>668</v>
      </c>
      <c r="B473" s="363" t="s">
        <v>416</v>
      </c>
      <c r="C473" s="286">
        <f t="shared" si="210"/>
        <v>0.95</v>
      </c>
      <c r="D473" s="361">
        <f t="shared" si="214"/>
        <v>285</v>
      </c>
      <c r="E473" s="311">
        <v>0</v>
      </c>
      <c r="F473" s="260">
        <f t="shared" si="216"/>
        <v>0</v>
      </c>
      <c r="G473" s="361">
        <v>0</v>
      </c>
      <c r="H473" s="361">
        <v>0</v>
      </c>
      <c r="I473" s="361">
        <v>0</v>
      </c>
      <c r="J473" s="311">
        <v>0</v>
      </c>
      <c r="K473" s="260">
        <f t="shared" si="215"/>
        <v>0</v>
      </c>
      <c r="L473" s="361">
        <v>0</v>
      </c>
      <c r="M473" s="361">
        <v>0</v>
      </c>
      <c r="N473" s="361">
        <v>0</v>
      </c>
      <c r="O473" s="29">
        <v>0</v>
      </c>
      <c r="P473" s="361">
        <f t="shared" si="217"/>
        <v>0</v>
      </c>
      <c r="Q473" s="361">
        <v>0</v>
      </c>
      <c r="R473" s="361">
        <v>0</v>
      </c>
      <c r="S473" s="362">
        <v>0</v>
      </c>
      <c r="T473" s="29">
        <v>0.95</v>
      </c>
      <c r="U473" s="361">
        <f t="shared" si="218"/>
        <v>285</v>
      </c>
      <c r="V473" s="361">
        <v>0</v>
      </c>
      <c r="W473" s="361">
        <v>0</v>
      </c>
      <c r="X473" s="362">
        <v>285</v>
      </c>
      <c r="Y473" s="29">
        <v>0</v>
      </c>
      <c r="Z473" s="361">
        <f t="shared" si="219"/>
        <v>0</v>
      </c>
      <c r="AA473" s="361">
        <v>0</v>
      </c>
      <c r="AB473" s="361">
        <v>0</v>
      </c>
      <c r="AC473" s="362">
        <v>0</v>
      </c>
      <c r="AD473" s="7"/>
    </row>
    <row r="474" spans="1:30" s="8" customFormat="1" ht="32.450000000000003" customHeight="1" outlineLevel="1" x14ac:dyDescent="0.2">
      <c r="A474" s="352" t="s">
        <v>669</v>
      </c>
      <c r="B474" s="363" t="s">
        <v>417</v>
      </c>
      <c r="C474" s="286">
        <f t="shared" si="210"/>
        <v>1.85</v>
      </c>
      <c r="D474" s="361">
        <f t="shared" si="214"/>
        <v>555</v>
      </c>
      <c r="E474" s="311">
        <v>0</v>
      </c>
      <c r="F474" s="260">
        <f t="shared" si="216"/>
        <v>0</v>
      </c>
      <c r="G474" s="361">
        <v>0</v>
      </c>
      <c r="H474" s="361">
        <v>0</v>
      </c>
      <c r="I474" s="361">
        <v>0</v>
      </c>
      <c r="J474" s="311">
        <v>0</v>
      </c>
      <c r="K474" s="260">
        <f t="shared" si="215"/>
        <v>0</v>
      </c>
      <c r="L474" s="361">
        <v>0</v>
      </c>
      <c r="M474" s="361">
        <v>0</v>
      </c>
      <c r="N474" s="361">
        <v>0</v>
      </c>
      <c r="O474" s="29">
        <v>0</v>
      </c>
      <c r="P474" s="361">
        <f t="shared" si="217"/>
        <v>0</v>
      </c>
      <c r="Q474" s="361">
        <v>0</v>
      </c>
      <c r="R474" s="361">
        <v>0</v>
      </c>
      <c r="S474" s="362">
        <v>0</v>
      </c>
      <c r="T474" s="29">
        <v>1.85</v>
      </c>
      <c r="U474" s="361">
        <f t="shared" si="218"/>
        <v>555</v>
      </c>
      <c r="V474" s="361">
        <v>0</v>
      </c>
      <c r="W474" s="361">
        <v>0</v>
      </c>
      <c r="X474" s="362">
        <v>555</v>
      </c>
      <c r="Y474" s="29">
        <v>0</v>
      </c>
      <c r="Z474" s="361">
        <f t="shared" si="219"/>
        <v>0</v>
      </c>
      <c r="AA474" s="361">
        <v>0</v>
      </c>
      <c r="AB474" s="361">
        <v>0</v>
      </c>
      <c r="AC474" s="362">
        <v>0</v>
      </c>
      <c r="AD474" s="7"/>
    </row>
    <row r="475" spans="1:30" s="8" customFormat="1" ht="30.6" customHeight="1" outlineLevel="1" x14ac:dyDescent="0.2">
      <c r="A475" s="352" t="s">
        <v>670</v>
      </c>
      <c r="B475" s="363" t="s">
        <v>418</v>
      </c>
      <c r="C475" s="286">
        <f t="shared" si="210"/>
        <v>0.89999999999999991</v>
      </c>
      <c r="D475" s="361">
        <f t="shared" si="214"/>
        <v>270</v>
      </c>
      <c r="E475" s="311">
        <v>0</v>
      </c>
      <c r="F475" s="260">
        <f t="shared" si="216"/>
        <v>0</v>
      </c>
      <c r="G475" s="361">
        <v>0</v>
      </c>
      <c r="H475" s="361">
        <v>0</v>
      </c>
      <c r="I475" s="361">
        <v>0</v>
      </c>
      <c r="J475" s="311">
        <v>0</v>
      </c>
      <c r="K475" s="260">
        <f t="shared" si="215"/>
        <v>0</v>
      </c>
      <c r="L475" s="361">
        <v>0</v>
      </c>
      <c r="M475" s="361">
        <v>0</v>
      </c>
      <c r="N475" s="361">
        <v>0</v>
      </c>
      <c r="O475" s="29">
        <v>0</v>
      </c>
      <c r="P475" s="361">
        <f t="shared" si="217"/>
        <v>0</v>
      </c>
      <c r="Q475" s="361">
        <v>0</v>
      </c>
      <c r="R475" s="361">
        <v>0</v>
      </c>
      <c r="S475" s="362">
        <v>0</v>
      </c>
      <c r="T475" s="29">
        <v>0.89999999999999991</v>
      </c>
      <c r="U475" s="361">
        <f t="shared" si="218"/>
        <v>270</v>
      </c>
      <c r="V475" s="361">
        <v>0</v>
      </c>
      <c r="W475" s="361">
        <v>0</v>
      </c>
      <c r="X475" s="362">
        <v>270</v>
      </c>
      <c r="Y475" s="29">
        <v>0</v>
      </c>
      <c r="Z475" s="361">
        <f t="shared" si="219"/>
        <v>0</v>
      </c>
      <c r="AA475" s="361">
        <v>0</v>
      </c>
      <c r="AB475" s="361">
        <v>0</v>
      </c>
      <c r="AC475" s="362">
        <v>0</v>
      </c>
      <c r="AD475" s="7"/>
    </row>
    <row r="476" spans="1:30" s="8" customFormat="1" ht="22.15" customHeight="1" outlineLevel="1" x14ac:dyDescent="0.2">
      <c r="A476" s="352" t="s">
        <v>671</v>
      </c>
      <c r="B476" s="363" t="s">
        <v>419</v>
      </c>
      <c r="C476" s="286">
        <f t="shared" si="210"/>
        <v>1.7999999999999998</v>
      </c>
      <c r="D476" s="361">
        <f t="shared" si="214"/>
        <v>540</v>
      </c>
      <c r="E476" s="311">
        <v>0</v>
      </c>
      <c r="F476" s="260">
        <f t="shared" si="216"/>
        <v>0</v>
      </c>
      <c r="G476" s="361">
        <v>0</v>
      </c>
      <c r="H476" s="361">
        <v>0</v>
      </c>
      <c r="I476" s="361">
        <v>0</v>
      </c>
      <c r="J476" s="311">
        <v>0</v>
      </c>
      <c r="K476" s="260">
        <f t="shared" si="215"/>
        <v>0</v>
      </c>
      <c r="L476" s="361">
        <v>0</v>
      </c>
      <c r="M476" s="361">
        <v>0</v>
      </c>
      <c r="N476" s="361">
        <v>0</v>
      </c>
      <c r="O476" s="29">
        <v>0</v>
      </c>
      <c r="P476" s="361">
        <f t="shared" si="217"/>
        <v>0</v>
      </c>
      <c r="Q476" s="361">
        <v>0</v>
      </c>
      <c r="R476" s="361">
        <v>0</v>
      </c>
      <c r="S476" s="362">
        <v>0</v>
      </c>
      <c r="T476" s="29">
        <v>1.7999999999999998</v>
      </c>
      <c r="U476" s="361">
        <f t="shared" si="218"/>
        <v>540</v>
      </c>
      <c r="V476" s="361">
        <v>0</v>
      </c>
      <c r="W476" s="361">
        <v>0</v>
      </c>
      <c r="X476" s="362">
        <v>540</v>
      </c>
      <c r="Y476" s="29">
        <v>0</v>
      </c>
      <c r="Z476" s="361">
        <f t="shared" si="219"/>
        <v>0</v>
      </c>
      <c r="AA476" s="361">
        <v>0</v>
      </c>
      <c r="AB476" s="361">
        <v>0</v>
      </c>
      <c r="AC476" s="362">
        <v>0</v>
      </c>
      <c r="AD476" s="7"/>
    </row>
    <row r="477" spans="1:30" s="8" customFormat="1" ht="22.15" customHeight="1" outlineLevel="1" x14ac:dyDescent="0.2">
      <c r="A477" s="352" t="s">
        <v>672</v>
      </c>
      <c r="B477" s="363" t="s">
        <v>420</v>
      </c>
      <c r="C477" s="286">
        <f t="shared" si="210"/>
        <v>1.28</v>
      </c>
      <c r="D477" s="361">
        <f t="shared" si="214"/>
        <v>383</v>
      </c>
      <c r="E477" s="311">
        <v>0</v>
      </c>
      <c r="F477" s="260">
        <f t="shared" si="216"/>
        <v>0</v>
      </c>
      <c r="G477" s="361">
        <v>0</v>
      </c>
      <c r="H477" s="361">
        <v>0</v>
      </c>
      <c r="I477" s="361">
        <v>0</v>
      </c>
      <c r="J477" s="311">
        <v>0</v>
      </c>
      <c r="K477" s="260">
        <f t="shared" si="215"/>
        <v>0</v>
      </c>
      <c r="L477" s="361">
        <v>0</v>
      </c>
      <c r="M477" s="361">
        <v>0</v>
      </c>
      <c r="N477" s="361">
        <v>0</v>
      </c>
      <c r="O477" s="29">
        <v>0</v>
      </c>
      <c r="P477" s="361">
        <f t="shared" si="217"/>
        <v>0</v>
      </c>
      <c r="Q477" s="361">
        <v>0</v>
      </c>
      <c r="R477" s="361">
        <v>0</v>
      </c>
      <c r="S477" s="362">
        <v>0</v>
      </c>
      <c r="T477" s="29">
        <v>1.28</v>
      </c>
      <c r="U477" s="361">
        <f t="shared" si="218"/>
        <v>383</v>
      </c>
      <c r="V477" s="361">
        <v>0</v>
      </c>
      <c r="W477" s="361">
        <v>0</v>
      </c>
      <c r="X477" s="362">
        <v>383</v>
      </c>
      <c r="Y477" s="29">
        <v>0</v>
      </c>
      <c r="Z477" s="361">
        <f t="shared" si="219"/>
        <v>0</v>
      </c>
      <c r="AA477" s="361">
        <v>0</v>
      </c>
      <c r="AB477" s="361">
        <v>0</v>
      </c>
      <c r="AC477" s="362">
        <v>0</v>
      </c>
      <c r="AD477" s="7"/>
    </row>
    <row r="478" spans="1:30" s="8" customFormat="1" ht="19.899999999999999" customHeight="1" outlineLevel="1" x14ac:dyDescent="0.2">
      <c r="A478" s="352" t="s">
        <v>673</v>
      </c>
      <c r="B478" s="363" t="s">
        <v>421</v>
      </c>
      <c r="C478" s="286">
        <f t="shared" si="210"/>
        <v>1.0900000000000001</v>
      </c>
      <c r="D478" s="361">
        <f t="shared" si="214"/>
        <v>326</v>
      </c>
      <c r="E478" s="311">
        <v>0</v>
      </c>
      <c r="F478" s="260">
        <f t="shared" si="216"/>
        <v>0</v>
      </c>
      <c r="G478" s="361">
        <v>0</v>
      </c>
      <c r="H478" s="361">
        <v>0</v>
      </c>
      <c r="I478" s="361">
        <v>0</v>
      </c>
      <c r="J478" s="311">
        <v>0</v>
      </c>
      <c r="K478" s="260">
        <f t="shared" si="215"/>
        <v>0</v>
      </c>
      <c r="L478" s="361">
        <v>0</v>
      </c>
      <c r="M478" s="361">
        <v>0</v>
      </c>
      <c r="N478" s="361">
        <v>0</v>
      </c>
      <c r="O478" s="29">
        <v>0</v>
      </c>
      <c r="P478" s="361">
        <f t="shared" si="217"/>
        <v>0</v>
      </c>
      <c r="Q478" s="361">
        <v>0</v>
      </c>
      <c r="R478" s="361">
        <v>0</v>
      </c>
      <c r="S478" s="362">
        <v>0</v>
      </c>
      <c r="T478" s="29">
        <v>1.0900000000000001</v>
      </c>
      <c r="U478" s="361">
        <f t="shared" si="218"/>
        <v>326</v>
      </c>
      <c r="V478" s="361">
        <v>0</v>
      </c>
      <c r="W478" s="361">
        <v>0</v>
      </c>
      <c r="X478" s="362">
        <v>326</v>
      </c>
      <c r="Y478" s="29">
        <v>0</v>
      </c>
      <c r="Z478" s="361">
        <f t="shared" si="219"/>
        <v>0</v>
      </c>
      <c r="AA478" s="361">
        <v>0</v>
      </c>
      <c r="AB478" s="361">
        <v>0</v>
      </c>
      <c r="AC478" s="362">
        <v>0</v>
      </c>
      <c r="AD478" s="7"/>
    </row>
    <row r="479" spans="1:30" s="8" customFormat="1" ht="25.15" customHeight="1" outlineLevel="1" x14ac:dyDescent="0.2">
      <c r="A479" s="352" t="s">
        <v>674</v>
      </c>
      <c r="B479" s="363" t="s">
        <v>422</v>
      </c>
      <c r="C479" s="286">
        <f t="shared" si="210"/>
        <v>0.82</v>
      </c>
      <c r="D479" s="361">
        <f t="shared" si="214"/>
        <v>245</v>
      </c>
      <c r="E479" s="311">
        <v>0</v>
      </c>
      <c r="F479" s="260">
        <f t="shared" si="216"/>
        <v>0</v>
      </c>
      <c r="G479" s="361">
        <v>0</v>
      </c>
      <c r="H479" s="361">
        <v>0</v>
      </c>
      <c r="I479" s="361">
        <v>0</v>
      </c>
      <c r="J479" s="311">
        <v>0</v>
      </c>
      <c r="K479" s="260">
        <f t="shared" si="215"/>
        <v>0</v>
      </c>
      <c r="L479" s="361">
        <v>0</v>
      </c>
      <c r="M479" s="361">
        <v>0</v>
      </c>
      <c r="N479" s="361">
        <v>0</v>
      </c>
      <c r="O479" s="29">
        <v>0</v>
      </c>
      <c r="P479" s="361">
        <f t="shared" si="217"/>
        <v>0</v>
      </c>
      <c r="Q479" s="361">
        <v>0</v>
      </c>
      <c r="R479" s="361">
        <v>0</v>
      </c>
      <c r="S479" s="362">
        <v>0</v>
      </c>
      <c r="T479" s="29">
        <v>0.82</v>
      </c>
      <c r="U479" s="361">
        <f t="shared" si="218"/>
        <v>245</v>
      </c>
      <c r="V479" s="361">
        <v>0</v>
      </c>
      <c r="W479" s="361">
        <v>0</v>
      </c>
      <c r="X479" s="362">
        <v>245</v>
      </c>
      <c r="Y479" s="29">
        <v>0</v>
      </c>
      <c r="Z479" s="361">
        <f t="shared" si="219"/>
        <v>0</v>
      </c>
      <c r="AA479" s="361">
        <v>0</v>
      </c>
      <c r="AB479" s="361">
        <v>0</v>
      </c>
      <c r="AC479" s="362">
        <v>0</v>
      </c>
      <c r="AD479" s="7"/>
    </row>
    <row r="480" spans="1:30" s="8" customFormat="1" ht="36" customHeight="1" outlineLevel="1" x14ac:dyDescent="0.2">
      <c r="A480" s="352" t="s">
        <v>675</v>
      </c>
      <c r="B480" s="363" t="s">
        <v>423</v>
      </c>
      <c r="C480" s="286">
        <f t="shared" si="210"/>
        <v>0.59</v>
      </c>
      <c r="D480" s="361">
        <f t="shared" si="214"/>
        <v>176</v>
      </c>
      <c r="E480" s="311">
        <v>0</v>
      </c>
      <c r="F480" s="260">
        <f t="shared" si="216"/>
        <v>0</v>
      </c>
      <c r="G480" s="361">
        <v>0</v>
      </c>
      <c r="H480" s="361">
        <v>0</v>
      </c>
      <c r="I480" s="361">
        <v>0</v>
      </c>
      <c r="J480" s="311">
        <v>0</v>
      </c>
      <c r="K480" s="260">
        <f t="shared" si="215"/>
        <v>0</v>
      </c>
      <c r="L480" s="361">
        <v>0</v>
      </c>
      <c r="M480" s="361">
        <v>0</v>
      </c>
      <c r="N480" s="361">
        <v>0</v>
      </c>
      <c r="O480" s="29">
        <v>0</v>
      </c>
      <c r="P480" s="361">
        <f t="shared" si="217"/>
        <v>0</v>
      </c>
      <c r="Q480" s="361">
        <v>0</v>
      </c>
      <c r="R480" s="361">
        <v>0</v>
      </c>
      <c r="S480" s="362">
        <v>0</v>
      </c>
      <c r="T480" s="29">
        <v>0.59</v>
      </c>
      <c r="U480" s="361">
        <f t="shared" si="218"/>
        <v>176</v>
      </c>
      <c r="V480" s="361">
        <v>0</v>
      </c>
      <c r="W480" s="361">
        <v>0</v>
      </c>
      <c r="X480" s="362">
        <v>176</v>
      </c>
      <c r="Y480" s="29">
        <v>0</v>
      </c>
      <c r="Z480" s="361">
        <f t="shared" si="219"/>
        <v>0</v>
      </c>
      <c r="AA480" s="361">
        <v>0</v>
      </c>
      <c r="AB480" s="361">
        <v>0</v>
      </c>
      <c r="AC480" s="362">
        <v>0</v>
      </c>
      <c r="AD480" s="7"/>
    </row>
    <row r="481" spans="1:30" s="8" customFormat="1" ht="21.6" customHeight="1" outlineLevel="1" x14ac:dyDescent="0.2">
      <c r="A481" s="352" t="s">
        <v>676</v>
      </c>
      <c r="B481" s="363" t="s">
        <v>424</v>
      </c>
      <c r="C481" s="286">
        <f t="shared" si="210"/>
        <v>2.1800000000000002</v>
      </c>
      <c r="D481" s="361">
        <f t="shared" si="214"/>
        <v>653</v>
      </c>
      <c r="E481" s="311">
        <v>0</v>
      </c>
      <c r="F481" s="260">
        <f t="shared" si="216"/>
        <v>0</v>
      </c>
      <c r="G481" s="361">
        <v>0</v>
      </c>
      <c r="H481" s="361">
        <v>0</v>
      </c>
      <c r="I481" s="361">
        <v>0</v>
      </c>
      <c r="J481" s="311">
        <v>0</v>
      </c>
      <c r="K481" s="260">
        <f t="shared" si="215"/>
        <v>0</v>
      </c>
      <c r="L481" s="361">
        <v>0</v>
      </c>
      <c r="M481" s="361">
        <v>0</v>
      </c>
      <c r="N481" s="361">
        <v>0</v>
      </c>
      <c r="O481" s="29">
        <v>0</v>
      </c>
      <c r="P481" s="361">
        <f t="shared" si="217"/>
        <v>0</v>
      </c>
      <c r="Q481" s="361">
        <v>0</v>
      </c>
      <c r="R481" s="361">
        <v>0</v>
      </c>
      <c r="S481" s="362">
        <v>0</v>
      </c>
      <c r="T481" s="29">
        <v>2.1800000000000002</v>
      </c>
      <c r="U481" s="361">
        <f t="shared" si="218"/>
        <v>653</v>
      </c>
      <c r="V481" s="361">
        <v>0</v>
      </c>
      <c r="W481" s="361">
        <v>0</v>
      </c>
      <c r="X481" s="362">
        <v>653</v>
      </c>
      <c r="Y481" s="29">
        <v>0</v>
      </c>
      <c r="Z481" s="361">
        <f t="shared" si="219"/>
        <v>0</v>
      </c>
      <c r="AA481" s="361">
        <v>0</v>
      </c>
      <c r="AB481" s="361">
        <v>0</v>
      </c>
      <c r="AC481" s="362">
        <v>0</v>
      </c>
      <c r="AD481" s="7"/>
    </row>
    <row r="482" spans="1:30" s="8" customFormat="1" ht="22.9" customHeight="1" outlineLevel="1" x14ac:dyDescent="0.2">
      <c r="A482" s="352" t="s">
        <v>677</v>
      </c>
      <c r="B482" s="363" t="s">
        <v>425</v>
      </c>
      <c r="C482" s="286">
        <f t="shared" si="210"/>
        <v>1.92</v>
      </c>
      <c r="D482" s="361">
        <f t="shared" si="214"/>
        <v>576</v>
      </c>
      <c r="E482" s="311">
        <v>0</v>
      </c>
      <c r="F482" s="260">
        <f t="shared" si="216"/>
        <v>0</v>
      </c>
      <c r="G482" s="361">
        <v>0</v>
      </c>
      <c r="H482" s="361">
        <v>0</v>
      </c>
      <c r="I482" s="361">
        <v>0</v>
      </c>
      <c r="J482" s="311">
        <v>0</v>
      </c>
      <c r="K482" s="260">
        <f t="shared" si="215"/>
        <v>0</v>
      </c>
      <c r="L482" s="361">
        <v>0</v>
      </c>
      <c r="M482" s="361">
        <v>0</v>
      </c>
      <c r="N482" s="361">
        <v>0</v>
      </c>
      <c r="O482" s="29">
        <v>0</v>
      </c>
      <c r="P482" s="361">
        <f t="shared" si="217"/>
        <v>0</v>
      </c>
      <c r="Q482" s="361">
        <v>0</v>
      </c>
      <c r="R482" s="361">
        <v>0</v>
      </c>
      <c r="S482" s="362">
        <v>0</v>
      </c>
      <c r="T482" s="29">
        <v>1.92</v>
      </c>
      <c r="U482" s="361">
        <f t="shared" si="218"/>
        <v>576</v>
      </c>
      <c r="V482" s="361">
        <v>0</v>
      </c>
      <c r="W482" s="361">
        <v>0</v>
      </c>
      <c r="X482" s="362">
        <v>576</v>
      </c>
      <c r="Y482" s="29">
        <v>0</v>
      </c>
      <c r="Z482" s="361">
        <f t="shared" si="219"/>
        <v>0</v>
      </c>
      <c r="AA482" s="361">
        <v>0</v>
      </c>
      <c r="AB482" s="361">
        <v>0</v>
      </c>
      <c r="AC482" s="362">
        <v>0</v>
      </c>
      <c r="AD482" s="7"/>
    </row>
    <row r="483" spans="1:30" s="8" customFormat="1" ht="24" customHeight="1" outlineLevel="1" x14ac:dyDescent="0.2">
      <c r="A483" s="352" t="s">
        <v>678</v>
      </c>
      <c r="B483" s="363" t="s">
        <v>426</v>
      </c>
      <c r="C483" s="286">
        <f t="shared" si="210"/>
        <v>1.45</v>
      </c>
      <c r="D483" s="361">
        <f t="shared" si="214"/>
        <v>435</v>
      </c>
      <c r="E483" s="311">
        <v>0</v>
      </c>
      <c r="F483" s="260">
        <f t="shared" si="216"/>
        <v>0</v>
      </c>
      <c r="G483" s="361">
        <v>0</v>
      </c>
      <c r="H483" s="361">
        <v>0</v>
      </c>
      <c r="I483" s="361">
        <v>0</v>
      </c>
      <c r="J483" s="311">
        <v>0</v>
      </c>
      <c r="K483" s="260">
        <f t="shared" si="215"/>
        <v>0</v>
      </c>
      <c r="L483" s="361">
        <v>0</v>
      </c>
      <c r="M483" s="361">
        <v>0</v>
      </c>
      <c r="N483" s="361">
        <v>0</v>
      </c>
      <c r="O483" s="29">
        <v>0</v>
      </c>
      <c r="P483" s="361">
        <f t="shared" si="217"/>
        <v>0</v>
      </c>
      <c r="Q483" s="361">
        <v>0</v>
      </c>
      <c r="R483" s="361">
        <v>0</v>
      </c>
      <c r="S483" s="362">
        <v>0</v>
      </c>
      <c r="T483" s="29">
        <v>1.45</v>
      </c>
      <c r="U483" s="361">
        <f t="shared" si="218"/>
        <v>435</v>
      </c>
      <c r="V483" s="361">
        <v>0</v>
      </c>
      <c r="W483" s="361">
        <v>0</v>
      </c>
      <c r="X483" s="362">
        <v>435</v>
      </c>
      <c r="Y483" s="29">
        <v>0</v>
      </c>
      <c r="Z483" s="361">
        <f t="shared" si="219"/>
        <v>0</v>
      </c>
      <c r="AA483" s="361">
        <v>0</v>
      </c>
      <c r="AB483" s="361">
        <v>0</v>
      </c>
      <c r="AC483" s="362">
        <v>0</v>
      </c>
      <c r="AD483" s="7"/>
    </row>
    <row r="484" spans="1:30" s="8" customFormat="1" ht="26.45" customHeight="1" outlineLevel="1" x14ac:dyDescent="0.2">
      <c r="A484" s="352" t="s">
        <v>679</v>
      </c>
      <c r="B484" s="363" t="s">
        <v>427</v>
      </c>
      <c r="C484" s="286">
        <f t="shared" si="210"/>
        <v>0.66</v>
      </c>
      <c r="D484" s="361">
        <f t="shared" si="214"/>
        <v>197</v>
      </c>
      <c r="E484" s="311">
        <v>0</v>
      </c>
      <c r="F484" s="260">
        <f t="shared" si="216"/>
        <v>0</v>
      </c>
      <c r="G484" s="361">
        <v>0</v>
      </c>
      <c r="H484" s="361">
        <v>0</v>
      </c>
      <c r="I484" s="361">
        <v>0</v>
      </c>
      <c r="J484" s="311">
        <v>0</v>
      </c>
      <c r="K484" s="260">
        <f t="shared" si="215"/>
        <v>0</v>
      </c>
      <c r="L484" s="361">
        <v>0</v>
      </c>
      <c r="M484" s="361">
        <v>0</v>
      </c>
      <c r="N484" s="361">
        <v>0</v>
      </c>
      <c r="O484" s="29">
        <v>0</v>
      </c>
      <c r="P484" s="361">
        <f t="shared" si="217"/>
        <v>0</v>
      </c>
      <c r="Q484" s="361">
        <v>0</v>
      </c>
      <c r="R484" s="361">
        <v>0</v>
      </c>
      <c r="S484" s="362">
        <v>0</v>
      </c>
      <c r="T484" s="29">
        <v>0.66</v>
      </c>
      <c r="U484" s="361">
        <f t="shared" si="218"/>
        <v>197</v>
      </c>
      <c r="V484" s="361">
        <v>0</v>
      </c>
      <c r="W484" s="361">
        <v>0</v>
      </c>
      <c r="X484" s="362">
        <v>197</v>
      </c>
      <c r="Y484" s="29">
        <v>0</v>
      </c>
      <c r="Z484" s="361">
        <f t="shared" si="219"/>
        <v>0</v>
      </c>
      <c r="AA484" s="361">
        <v>0</v>
      </c>
      <c r="AB484" s="361">
        <v>0</v>
      </c>
      <c r="AC484" s="362">
        <v>0</v>
      </c>
      <c r="AD484" s="7"/>
    </row>
    <row r="485" spans="1:30" s="8" customFormat="1" ht="28.9" customHeight="1" outlineLevel="1" x14ac:dyDescent="0.2">
      <c r="A485" s="352" t="s">
        <v>680</v>
      </c>
      <c r="B485" s="363" t="s">
        <v>428</v>
      </c>
      <c r="C485" s="286">
        <f t="shared" si="210"/>
        <v>1.02</v>
      </c>
      <c r="D485" s="361">
        <f t="shared" si="214"/>
        <v>306</v>
      </c>
      <c r="E485" s="311">
        <v>0</v>
      </c>
      <c r="F485" s="260">
        <f t="shared" si="216"/>
        <v>0</v>
      </c>
      <c r="G485" s="361">
        <v>0</v>
      </c>
      <c r="H485" s="361">
        <v>0</v>
      </c>
      <c r="I485" s="361">
        <v>0</v>
      </c>
      <c r="J485" s="311">
        <v>0</v>
      </c>
      <c r="K485" s="260">
        <f t="shared" si="215"/>
        <v>0</v>
      </c>
      <c r="L485" s="361">
        <v>0</v>
      </c>
      <c r="M485" s="361">
        <v>0</v>
      </c>
      <c r="N485" s="361">
        <v>0</v>
      </c>
      <c r="O485" s="29">
        <v>0</v>
      </c>
      <c r="P485" s="361">
        <f t="shared" si="217"/>
        <v>0</v>
      </c>
      <c r="Q485" s="361">
        <v>0</v>
      </c>
      <c r="R485" s="361">
        <v>0</v>
      </c>
      <c r="S485" s="362">
        <v>0</v>
      </c>
      <c r="T485" s="29">
        <v>1.02</v>
      </c>
      <c r="U485" s="361">
        <f t="shared" si="218"/>
        <v>306</v>
      </c>
      <c r="V485" s="361">
        <v>0</v>
      </c>
      <c r="W485" s="361">
        <v>0</v>
      </c>
      <c r="X485" s="362">
        <v>306</v>
      </c>
      <c r="Y485" s="29">
        <v>0</v>
      </c>
      <c r="Z485" s="361">
        <f t="shared" si="219"/>
        <v>0</v>
      </c>
      <c r="AA485" s="361">
        <v>0</v>
      </c>
      <c r="AB485" s="361">
        <v>0</v>
      </c>
      <c r="AC485" s="362">
        <v>0</v>
      </c>
      <c r="AD485" s="7"/>
    </row>
    <row r="486" spans="1:30" s="8" customFormat="1" ht="28.9" customHeight="1" outlineLevel="1" x14ac:dyDescent="0.2">
      <c r="A486" s="352" t="s">
        <v>681</v>
      </c>
      <c r="B486" s="363" t="s">
        <v>431</v>
      </c>
      <c r="C486" s="286">
        <f t="shared" si="210"/>
        <v>2.8000000000000003</v>
      </c>
      <c r="D486" s="361">
        <f t="shared" si="214"/>
        <v>840.00000000000011</v>
      </c>
      <c r="E486" s="311">
        <v>0</v>
      </c>
      <c r="F486" s="260">
        <f t="shared" si="216"/>
        <v>0</v>
      </c>
      <c r="G486" s="361">
        <v>0</v>
      </c>
      <c r="H486" s="361">
        <v>0</v>
      </c>
      <c r="I486" s="361">
        <v>0</v>
      </c>
      <c r="J486" s="311">
        <v>0</v>
      </c>
      <c r="K486" s="260">
        <f t="shared" si="215"/>
        <v>0</v>
      </c>
      <c r="L486" s="361">
        <v>0</v>
      </c>
      <c r="M486" s="361">
        <v>0</v>
      </c>
      <c r="N486" s="361">
        <v>0</v>
      </c>
      <c r="O486" s="29">
        <v>0</v>
      </c>
      <c r="P486" s="361">
        <f t="shared" si="217"/>
        <v>0</v>
      </c>
      <c r="Q486" s="361">
        <v>0</v>
      </c>
      <c r="R486" s="361">
        <v>0</v>
      </c>
      <c r="S486" s="362">
        <v>0</v>
      </c>
      <c r="T486" s="29">
        <v>2.8000000000000003</v>
      </c>
      <c r="U486" s="361">
        <f t="shared" si="218"/>
        <v>840.00000000000011</v>
      </c>
      <c r="V486" s="361">
        <v>0</v>
      </c>
      <c r="W486" s="361">
        <v>0</v>
      </c>
      <c r="X486" s="362">
        <v>840.00000000000011</v>
      </c>
      <c r="Y486" s="29">
        <v>0</v>
      </c>
      <c r="Z486" s="361">
        <f t="shared" si="219"/>
        <v>0</v>
      </c>
      <c r="AA486" s="361">
        <v>0</v>
      </c>
      <c r="AB486" s="361">
        <v>0</v>
      </c>
      <c r="AC486" s="362">
        <v>0</v>
      </c>
      <c r="AD486" s="7"/>
    </row>
    <row r="487" spans="1:30" s="8" customFormat="1" ht="28.15" customHeight="1" outlineLevel="1" x14ac:dyDescent="0.2">
      <c r="A487" s="352" t="s">
        <v>682</v>
      </c>
      <c r="B487" s="363" t="s">
        <v>432</v>
      </c>
      <c r="C487" s="286">
        <f t="shared" si="210"/>
        <v>1.87</v>
      </c>
      <c r="D487" s="361">
        <f t="shared" si="214"/>
        <v>561</v>
      </c>
      <c r="E487" s="311">
        <v>0</v>
      </c>
      <c r="F487" s="260">
        <f t="shared" si="216"/>
        <v>0</v>
      </c>
      <c r="G487" s="361">
        <v>0</v>
      </c>
      <c r="H487" s="361">
        <v>0</v>
      </c>
      <c r="I487" s="361">
        <v>0</v>
      </c>
      <c r="J487" s="311">
        <v>0</v>
      </c>
      <c r="K487" s="260">
        <f t="shared" si="215"/>
        <v>0</v>
      </c>
      <c r="L487" s="361">
        <v>0</v>
      </c>
      <c r="M487" s="361">
        <v>0</v>
      </c>
      <c r="N487" s="361">
        <v>0</v>
      </c>
      <c r="O487" s="29">
        <v>0</v>
      </c>
      <c r="P487" s="361">
        <f t="shared" si="217"/>
        <v>0</v>
      </c>
      <c r="Q487" s="361">
        <v>0</v>
      </c>
      <c r="R487" s="361">
        <v>0</v>
      </c>
      <c r="S487" s="362">
        <v>0</v>
      </c>
      <c r="T487" s="29">
        <v>1.87</v>
      </c>
      <c r="U487" s="361">
        <f t="shared" si="218"/>
        <v>561</v>
      </c>
      <c r="V487" s="361">
        <v>0</v>
      </c>
      <c r="W487" s="361">
        <v>0</v>
      </c>
      <c r="X487" s="362">
        <v>561</v>
      </c>
      <c r="Y487" s="29">
        <v>0</v>
      </c>
      <c r="Z487" s="361">
        <f t="shared" si="219"/>
        <v>0</v>
      </c>
      <c r="AA487" s="361">
        <v>0</v>
      </c>
      <c r="AB487" s="361">
        <v>0</v>
      </c>
      <c r="AC487" s="362">
        <v>0</v>
      </c>
      <c r="AD487" s="7"/>
    </row>
    <row r="488" spans="1:30" s="8" customFormat="1" ht="34.15" customHeight="1" outlineLevel="1" x14ac:dyDescent="0.2">
      <c r="A488" s="319"/>
      <c r="B488" s="364" t="s">
        <v>459</v>
      </c>
      <c r="C488" s="365">
        <f>SUM(C489:C507)</f>
        <v>52.359999999999992</v>
      </c>
      <c r="D488" s="261">
        <f t="shared" ref="D488:AC488" si="220">SUM(D489:D507)</f>
        <v>13085</v>
      </c>
      <c r="E488" s="365">
        <f t="shared" si="220"/>
        <v>0</v>
      </c>
      <c r="F488" s="261">
        <f t="shared" si="220"/>
        <v>0</v>
      </c>
      <c r="G488" s="261">
        <f t="shared" si="220"/>
        <v>0</v>
      </c>
      <c r="H488" s="261">
        <f t="shared" si="220"/>
        <v>0</v>
      </c>
      <c r="I488" s="261">
        <f t="shared" si="220"/>
        <v>0</v>
      </c>
      <c r="J488" s="365">
        <f t="shared" si="220"/>
        <v>0</v>
      </c>
      <c r="K488" s="261">
        <f t="shared" si="215"/>
        <v>0</v>
      </c>
      <c r="L488" s="261">
        <f t="shared" si="220"/>
        <v>0</v>
      </c>
      <c r="M488" s="261">
        <f t="shared" si="220"/>
        <v>0</v>
      </c>
      <c r="N488" s="261">
        <f t="shared" si="220"/>
        <v>0</v>
      </c>
      <c r="O488" s="365">
        <f t="shared" si="220"/>
        <v>0</v>
      </c>
      <c r="P488" s="361">
        <f t="shared" si="217"/>
        <v>0</v>
      </c>
      <c r="Q488" s="261">
        <f t="shared" si="220"/>
        <v>0</v>
      </c>
      <c r="R488" s="261">
        <f t="shared" si="220"/>
        <v>0</v>
      </c>
      <c r="S488" s="261">
        <f t="shared" si="220"/>
        <v>0</v>
      </c>
      <c r="T488" s="365">
        <f t="shared" si="220"/>
        <v>16.729999999999997</v>
      </c>
      <c r="U488" s="361">
        <f t="shared" si="218"/>
        <v>4182</v>
      </c>
      <c r="V488" s="261">
        <f t="shared" si="220"/>
        <v>0</v>
      </c>
      <c r="W488" s="261">
        <f t="shared" si="220"/>
        <v>0</v>
      </c>
      <c r="X488" s="261">
        <f t="shared" si="220"/>
        <v>4182</v>
      </c>
      <c r="Y488" s="365">
        <f t="shared" si="220"/>
        <v>35.629999999999995</v>
      </c>
      <c r="Z488" s="361">
        <f t="shared" si="220"/>
        <v>8903</v>
      </c>
      <c r="AA488" s="366">
        <f t="shared" si="220"/>
        <v>0</v>
      </c>
      <c r="AB488" s="366">
        <f t="shared" si="220"/>
        <v>0</v>
      </c>
      <c r="AC488" s="261">
        <f t="shared" si="220"/>
        <v>8903</v>
      </c>
      <c r="AD488" s="7"/>
    </row>
    <row r="489" spans="1:30" s="8" customFormat="1" ht="25.9" customHeight="1" outlineLevel="1" x14ac:dyDescent="0.2">
      <c r="A489" s="352" t="s">
        <v>683</v>
      </c>
      <c r="B489" s="363" t="s">
        <v>433</v>
      </c>
      <c r="C489" s="286">
        <f t="shared" si="210"/>
        <v>4.04</v>
      </c>
      <c r="D489" s="361">
        <f t="shared" si="214"/>
        <v>1010</v>
      </c>
      <c r="E489" s="311">
        <v>0</v>
      </c>
      <c r="F489" s="260">
        <f t="shared" si="216"/>
        <v>0</v>
      </c>
      <c r="G489" s="361">
        <v>0</v>
      </c>
      <c r="H489" s="361">
        <v>0</v>
      </c>
      <c r="I489" s="361">
        <v>0</v>
      </c>
      <c r="J489" s="311">
        <v>0</v>
      </c>
      <c r="K489" s="260">
        <f t="shared" si="215"/>
        <v>0</v>
      </c>
      <c r="L489" s="361">
        <v>0</v>
      </c>
      <c r="M489" s="361">
        <v>0</v>
      </c>
      <c r="N489" s="361">
        <v>0</v>
      </c>
      <c r="O489" s="29">
        <v>0</v>
      </c>
      <c r="P489" s="361">
        <f t="shared" si="217"/>
        <v>0</v>
      </c>
      <c r="Q489" s="361">
        <v>0</v>
      </c>
      <c r="R489" s="361">
        <v>0</v>
      </c>
      <c r="S489" s="362">
        <v>0</v>
      </c>
      <c r="T489" s="29">
        <v>4.04</v>
      </c>
      <c r="U489" s="361">
        <f t="shared" si="218"/>
        <v>1010</v>
      </c>
      <c r="V489" s="361">
        <v>0</v>
      </c>
      <c r="W489" s="361">
        <v>0</v>
      </c>
      <c r="X489" s="362">
        <v>1010</v>
      </c>
      <c r="Y489" s="29">
        <v>0</v>
      </c>
      <c r="Z489" s="361">
        <f t="shared" si="219"/>
        <v>0</v>
      </c>
      <c r="AA489" s="361">
        <v>0</v>
      </c>
      <c r="AB489" s="361">
        <v>0</v>
      </c>
      <c r="AC489" s="362">
        <v>0</v>
      </c>
      <c r="AD489" s="7"/>
    </row>
    <row r="490" spans="1:30" s="8" customFormat="1" ht="25.15" customHeight="1" outlineLevel="1" x14ac:dyDescent="0.2">
      <c r="A490" s="352" t="s">
        <v>684</v>
      </c>
      <c r="B490" s="363" t="s">
        <v>434</v>
      </c>
      <c r="C490" s="286">
        <f t="shared" si="210"/>
        <v>4.09</v>
      </c>
      <c r="D490" s="361">
        <f t="shared" si="214"/>
        <v>1023</v>
      </c>
      <c r="E490" s="311">
        <v>0</v>
      </c>
      <c r="F490" s="260">
        <f t="shared" si="216"/>
        <v>0</v>
      </c>
      <c r="G490" s="361">
        <v>0</v>
      </c>
      <c r="H490" s="361">
        <v>0</v>
      </c>
      <c r="I490" s="361">
        <v>0</v>
      </c>
      <c r="J490" s="311">
        <v>0</v>
      </c>
      <c r="K490" s="260">
        <f t="shared" si="215"/>
        <v>0</v>
      </c>
      <c r="L490" s="361">
        <v>0</v>
      </c>
      <c r="M490" s="361">
        <v>0</v>
      </c>
      <c r="N490" s="361">
        <v>0</v>
      </c>
      <c r="O490" s="29">
        <v>0</v>
      </c>
      <c r="P490" s="361">
        <f t="shared" si="217"/>
        <v>0</v>
      </c>
      <c r="Q490" s="361">
        <v>0</v>
      </c>
      <c r="R490" s="361">
        <v>0</v>
      </c>
      <c r="S490" s="362">
        <v>0</v>
      </c>
      <c r="T490" s="29">
        <v>4.09</v>
      </c>
      <c r="U490" s="361">
        <f t="shared" si="218"/>
        <v>1023</v>
      </c>
      <c r="V490" s="361">
        <v>0</v>
      </c>
      <c r="W490" s="361">
        <v>0</v>
      </c>
      <c r="X490" s="362">
        <v>1023</v>
      </c>
      <c r="Y490" s="29">
        <v>0</v>
      </c>
      <c r="Z490" s="361">
        <f t="shared" si="219"/>
        <v>0</v>
      </c>
      <c r="AA490" s="361">
        <v>0</v>
      </c>
      <c r="AB490" s="361">
        <v>0</v>
      </c>
      <c r="AC490" s="362">
        <v>0</v>
      </c>
      <c r="AD490" s="7"/>
    </row>
    <row r="491" spans="1:30" s="8" customFormat="1" ht="25.9" customHeight="1" outlineLevel="1" x14ac:dyDescent="0.2">
      <c r="A491" s="352" t="s">
        <v>685</v>
      </c>
      <c r="B491" s="363" t="s">
        <v>435</v>
      </c>
      <c r="C491" s="286">
        <f t="shared" ref="C491:C509" si="221">E491+J491+O491+T491+Y491</f>
        <v>0.74</v>
      </c>
      <c r="D491" s="361">
        <f t="shared" si="214"/>
        <v>185</v>
      </c>
      <c r="E491" s="311">
        <v>0</v>
      </c>
      <c r="F491" s="260">
        <f t="shared" si="216"/>
        <v>0</v>
      </c>
      <c r="G491" s="361">
        <v>0</v>
      </c>
      <c r="H491" s="361">
        <v>0</v>
      </c>
      <c r="I491" s="361">
        <v>0</v>
      </c>
      <c r="J491" s="311">
        <v>0</v>
      </c>
      <c r="K491" s="260">
        <f t="shared" si="215"/>
        <v>0</v>
      </c>
      <c r="L491" s="361">
        <v>0</v>
      </c>
      <c r="M491" s="361">
        <v>0</v>
      </c>
      <c r="N491" s="361">
        <v>0</v>
      </c>
      <c r="O491" s="29">
        <v>0</v>
      </c>
      <c r="P491" s="361">
        <f t="shared" si="217"/>
        <v>0</v>
      </c>
      <c r="Q491" s="361">
        <v>0</v>
      </c>
      <c r="R491" s="361">
        <v>0</v>
      </c>
      <c r="S491" s="362">
        <v>0</v>
      </c>
      <c r="T491" s="29">
        <v>0.74</v>
      </c>
      <c r="U491" s="361">
        <f t="shared" si="218"/>
        <v>185</v>
      </c>
      <c r="V491" s="361">
        <v>0</v>
      </c>
      <c r="W491" s="361">
        <v>0</v>
      </c>
      <c r="X491" s="362">
        <v>185</v>
      </c>
      <c r="Y491" s="29">
        <v>0</v>
      </c>
      <c r="Z491" s="361">
        <f t="shared" si="219"/>
        <v>0</v>
      </c>
      <c r="AA491" s="361">
        <v>0</v>
      </c>
      <c r="AB491" s="361">
        <v>0</v>
      </c>
      <c r="AC491" s="362">
        <v>0</v>
      </c>
      <c r="AD491" s="7"/>
    </row>
    <row r="492" spans="1:30" s="8" customFormat="1" ht="25.15" customHeight="1" outlineLevel="1" x14ac:dyDescent="0.2">
      <c r="A492" s="352" t="s">
        <v>686</v>
      </c>
      <c r="B492" s="363" t="s">
        <v>436</v>
      </c>
      <c r="C492" s="286">
        <f t="shared" si="221"/>
        <v>2.2999999999999998</v>
      </c>
      <c r="D492" s="361">
        <f t="shared" si="214"/>
        <v>574</v>
      </c>
      <c r="E492" s="311">
        <v>0</v>
      </c>
      <c r="F492" s="260">
        <f t="shared" si="216"/>
        <v>0</v>
      </c>
      <c r="G492" s="361">
        <v>0</v>
      </c>
      <c r="H492" s="361">
        <v>0</v>
      </c>
      <c r="I492" s="361">
        <v>0</v>
      </c>
      <c r="J492" s="311">
        <v>0</v>
      </c>
      <c r="K492" s="260">
        <f t="shared" si="215"/>
        <v>0</v>
      </c>
      <c r="L492" s="361">
        <v>0</v>
      </c>
      <c r="M492" s="361">
        <v>0</v>
      </c>
      <c r="N492" s="361">
        <v>0</v>
      </c>
      <c r="O492" s="29">
        <v>0</v>
      </c>
      <c r="P492" s="361">
        <f t="shared" si="217"/>
        <v>0</v>
      </c>
      <c r="Q492" s="361">
        <v>0</v>
      </c>
      <c r="R492" s="361">
        <v>0</v>
      </c>
      <c r="S492" s="362">
        <v>0</v>
      </c>
      <c r="T492" s="29">
        <v>2.2999999999999998</v>
      </c>
      <c r="U492" s="361">
        <f t="shared" si="218"/>
        <v>574</v>
      </c>
      <c r="V492" s="361">
        <v>0</v>
      </c>
      <c r="W492" s="361">
        <v>0</v>
      </c>
      <c r="X492" s="362">
        <v>574</v>
      </c>
      <c r="Y492" s="29">
        <v>0</v>
      </c>
      <c r="Z492" s="361">
        <f t="shared" si="219"/>
        <v>0</v>
      </c>
      <c r="AA492" s="361">
        <v>0</v>
      </c>
      <c r="AB492" s="361">
        <v>0</v>
      </c>
      <c r="AC492" s="362">
        <v>0</v>
      </c>
      <c r="AD492" s="7"/>
    </row>
    <row r="493" spans="1:30" s="8" customFormat="1" ht="23.45" customHeight="1" outlineLevel="1" x14ac:dyDescent="0.2">
      <c r="A493" s="352" t="s">
        <v>687</v>
      </c>
      <c r="B493" s="363" t="s">
        <v>437</v>
      </c>
      <c r="C493" s="286">
        <f t="shared" si="221"/>
        <v>3.2</v>
      </c>
      <c r="D493" s="361">
        <f t="shared" si="214"/>
        <v>800</v>
      </c>
      <c r="E493" s="311">
        <v>0</v>
      </c>
      <c r="F493" s="260">
        <f t="shared" si="216"/>
        <v>0</v>
      </c>
      <c r="G493" s="361">
        <v>0</v>
      </c>
      <c r="H493" s="361">
        <v>0</v>
      </c>
      <c r="I493" s="361">
        <v>0</v>
      </c>
      <c r="J493" s="311">
        <v>0</v>
      </c>
      <c r="K493" s="260">
        <f t="shared" si="215"/>
        <v>0</v>
      </c>
      <c r="L493" s="361">
        <v>0</v>
      </c>
      <c r="M493" s="361">
        <v>0</v>
      </c>
      <c r="N493" s="361">
        <v>0</v>
      </c>
      <c r="O493" s="29">
        <v>0</v>
      </c>
      <c r="P493" s="361">
        <f t="shared" si="217"/>
        <v>0</v>
      </c>
      <c r="Q493" s="361">
        <v>0</v>
      </c>
      <c r="R493" s="361">
        <v>0</v>
      </c>
      <c r="S493" s="362">
        <v>0</v>
      </c>
      <c r="T493" s="29">
        <v>3.2</v>
      </c>
      <c r="U493" s="361">
        <f t="shared" si="218"/>
        <v>800</v>
      </c>
      <c r="V493" s="361">
        <v>0</v>
      </c>
      <c r="W493" s="361">
        <v>0</v>
      </c>
      <c r="X493" s="362">
        <v>800</v>
      </c>
      <c r="Y493" s="29">
        <v>0</v>
      </c>
      <c r="Z493" s="361">
        <f t="shared" si="219"/>
        <v>0</v>
      </c>
      <c r="AA493" s="361">
        <v>0</v>
      </c>
      <c r="AB493" s="361">
        <v>0</v>
      </c>
      <c r="AC493" s="362">
        <v>0</v>
      </c>
      <c r="AD493" s="7"/>
    </row>
    <row r="494" spans="1:30" s="8" customFormat="1" ht="24" customHeight="1" outlineLevel="1" x14ac:dyDescent="0.2">
      <c r="A494" s="352" t="s">
        <v>688</v>
      </c>
      <c r="B494" s="363" t="s">
        <v>438</v>
      </c>
      <c r="C494" s="286">
        <f t="shared" si="221"/>
        <v>1.06</v>
      </c>
      <c r="D494" s="361">
        <f t="shared" si="214"/>
        <v>265</v>
      </c>
      <c r="E494" s="311">
        <v>0</v>
      </c>
      <c r="F494" s="260">
        <f t="shared" si="216"/>
        <v>0</v>
      </c>
      <c r="G494" s="361">
        <v>0</v>
      </c>
      <c r="H494" s="361">
        <v>0</v>
      </c>
      <c r="I494" s="361">
        <v>0</v>
      </c>
      <c r="J494" s="311">
        <v>0</v>
      </c>
      <c r="K494" s="260">
        <f t="shared" si="215"/>
        <v>0</v>
      </c>
      <c r="L494" s="361">
        <v>0</v>
      </c>
      <c r="M494" s="361">
        <v>0</v>
      </c>
      <c r="N494" s="361">
        <v>0</v>
      </c>
      <c r="O494" s="29">
        <v>0</v>
      </c>
      <c r="P494" s="361">
        <f t="shared" si="217"/>
        <v>0</v>
      </c>
      <c r="Q494" s="361">
        <v>0</v>
      </c>
      <c r="R494" s="361">
        <v>0</v>
      </c>
      <c r="S494" s="362">
        <v>0</v>
      </c>
      <c r="T494" s="29">
        <v>1.06</v>
      </c>
      <c r="U494" s="361">
        <f t="shared" si="218"/>
        <v>265</v>
      </c>
      <c r="V494" s="361">
        <v>0</v>
      </c>
      <c r="W494" s="361">
        <v>0</v>
      </c>
      <c r="X494" s="362">
        <v>265</v>
      </c>
      <c r="Y494" s="29">
        <v>0</v>
      </c>
      <c r="Z494" s="361">
        <f t="shared" si="219"/>
        <v>0</v>
      </c>
      <c r="AA494" s="361">
        <v>0</v>
      </c>
      <c r="AB494" s="361">
        <v>0</v>
      </c>
      <c r="AC494" s="362">
        <v>0</v>
      </c>
      <c r="AD494" s="7"/>
    </row>
    <row r="495" spans="1:30" s="8" customFormat="1" ht="26.45" customHeight="1" outlineLevel="1" x14ac:dyDescent="0.2">
      <c r="A495" s="352" t="s">
        <v>689</v>
      </c>
      <c r="B495" s="363" t="s">
        <v>439</v>
      </c>
      <c r="C495" s="286">
        <f t="shared" si="221"/>
        <v>1.3</v>
      </c>
      <c r="D495" s="361">
        <f t="shared" si="214"/>
        <v>325</v>
      </c>
      <c r="E495" s="311">
        <v>0</v>
      </c>
      <c r="F495" s="260">
        <f t="shared" si="216"/>
        <v>0</v>
      </c>
      <c r="G495" s="361">
        <v>0</v>
      </c>
      <c r="H495" s="361">
        <v>0</v>
      </c>
      <c r="I495" s="361">
        <v>0</v>
      </c>
      <c r="J495" s="311">
        <v>0</v>
      </c>
      <c r="K495" s="260">
        <f t="shared" si="215"/>
        <v>0</v>
      </c>
      <c r="L495" s="361">
        <v>0</v>
      </c>
      <c r="M495" s="361">
        <v>0</v>
      </c>
      <c r="N495" s="361">
        <v>0</v>
      </c>
      <c r="O495" s="29">
        <v>0</v>
      </c>
      <c r="P495" s="361">
        <f t="shared" si="217"/>
        <v>0</v>
      </c>
      <c r="Q495" s="361">
        <v>0</v>
      </c>
      <c r="R495" s="361">
        <v>0</v>
      </c>
      <c r="S495" s="362">
        <v>0</v>
      </c>
      <c r="T495" s="29">
        <v>1.3</v>
      </c>
      <c r="U495" s="361">
        <f t="shared" si="218"/>
        <v>325</v>
      </c>
      <c r="V495" s="361">
        <v>0</v>
      </c>
      <c r="W495" s="361">
        <v>0</v>
      </c>
      <c r="X495" s="362">
        <v>325</v>
      </c>
      <c r="Y495" s="29">
        <v>0</v>
      </c>
      <c r="Z495" s="361">
        <f t="shared" si="219"/>
        <v>0</v>
      </c>
      <c r="AA495" s="361">
        <v>0</v>
      </c>
      <c r="AB495" s="361">
        <v>0</v>
      </c>
      <c r="AC495" s="362">
        <v>0</v>
      </c>
      <c r="AD495" s="7"/>
    </row>
    <row r="496" spans="1:30" s="8" customFormat="1" ht="45" customHeight="1" outlineLevel="1" x14ac:dyDescent="0.2">
      <c r="A496" s="352" t="s">
        <v>690</v>
      </c>
      <c r="B496" s="363" t="s">
        <v>376</v>
      </c>
      <c r="C496" s="286">
        <f t="shared" si="221"/>
        <v>2.4300000000000002</v>
      </c>
      <c r="D496" s="361">
        <f t="shared" si="214"/>
        <v>606</v>
      </c>
      <c r="E496" s="311">
        <v>0</v>
      </c>
      <c r="F496" s="260">
        <f t="shared" si="216"/>
        <v>0</v>
      </c>
      <c r="G496" s="361">
        <v>0</v>
      </c>
      <c r="H496" s="361">
        <v>0</v>
      </c>
      <c r="I496" s="361">
        <v>0</v>
      </c>
      <c r="J496" s="311">
        <v>0</v>
      </c>
      <c r="K496" s="260">
        <f t="shared" si="215"/>
        <v>0</v>
      </c>
      <c r="L496" s="361">
        <v>0</v>
      </c>
      <c r="M496" s="361">
        <v>0</v>
      </c>
      <c r="N496" s="361">
        <v>0</v>
      </c>
      <c r="O496" s="29">
        <v>0</v>
      </c>
      <c r="P496" s="361">
        <f t="shared" si="217"/>
        <v>0</v>
      </c>
      <c r="Q496" s="361">
        <v>0</v>
      </c>
      <c r="R496" s="361">
        <v>0</v>
      </c>
      <c r="S496" s="362">
        <v>0</v>
      </c>
      <c r="T496" s="29">
        <v>0</v>
      </c>
      <c r="U496" s="361">
        <f t="shared" si="218"/>
        <v>0</v>
      </c>
      <c r="V496" s="361">
        <v>0</v>
      </c>
      <c r="W496" s="361">
        <v>0</v>
      </c>
      <c r="X496" s="362">
        <v>0</v>
      </c>
      <c r="Y496" s="29">
        <f>ROUND(2.425,2)</f>
        <v>2.4300000000000002</v>
      </c>
      <c r="Z496" s="361">
        <f t="shared" si="219"/>
        <v>606</v>
      </c>
      <c r="AA496" s="361">
        <v>0</v>
      </c>
      <c r="AB496" s="361">
        <v>0</v>
      </c>
      <c r="AC496" s="362">
        <v>606</v>
      </c>
      <c r="AD496" s="7"/>
    </row>
    <row r="497" spans="1:30" s="8" customFormat="1" ht="24.6" customHeight="1" outlineLevel="1" x14ac:dyDescent="0.2">
      <c r="A497" s="352" t="s">
        <v>691</v>
      </c>
      <c r="B497" s="363" t="s">
        <v>412</v>
      </c>
      <c r="C497" s="286">
        <f t="shared" si="221"/>
        <v>3</v>
      </c>
      <c r="D497" s="361">
        <f t="shared" si="214"/>
        <v>749</v>
      </c>
      <c r="E497" s="311">
        <v>0</v>
      </c>
      <c r="F497" s="260">
        <f t="shared" si="216"/>
        <v>0</v>
      </c>
      <c r="G497" s="361">
        <v>0</v>
      </c>
      <c r="H497" s="361">
        <v>0</v>
      </c>
      <c r="I497" s="361">
        <v>0</v>
      </c>
      <c r="J497" s="311">
        <v>0</v>
      </c>
      <c r="K497" s="260">
        <f t="shared" si="215"/>
        <v>0</v>
      </c>
      <c r="L497" s="361">
        <v>0</v>
      </c>
      <c r="M497" s="361">
        <v>0</v>
      </c>
      <c r="N497" s="361">
        <v>0</v>
      </c>
      <c r="O497" s="29">
        <v>0</v>
      </c>
      <c r="P497" s="361">
        <f t="shared" si="217"/>
        <v>0</v>
      </c>
      <c r="Q497" s="361">
        <v>0</v>
      </c>
      <c r="R497" s="361">
        <v>0</v>
      </c>
      <c r="S497" s="362">
        <v>0</v>
      </c>
      <c r="T497" s="29">
        <v>0</v>
      </c>
      <c r="U497" s="361">
        <f t="shared" si="218"/>
        <v>0</v>
      </c>
      <c r="V497" s="361">
        <v>0</v>
      </c>
      <c r="W497" s="361">
        <v>0</v>
      </c>
      <c r="X497" s="362">
        <v>0</v>
      </c>
      <c r="Y497" s="29">
        <f>ROUND(2.995,2)</f>
        <v>3</v>
      </c>
      <c r="Z497" s="361">
        <f t="shared" si="219"/>
        <v>749</v>
      </c>
      <c r="AA497" s="361">
        <v>0</v>
      </c>
      <c r="AB497" s="361">
        <v>0</v>
      </c>
      <c r="AC497" s="362">
        <v>749</v>
      </c>
      <c r="AD497" s="7"/>
    </row>
    <row r="498" spans="1:30" s="8" customFormat="1" ht="32.450000000000003" customHeight="1" outlineLevel="1" x14ac:dyDescent="0.2">
      <c r="A498" s="352" t="s">
        <v>692</v>
      </c>
      <c r="B498" s="363" t="s">
        <v>406</v>
      </c>
      <c r="C498" s="286">
        <f t="shared" si="221"/>
        <v>3.29</v>
      </c>
      <c r="D498" s="361">
        <f t="shared" si="214"/>
        <v>823</v>
      </c>
      <c r="E498" s="311">
        <v>0</v>
      </c>
      <c r="F498" s="260">
        <f t="shared" si="216"/>
        <v>0</v>
      </c>
      <c r="G498" s="361">
        <v>0</v>
      </c>
      <c r="H498" s="361">
        <v>0</v>
      </c>
      <c r="I498" s="361">
        <v>0</v>
      </c>
      <c r="J498" s="311">
        <v>0</v>
      </c>
      <c r="K498" s="260">
        <f t="shared" si="215"/>
        <v>0</v>
      </c>
      <c r="L498" s="361">
        <v>0</v>
      </c>
      <c r="M498" s="361">
        <v>0</v>
      </c>
      <c r="N498" s="361">
        <v>0</v>
      </c>
      <c r="O498" s="29">
        <v>0</v>
      </c>
      <c r="P498" s="361">
        <f t="shared" si="217"/>
        <v>0</v>
      </c>
      <c r="Q498" s="361">
        <v>0</v>
      </c>
      <c r="R498" s="361">
        <v>0</v>
      </c>
      <c r="S498" s="362">
        <v>0</v>
      </c>
      <c r="T498" s="29">
        <v>0</v>
      </c>
      <c r="U498" s="361">
        <f t="shared" si="218"/>
        <v>0</v>
      </c>
      <c r="V498" s="361">
        <v>0</v>
      </c>
      <c r="W498" s="361">
        <v>0</v>
      </c>
      <c r="X498" s="362">
        <v>0</v>
      </c>
      <c r="Y498" s="29">
        <v>3.29</v>
      </c>
      <c r="Z498" s="361">
        <f t="shared" si="219"/>
        <v>823</v>
      </c>
      <c r="AA498" s="361">
        <v>0</v>
      </c>
      <c r="AB498" s="361">
        <v>0</v>
      </c>
      <c r="AC498" s="362">
        <v>823</v>
      </c>
      <c r="AD498" s="7"/>
    </row>
    <row r="499" spans="1:30" s="8" customFormat="1" ht="33" customHeight="1" outlineLevel="1" x14ac:dyDescent="0.2">
      <c r="A499" s="352" t="s">
        <v>693</v>
      </c>
      <c r="B499" s="363" t="s">
        <v>407</v>
      </c>
      <c r="C499" s="286">
        <f t="shared" si="221"/>
        <v>3.5</v>
      </c>
      <c r="D499" s="361">
        <f t="shared" si="214"/>
        <v>875</v>
      </c>
      <c r="E499" s="311">
        <v>0</v>
      </c>
      <c r="F499" s="260">
        <f t="shared" si="216"/>
        <v>0</v>
      </c>
      <c r="G499" s="361">
        <v>0</v>
      </c>
      <c r="H499" s="361">
        <v>0</v>
      </c>
      <c r="I499" s="361">
        <v>0</v>
      </c>
      <c r="J499" s="311">
        <v>0</v>
      </c>
      <c r="K499" s="260">
        <f t="shared" si="215"/>
        <v>0</v>
      </c>
      <c r="L499" s="361">
        <v>0</v>
      </c>
      <c r="M499" s="361">
        <v>0</v>
      </c>
      <c r="N499" s="361">
        <v>0</v>
      </c>
      <c r="O499" s="29">
        <v>0</v>
      </c>
      <c r="P499" s="361">
        <f t="shared" si="217"/>
        <v>0</v>
      </c>
      <c r="Q499" s="361">
        <v>0</v>
      </c>
      <c r="R499" s="361">
        <v>0</v>
      </c>
      <c r="S499" s="362">
        <v>0</v>
      </c>
      <c r="T499" s="29">
        <v>0</v>
      </c>
      <c r="U499" s="361">
        <f t="shared" si="218"/>
        <v>0</v>
      </c>
      <c r="V499" s="361">
        <v>0</v>
      </c>
      <c r="W499" s="361">
        <v>0</v>
      </c>
      <c r="X499" s="362">
        <v>0</v>
      </c>
      <c r="Y499" s="29">
        <v>3.5</v>
      </c>
      <c r="Z499" s="361">
        <f t="shared" si="219"/>
        <v>875</v>
      </c>
      <c r="AA499" s="361">
        <v>0</v>
      </c>
      <c r="AB499" s="361">
        <v>0</v>
      </c>
      <c r="AC499" s="362">
        <v>875</v>
      </c>
      <c r="AD499" s="7"/>
    </row>
    <row r="500" spans="1:30" s="8" customFormat="1" ht="27" customHeight="1" outlineLevel="1" x14ac:dyDescent="0.2">
      <c r="A500" s="352" t="s">
        <v>694</v>
      </c>
      <c r="B500" s="363" t="s">
        <v>408</v>
      </c>
      <c r="C500" s="286">
        <f t="shared" si="221"/>
        <v>3.2600000000000002</v>
      </c>
      <c r="D500" s="361">
        <f t="shared" si="214"/>
        <v>815.00000000000011</v>
      </c>
      <c r="E500" s="311">
        <v>0</v>
      </c>
      <c r="F500" s="260">
        <f t="shared" si="216"/>
        <v>0</v>
      </c>
      <c r="G500" s="361">
        <v>0</v>
      </c>
      <c r="H500" s="361">
        <v>0</v>
      </c>
      <c r="I500" s="361">
        <v>0</v>
      </c>
      <c r="J500" s="311">
        <v>0</v>
      </c>
      <c r="K500" s="260">
        <f t="shared" si="215"/>
        <v>0</v>
      </c>
      <c r="L500" s="361">
        <v>0</v>
      </c>
      <c r="M500" s="361">
        <v>0</v>
      </c>
      <c r="N500" s="361">
        <v>0</v>
      </c>
      <c r="O500" s="29">
        <v>0</v>
      </c>
      <c r="P500" s="361">
        <f t="shared" si="217"/>
        <v>0</v>
      </c>
      <c r="Q500" s="361">
        <v>0</v>
      </c>
      <c r="R500" s="361">
        <v>0</v>
      </c>
      <c r="S500" s="362">
        <v>0</v>
      </c>
      <c r="T500" s="29">
        <v>0</v>
      </c>
      <c r="U500" s="361">
        <f t="shared" si="218"/>
        <v>0</v>
      </c>
      <c r="V500" s="361">
        <v>0</v>
      </c>
      <c r="W500" s="361">
        <v>0</v>
      </c>
      <c r="X500" s="362">
        <v>0</v>
      </c>
      <c r="Y500" s="29">
        <v>3.2600000000000002</v>
      </c>
      <c r="Z500" s="361">
        <f t="shared" si="219"/>
        <v>815.00000000000011</v>
      </c>
      <c r="AA500" s="361">
        <v>0</v>
      </c>
      <c r="AB500" s="361">
        <v>0</v>
      </c>
      <c r="AC500" s="362">
        <v>815.00000000000011</v>
      </c>
      <c r="AD500" s="7"/>
    </row>
    <row r="501" spans="1:30" s="8" customFormat="1" ht="28.9" customHeight="1" outlineLevel="1" x14ac:dyDescent="0.2">
      <c r="A501" s="352" t="s">
        <v>695</v>
      </c>
      <c r="B501" s="363" t="s">
        <v>409</v>
      </c>
      <c r="C501" s="286">
        <f t="shared" si="221"/>
        <v>4</v>
      </c>
      <c r="D501" s="361">
        <f t="shared" si="214"/>
        <v>1000</v>
      </c>
      <c r="E501" s="311">
        <v>0</v>
      </c>
      <c r="F501" s="260">
        <f t="shared" si="216"/>
        <v>0</v>
      </c>
      <c r="G501" s="361">
        <v>0</v>
      </c>
      <c r="H501" s="361">
        <v>0</v>
      </c>
      <c r="I501" s="361">
        <v>0</v>
      </c>
      <c r="J501" s="311">
        <v>0</v>
      </c>
      <c r="K501" s="260">
        <f t="shared" si="215"/>
        <v>0</v>
      </c>
      <c r="L501" s="361">
        <v>0</v>
      </c>
      <c r="M501" s="361">
        <v>0</v>
      </c>
      <c r="N501" s="361">
        <v>0</v>
      </c>
      <c r="O501" s="29">
        <v>0</v>
      </c>
      <c r="P501" s="361">
        <f t="shared" si="217"/>
        <v>0</v>
      </c>
      <c r="Q501" s="361">
        <v>0</v>
      </c>
      <c r="R501" s="361">
        <v>0</v>
      </c>
      <c r="S501" s="362">
        <v>0</v>
      </c>
      <c r="T501" s="29">
        <v>0</v>
      </c>
      <c r="U501" s="361">
        <f t="shared" si="218"/>
        <v>0</v>
      </c>
      <c r="V501" s="361">
        <v>0</v>
      </c>
      <c r="W501" s="361">
        <v>0</v>
      </c>
      <c r="X501" s="362">
        <v>0</v>
      </c>
      <c r="Y501" s="29">
        <v>4</v>
      </c>
      <c r="Z501" s="361">
        <f t="shared" si="219"/>
        <v>1000</v>
      </c>
      <c r="AA501" s="361">
        <v>0</v>
      </c>
      <c r="AB501" s="361">
        <v>0</v>
      </c>
      <c r="AC501" s="362">
        <v>1000</v>
      </c>
      <c r="AD501" s="7"/>
    </row>
    <row r="502" spans="1:30" s="8" customFormat="1" ht="33" customHeight="1" outlineLevel="1" x14ac:dyDescent="0.2">
      <c r="A502" s="352" t="s">
        <v>696</v>
      </c>
      <c r="B502" s="363" t="s">
        <v>410</v>
      </c>
      <c r="C502" s="286">
        <f t="shared" si="221"/>
        <v>3.75</v>
      </c>
      <c r="D502" s="361">
        <f t="shared" si="214"/>
        <v>938</v>
      </c>
      <c r="E502" s="311">
        <v>0</v>
      </c>
      <c r="F502" s="260">
        <f t="shared" si="216"/>
        <v>0</v>
      </c>
      <c r="G502" s="361">
        <v>0</v>
      </c>
      <c r="H502" s="361">
        <v>0</v>
      </c>
      <c r="I502" s="361">
        <v>0</v>
      </c>
      <c r="J502" s="311">
        <v>0</v>
      </c>
      <c r="K502" s="260">
        <f t="shared" si="215"/>
        <v>0</v>
      </c>
      <c r="L502" s="361">
        <v>0</v>
      </c>
      <c r="M502" s="361">
        <v>0</v>
      </c>
      <c r="N502" s="361">
        <v>0</v>
      </c>
      <c r="O502" s="29">
        <v>0</v>
      </c>
      <c r="P502" s="361">
        <f t="shared" si="217"/>
        <v>0</v>
      </c>
      <c r="Q502" s="361">
        <v>0</v>
      </c>
      <c r="R502" s="361">
        <v>0</v>
      </c>
      <c r="S502" s="362">
        <v>0</v>
      </c>
      <c r="T502" s="29">
        <v>0</v>
      </c>
      <c r="U502" s="361">
        <f t="shared" si="218"/>
        <v>0</v>
      </c>
      <c r="V502" s="361">
        <v>0</v>
      </c>
      <c r="W502" s="361">
        <v>0</v>
      </c>
      <c r="X502" s="362">
        <v>0</v>
      </c>
      <c r="Y502" s="29">
        <v>3.75</v>
      </c>
      <c r="Z502" s="361">
        <f t="shared" si="219"/>
        <v>938</v>
      </c>
      <c r="AA502" s="361">
        <v>0</v>
      </c>
      <c r="AB502" s="361">
        <v>0</v>
      </c>
      <c r="AC502" s="362">
        <v>938</v>
      </c>
      <c r="AD502" s="7"/>
    </row>
    <row r="503" spans="1:30" s="8" customFormat="1" ht="25.15" customHeight="1" outlineLevel="1" x14ac:dyDescent="0.2">
      <c r="A503" s="352" t="s">
        <v>697</v>
      </c>
      <c r="B503" s="363" t="s">
        <v>411</v>
      </c>
      <c r="C503" s="286">
        <f t="shared" si="221"/>
        <v>3.95</v>
      </c>
      <c r="D503" s="361">
        <f t="shared" si="214"/>
        <v>986</v>
      </c>
      <c r="E503" s="311">
        <v>0</v>
      </c>
      <c r="F503" s="260">
        <f t="shared" si="216"/>
        <v>0</v>
      </c>
      <c r="G503" s="361">
        <v>0</v>
      </c>
      <c r="H503" s="361">
        <v>0</v>
      </c>
      <c r="I503" s="361">
        <v>0</v>
      </c>
      <c r="J503" s="311">
        <v>0</v>
      </c>
      <c r="K503" s="260">
        <f t="shared" si="215"/>
        <v>0</v>
      </c>
      <c r="L503" s="361">
        <v>0</v>
      </c>
      <c r="M503" s="361">
        <v>0</v>
      </c>
      <c r="N503" s="361">
        <v>0</v>
      </c>
      <c r="O503" s="29">
        <v>0</v>
      </c>
      <c r="P503" s="361">
        <f t="shared" si="217"/>
        <v>0</v>
      </c>
      <c r="Q503" s="361">
        <v>0</v>
      </c>
      <c r="R503" s="361">
        <v>0</v>
      </c>
      <c r="S503" s="362">
        <v>0</v>
      </c>
      <c r="T503" s="29">
        <v>0</v>
      </c>
      <c r="U503" s="361">
        <f t="shared" si="218"/>
        <v>0</v>
      </c>
      <c r="V503" s="361">
        <v>0</v>
      </c>
      <c r="W503" s="361">
        <v>0</v>
      </c>
      <c r="X503" s="362">
        <v>0</v>
      </c>
      <c r="Y503" s="29">
        <f>ROUND(3.945,2)</f>
        <v>3.95</v>
      </c>
      <c r="Z503" s="361">
        <f t="shared" si="219"/>
        <v>986</v>
      </c>
      <c r="AA503" s="361">
        <v>0</v>
      </c>
      <c r="AB503" s="361">
        <v>0</v>
      </c>
      <c r="AC503" s="362">
        <v>986</v>
      </c>
      <c r="AD503" s="7"/>
    </row>
    <row r="504" spans="1:30" s="8" customFormat="1" ht="27" customHeight="1" outlineLevel="1" x14ac:dyDescent="0.2">
      <c r="A504" s="352" t="s">
        <v>698</v>
      </c>
      <c r="B504" s="363" t="s">
        <v>388</v>
      </c>
      <c r="C504" s="286">
        <f t="shared" si="221"/>
        <v>0.92999999999999994</v>
      </c>
      <c r="D504" s="361">
        <f t="shared" si="214"/>
        <v>233</v>
      </c>
      <c r="E504" s="311">
        <v>0</v>
      </c>
      <c r="F504" s="260">
        <f t="shared" si="216"/>
        <v>0</v>
      </c>
      <c r="G504" s="361">
        <v>0</v>
      </c>
      <c r="H504" s="361">
        <v>0</v>
      </c>
      <c r="I504" s="361">
        <v>0</v>
      </c>
      <c r="J504" s="311">
        <v>0</v>
      </c>
      <c r="K504" s="260">
        <f t="shared" si="215"/>
        <v>0</v>
      </c>
      <c r="L504" s="361">
        <v>0</v>
      </c>
      <c r="M504" s="361">
        <v>0</v>
      </c>
      <c r="N504" s="361">
        <v>0</v>
      </c>
      <c r="O504" s="29">
        <v>0</v>
      </c>
      <c r="P504" s="361">
        <f t="shared" si="217"/>
        <v>0</v>
      </c>
      <c r="Q504" s="361">
        <v>0</v>
      </c>
      <c r="R504" s="361">
        <v>0</v>
      </c>
      <c r="S504" s="362">
        <v>0</v>
      </c>
      <c r="T504" s="29">
        <v>0</v>
      </c>
      <c r="U504" s="361">
        <f t="shared" si="218"/>
        <v>0</v>
      </c>
      <c r="V504" s="361">
        <v>0</v>
      </c>
      <c r="W504" s="361">
        <v>0</v>
      </c>
      <c r="X504" s="362">
        <v>0</v>
      </c>
      <c r="Y504" s="29">
        <v>0.92999999999999994</v>
      </c>
      <c r="Z504" s="361">
        <f t="shared" si="219"/>
        <v>233</v>
      </c>
      <c r="AA504" s="361">
        <v>0</v>
      </c>
      <c r="AB504" s="361">
        <v>0</v>
      </c>
      <c r="AC504" s="362">
        <v>233</v>
      </c>
      <c r="AD504" s="7"/>
    </row>
    <row r="505" spans="1:30" s="8" customFormat="1" ht="25.5" customHeight="1" outlineLevel="1" x14ac:dyDescent="0.2">
      <c r="A505" s="352" t="s">
        <v>699</v>
      </c>
      <c r="B505" s="363" t="s">
        <v>385</v>
      </c>
      <c r="C505" s="286">
        <f t="shared" si="221"/>
        <v>1.58</v>
      </c>
      <c r="D505" s="361">
        <f t="shared" si="214"/>
        <v>394</v>
      </c>
      <c r="E505" s="311">
        <v>0</v>
      </c>
      <c r="F505" s="260">
        <f t="shared" si="216"/>
        <v>0</v>
      </c>
      <c r="G505" s="361">
        <v>0</v>
      </c>
      <c r="H505" s="361">
        <v>0</v>
      </c>
      <c r="I505" s="361">
        <v>0</v>
      </c>
      <c r="J505" s="311">
        <v>0</v>
      </c>
      <c r="K505" s="260">
        <f t="shared" si="215"/>
        <v>0</v>
      </c>
      <c r="L505" s="361">
        <v>0</v>
      </c>
      <c r="M505" s="361">
        <v>0</v>
      </c>
      <c r="N505" s="361">
        <v>0</v>
      </c>
      <c r="O505" s="29">
        <v>0</v>
      </c>
      <c r="P505" s="361">
        <f t="shared" si="217"/>
        <v>0</v>
      </c>
      <c r="Q505" s="361">
        <v>0</v>
      </c>
      <c r="R505" s="361">
        <v>0</v>
      </c>
      <c r="S505" s="362">
        <v>0</v>
      </c>
      <c r="T505" s="29">
        <v>0</v>
      </c>
      <c r="U505" s="361">
        <f t="shared" si="218"/>
        <v>0</v>
      </c>
      <c r="V505" s="361">
        <v>0</v>
      </c>
      <c r="W505" s="361">
        <v>0</v>
      </c>
      <c r="X505" s="362">
        <v>0</v>
      </c>
      <c r="Y505" s="29">
        <f>ROUND(1.575,2)</f>
        <v>1.58</v>
      </c>
      <c r="Z505" s="361">
        <f t="shared" si="219"/>
        <v>394</v>
      </c>
      <c r="AA505" s="361">
        <v>0</v>
      </c>
      <c r="AB505" s="361">
        <v>0</v>
      </c>
      <c r="AC505" s="362">
        <v>394</v>
      </c>
      <c r="AD505" s="7"/>
    </row>
    <row r="506" spans="1:30" s="8" customFormat="1" ht="31.9" customHeight="1" outlineLevel="1" x14ac:dyDescent="0.2">
      <c r="A506" s="352" t="s">
        <v>700</v>
      </c>
      <c r="B506" s="363" t="s">
        <v>386</v>
      </c>
      <c r="C506" s="286">
        <f t="shared" si="221"/>
        <v>3.44</v>
      </c>
      <c r="D506" s="361">
        <f t="shared" si="214"/>
        <v>859</v>
      </c>
      <c r="E506" s="311">
        <v>0</v>
      </c>
      <c r="F506" s="260">
        <f t="shared" si="216"/>
        <v>0</v>
      </c>
      <c r="G506" s="361">
        <v>0</v>
      </c>
      <c r="H506" s="361">
        <v>0</v>
      </c>
      <c r="I506" s="361">
        <v>0</v>
      </c>
      <c r="J506" s="311">
        <v>0</v>
      </c>
      <c r="K506" s="260">
        <f t="shared" si="215"/>
        <v>0</v>
      </c>
      <c r="L506" s="361">
        <v>0</v>
      </c>
      <c r="M506" s="361">
        <v>0</v>
      </c>
      <c r="N506" s="361">
        <v>0</v>
      </c>
      <c r="O506" s="29">
        <v>0</v>
      </c>
      <c r="P506" s="361">
        <f t="shared" si="217"/>
        <v>0</v>
      </c>
      <c r="Q506" s="361">
        <v>0</v>
      </c>
      <c r="R506" s="361">
        <v>0</v>
      </c>
      <c r="S506" s="362">
        <v>0</v>
      </c>
      <c r="T506" s="29">
        <v>0</v>
      </c>
      <c r="U506" s="361">
        <f t="shared" si="218"/>
        <v>0</v>
      </c>
      <c r="V506" s="361">
        <v>0</v>
      </c>
      <c r="W506" s="361">
        <v>0</v>
      </c>
      <c r="X506" s="362">
        <v>0</v>
      </c>
      <c r="Y506" s="29">
        <f>ROUND(3.435,2)</f>
        <v>3.44</v>
      </c>
      <c r="Z506" s="361">
        <f t="shared" si="219"/>
        <v>859</v>
      </c>
      <c r="AA506" s="361">
        <v>0</v>
      </c>
      <c r="AB506" s="361">
        <v>0</v>
      </c>
      <c r="AC506" s="362">
        <v>859</v>
      </c>
      <c r="AD506" s="7"/>
    </row>
    <row r="507" spans="1:30" s="8" customFormat="1" ht="23.45" customHeight="1" outlineLevel="1" x14ac:dyDescent="0.2">
      <c r="A507" s="352" t="s">
        <v>701</v>
      </c>
      <c r="B507" s="372" t="s">
        <v>372</v>
      </c>
      <c r="C507" s="286">
        <f t="shared" si="221"/>
        <v>2.5</v>
      </c>
      <c r="D507" s="361">
        <f t="shared" si="214"/>
        <v>625</v>
      </c>
      <c r="E507" s="311">
        <v>0</v>
      </c>
      <c r="F507" s="260">
        <f t="shared" si="216"/>
        <v>0</v>
      </c>
      <c r="G507" s="361">
        <v>0</v>
      </c>
      <c r="H507" s="361">
        <v>0</v>
      </c>
      <c r="I507" s="361">
        <v>0</v>
      </c>
      <c r="J507" s="311">
        <v>0</v>
      </c>
      <c r="K507" s="260">
        <f t="shared" si="215"/>
        <v>0</v>
      </c>
      <c r="L507" s="361">
        <v>0</v>
      </c>
      <c r="M507" s="361">
        <v>0</v>
      </c>
      <c r="N507" s="361">
        <v>0</v>
      </c>
      <c r="O507" s="29">
        <v>0</v>
      </c>
      <c r="P507" s="361">
        <f t="shared" si="217"/>
        <v>0</v>
      </c>
      <c r="Q507" s="361">
        <v>0</v>
      </c>
      <c r="R507" s="361">
        <v>0</v>
      </c>
      <c r="S507" s="362">
        <v>0</v>
      </c>
      <c r="T507" s="29">
        <v>0</v>
      </c>
      <c r="U507" s="361">
        <f t="shared" si="218"/>
        <v>0</v>
      </c>
      <c r="V507" s="361">
        <v>0</v>
      </c>
      <c r="W507" s="361">
        <v>0</v>
      </c>
      <c r="X507" s="362">
        <v>0</v>
      </c>
      <c r="Y507" s="29">
        <v>2.5</v>
      </c>
      <c r="Z507" s="361">
        <f t="shared" si="219"/>
        <v>625</v>
      </c>
      <c r="AA507" s="361">
        <v>0</v>
      </c>
      <c r="AB507" s="361">
        <v>0</v>
      </c>
      <c r="AC507" s="362">
        <v>625</v>
      </c>
      <c r="AD507" s="7"/>
    </row>
    <row r="508" spans="1:30" s="8" customFormat="1" ht="32.450000000000003" customHeight="1" x14ac:dyDescent="0.2">
      <c r="A508" s="319"/>
      <c r="B508" s="373" t="s">
        <v>441</v>
      </c>
      <c r="C508" s="354">
        <f t="shared" ref="C508:J508" si="222">SUM(C488,C437,C430,C424)</f>
        <v>170.62</v>
      </c>
      <c r="D508" s="262">
        <f t="shared" si="222"/>
        <v>49144</v>
      </c>
      <c r="E508" s="354">
        <f t="shared" si="222"/>
        <v>0</v>
      </c>
      <c r="F508" s="262">
        <f t="shared" si="222"/>
        <v>0</v>
      </c>
      <c r="G508" s="262">
        <f t="shared" si="222"/>
        <v>0</v>
      </c>
      <c r="H508" s="262">
        <f t="shared" si="222"/>
        <v>0</v>
      </c>
      <c r="I508" s="262">
        <f t="shared" si="222"/>
        <v>0</v>
      </c>
      <c r="J508" s="354">
        <f t="shared" si="222"/>
        <v>0</v>
      </c>
      <c r="K508" s="262">
        <f t="shared" si="215"/>
        <v>0</v>
      </c>
      <c r="L508" s="262">
        <f>SUM(L488,L437,L430,L424)</f>
        <v>0</v>
      </c>
      <c r="M508" s="262">
        <f>SUM(M488,M437,M430,M424)</f>
        <v>0</v>
      </c>
      <c r="N508" s="262">
        <f>SUM(N488,N437,N430,N424)</f>
        <v>0</v>
      </c>
      <c r="O508" s="354">
        <f>SUM(O488,O437,O430,O424)</f>
        <v>0</v>
      </c>
      <c r="P508" s="262">
        <f t="shared" si="217"/>
        <v>0</v>
      </c>
      <c r="Q508" s="262">
        <f>SUM(Q488,Q437,Q430,Q424)</f>
        <v>0</v>
      </c>
      <c r="R508" s="262">
        <f>SUM(R488,R437,R430,R424)</f>
        <v>0</v>
      </c>
      <c r="S508" s="262">
        <f>SUM(S488,S437,S430,S424)</f>
        <v>0</v>
      </c>
      <c r="T508" s="354">
        <f>SUM(T488,T437,T430,T424)</f>
        <v>134.99</v>
      </c>
      <c r="U508" s="262">
        <f t="shared" si="218"/>
        <v>40241</v>
      </c>
      <c r="V508" s="262">
        <f t="shared" ref="V508:AC508" si="223">SUM(V488,V437,V430,V424)</f>
        <v>0</v>
      </c>
      <c r="W508" s="262">
        <f t="shared" si="223"/>
        <v>0</v>
      </c>
      <c r="X508" s="262">
        <f t="shared" si="223"/>
        <v>40241</v>
      </c>
      <c r="Y508" s="354">
        <f t="shared" si="223"/>
        <v>35.629999999999995</v>
      </c>
      <c r="Z508" s="262">
        <f t="shared" si="223"/>
        <v>8903</v>
      </c>
      <c r="AA508" s="262">
        <f t="shared" si="223"/>
        <v>0</v>
      </c>
      <c r="AB508" s="262">
        <f t="shared" si="223"/>
        <v>0</v>
      </c>
      <c r="AC508" s="262">
        <f t="shared" si="223"/>
        <v>8903</v>
      </c>
      <c r="AD508" s="7"/>
    </row>
    <row r="509" spans="1:30" s="8" customFormat="1" ht="126.75" hidden="1" customHeight="1" x14ac:dyDescent="0.2">
      <c r="A509" s="319"/>
      <c r="B509" s="363" t="s">
        <v>440</v>
      </c>
      <c r="C509" s="286">
        <f t="shared" si="221"/>
        <v>0</v>
      </c>
      <c r="D509" s="361">
        <f t="shared" si="214"/>
        <v>0</v>
      </c>
      <c r="E509" s="322"/>
      <c r="F509" s="260">
        <f t="shared" si="216"/>
        <v>0</v>
      </c>
      <c r="G509" s="369"/>
      <c r="H509" s="369"/>
      <c r="I509" s="369"/>
      <c r="J509" s="322"/>
      <c r="K509" s="260">
        <f t="shared" si="215"/>
        <v>0</v>
      </c>
      <c r="L509" s="369"/>
      <c r="M509" s="369"/>
      <c r="N509" s="369"/>
      <c r="O509" s="374">
        <v>0</v>
      </c>
      <c r="P509" s="260">
        <f t="shared" si="217"/>
        <v>0</v>
      </c>
      <c r="Q509" s="369"/>
      <c r="R509" s="369"/>
      <c r="S509" s="366">
        <v>0</v>
      </c>
      <c r="T509" s="374">
        <v>0</v>
      </c>
      <c r="U509" s="260">
        <f t="shared" si="218"/>
        <v>0</v>
      </c>
      <c r="V509" s="369"/>
      <c r="W509" s="369"/>
      <c r="X509" s="366">
        <v>0</v>
      </c>
      <c r="Y509" s="374">
        <v>0</v>
      </c>
      <c r="Z509" s="260">
        <f t="shared" si="219"/>
        <v>0</v>
      </c>
      <c r="AA509" s="361">
        <v>0</v>
      </c>
      <c r="AB509" s="361">
        <v>0</v>
      </c>
      <c r="AC509" s="366">
        <v>0</v>
      </c>
      <c r="AD509" s="7"/>
    </row>
    <row r="510" spans="1:30" s="8" customFormat="1" ht="57" customHeight="1" x14ac:dyDescent="0.2">
      <c r="A510" s="375"/>
      <c r="B510" s="351" t="s">
        <v>702</v>
      </c>
      <c r="C510" s="322">
        <f>C422+C508</f>
        <v>505.36000000000007</v>
      </c>
      <c r="D510" s="254">
        <f t="shared" ref="D510:H510" si="224">D422+D508</f>
        <v>133018</v>
      </c>
      <c r="E510" s="322">
        <f t="shared" si="224"/>
        <v>14.67</v>
      </c>
      <c r="F510" s="254">
        <f t="shared" si="224"/>
        <v>3294</v>
      </c>
      <c r="G510" s="254">
        <f t="shared" si="224"/>
        <v>0</v>
      </c>
      <c r="H510" s="254">
        <f t="shared" si="224"/>
        <v>0</v>
      </c>
      <c r="I510" s="254">
        <f>I422+I508</f>
        <v>3294</v>
      </c>
      <c r="J510" s="322">
        <f>J422+J508</f>
        <v>0</v>
      </c>
      <c r="K510" s="254">
        <f t="shared" ref="K510:AC510" si="225">K422+K508</f>
        <v>0</v>
      </c>
      <c r="L510" s="254">
        <f t="shared" si="225"/>
        <v>0</v>
      </c>
      <c r="M510" s="254">
        <f t="shared" si="225"/>
        <v>0</v>
      </c>
      <c r="N510" s="254">
        <f t="shared" si="225"/>
        <v>0</v>
      </c>
      <c r="O510" s="322">
        <f t="shared" si="225"/>
        <v>0</v>
      </c>
      <c r="P510" s="254">
        <f t="shared" si="225"/>
        <v>0</v>
      </c>
      <c r="Q510" s="254">
        <f t="shared" si="225"/>
        <v>0</v>
      </c>
      <c r="R510" s="254">
        <f t="shared" si="225"/>
        <v>0</v>
      </c>
      <c r="S510" s="254">
        <f t="shared" si="225"/>
        <v>0</v>
      </c>
      <c r="T510" s="322">
        <f t="shared" si="225"/>
        <v>319.52000000000004</v>
      </c>
      <c r="U510" s="254">
        <f t="shared" si="225"/>
        <v>86961</v>
      </c>
      <c r="V510" s="254">
        <f t="shared" si="225"/>
        <v>0</v>
      </c>
      <c r="W510" s="254">
        <f t="shared" si="225"/>
        <v>0</v>
      </c>
      <c r="X510" s="254">
        <f t="shared" si="225"/>
        <v>86961</v>
      </c>
      <c r="Y510" s="322">
        <f t="shared" si="225"/>
        <v>171.16999999999996</v>
      </c>
      <c r="Z510" s="254">
        <f t="shared" si="225"/>
        <v>42763</v>
      </c>
      <c r="AA510" s="254">
        <f t="shared" si="225"/>
        <v>0</v>
      </c>
      <c r="AB510" s="254">
        <f t="shared" si="225"/>
        <v>0</v>
      </c>
      <c r="AC510" s="254">
        <f t="shared" si="225"/>
        <v>42763</v>
      </c>
      <c r="AD510" s="7"/>
    </row>
    <row r="511" spans="1:30" s="8" customFormat="1" ht="31.15" customHeight="1" x14ac:dyDescent="0.2">
      <c r="A511" s="431" t="s">
        <v>1250</v>
      </c>
      <c r="B511" s="432"/>
      <c r="C511" s="432"/>
      <c r="D511" s="432"/>
      <c r="E511" s="432"/>
      <c r="F511" s="432"/>
      <c r="G511" s="432"/>
      <c r="H511" s="432"/>
      <c r="I511" s="432"/>
      <c r="J511" s="432"/>
      <c r="K511" s="432"/>
      <c r="L511" s="432"/>
      <c r="M511" s="432"/>
      <c r="N511" s="432"/>
      <c r="O511" s="432"/>
      <c r="P511" s="432"/>
      <c r="Q511" s="432"/>
      <c r="R511" s="432"/>
      <c r="S511" s="432"/>
      <c r="T511" s="432"/>
      <c r="U511" s="432"/>
      <c r="V511" s="432"/>
      <c r="W511" s="432"/>
      <c r="X511" s="432"/>
      <c r="Y511" s="432"/>
      <c r="Z511" s="432"/>
      <c r="AA511" s="432"/>
      <c r="AB511" s="432"/>
      <c r="AC511" s="433"/>
      <c r="AD511" s="7"/>
    </row>
    <row r="512" spans="1:30" s="8" customFormat="1" ht="47.25" customHeight="1" x14ac:dyDescent="0.2">
      <c r="A512" s="319" t="s">
        <v>1181</v>
      </c>
      <c r="B512" s="372" t="s">
        <v>1249</v>
      </c>
      <c r="C512" s="311">
        <f t="shared" ref="C512" si="226">E512+J512+O512+T512+Y512</f>
        <v>0</v>
      </c>
      <c r="D512" s="249">
        <f t="shared" ref="D512" si="227">F512+K512+P512+U512+Z512</f>
        <v>155462</v>
      </c>
      <c r="E512" s="356">
        <v>0</v>
      </c>
      <c r="F512" s="263">
        <f t="shared" ref="F512" si="228">G512+H512+I512</f>
        <v>155462</v>
      </c>
      <c r="G512" s="263">
        <v>0</v>
      </c>
      <c r="H512" s="263">
        <v>148000</v>
      </c>
      <c r="I512" s="263">
        <v>7462</v>
      </c>
      <c r="J512" s="311">
        <v>0</v>
      </c>
      <c r="K512" s="361">
        <f t="shared" ref="K512" si="229">SUM(L512:N512)</f>
        <v>0</v>
      </c>
      <c r="L512" s="361">
        <v>0</v>
      </c>
      <c r="M512" s="361">
        <v>0</v>
      </c>
      <c r="N512" s="361">
        <v>0</v>
      </c>
      <c r="O512" s="311">
        <v>0</v>
      </c>
      <c r="P512" s="361">
        <f t="shared" ref="P512" si="230">Q512+R512+S512</f>
        <v>0</v>
      </c>
      <c r="Q512" s="361">
        <v>0</v>
      </c>
      <c r="R512" s="361">
        <v>0</v>
      </c>
      <c r="S512" s="361">
        <v>0</v>
      </c>
      <c r="T512" s="311">
        <v>0</v>
      </c>
      <c r="U512" s="361">
        <f t="shared" ref="U512" si="231">V512+W512+X512</f>
        <v>0</v>
      </c>
      <c r="V512" s="361">
        <v>0</v>
      </c>
      <c r="W512" s="361">
        <v>0</v>
      </c>
      <c r="X512" s="361">
        <v>0</v>
      </c>
      <c r="Y512" s="311">
        <v>0</v>
      </c>
      <c r="Z512" s="361">
        <f t="shared" ref="Z512" si="232">AA512+AB512+AC512</f>
        <v>0</v>
      </c>
      <c r="AA512" s="361">
        <v>0</v>
      </c>
      <c r="AB512" s="361">
        <v>0</v>
      </c>
      <c r="AC512" s="361">
        <v>0</v>
      </c>
      <c r="AD512" s="7"/>
    </row>
    <row r="513" spans="1:30" s="8" customFormat="1" ht="82.9" customHeight="1" x14ac:dyDescent="0.2">
      <c r="A513" s="375"/>
      <c r="B513" s="351" t="s">
        <v>1251</v>
      </c>
      <c r="C513" s="322">
        <f t="shared" ref="C513" si="233">E513+J513+O513+T513+Y513</f>
        <v>0</v>
      </c>
      <c r="D513" s="250">
        <f t="shared" ref="D513" si="234">F513+K513+P513+U513+Z513</f>
        <v>155462</v>
      </c>
      <c r="E513" s="322">
        <v>0</v>
      </c>
      <c r="F513" s="250">
        <f t="shared" ref="F513" si="235">G513+H513+I513</f>
        <v>155462</v>
      </c>
      <c r="G513" s="250">
        <v>0</v>
      </c>
      <c r="H513" s="250">
        <f>H512</f>
        <v>148000</v>
      </c>
      <c r="I513" s="250">
        <f>I512</f>
        <v>7462</v>
      </c>
      <c r="J513" s="322">
        <v>0</v>
      </c>
      <c r="K513" s="250">
        <f t="shared" ref="K513" si="236">SUM(L513:N513)</f>
        <v>0</v>
      </c>
      <c r="L513" s="250">
        <v>0</v>
      </c>
      <c r="M513" s="250">
        <v>0</v>
      </c>
      <c r="N513" s="250">
        <v>0</v>
      </c>
      <c r="O513" s="322">
        <v>0</v>
      </c>
      <c r="P513" s="250">
        <f t="shared" ref="P513" si="237">Q513+R513+S513</f>
        <v>0</v>
      </c>
      <c r="Q513" s="250">
        <v>0</v>
      </c>
      <c r="R513" s="250">
        <v>0</v>
      </c>
      <c r="S513" s="250">
        <v>0</v>
      </c>
      <c r="T513" s="322">
        <v>0</v>
      </c>
      <c r="U513" s="250">
        <f t="shared" ref="U513" si="238">V513+W513+X513</f>
        <v>0</v>
      </c>
      <c r="V513" s="250">
        <v>0</v>
      </c>
      <c r="W513" s="250">
        <v>0</v>
      </c>
      <c r="X513" s="250">
        <v>0</v>
      </c>
      <c r="Y513" s="322">
        <v>0</v>
      </c>
      <c r="Z513" s="250">
        <f t="shared" ref="Z513" si="239">AA513+AB513+AC513</f>
        <v>0</v>
      </c>
      <c r="AA513" s="250">
        <v>0</v>
      </c>
      <c r="AB513" s="250">
        <v>0</v>
      </c>
      <c r="AC513" s="250">
        <v>0</v>
      </c>
      <c r="AD513" s="7"/>
    </row>
    <row r="514" spans="1:30" ht="33.6" customHeight="1" x14ac:dyDescent="0.2">
      <c r="A514" s="275"/>
      <c r="B514" s="274" t="s">
        <v>222</v>
      </c>
      <c r="C514" s="376"/>
      <c r="D514" s="248">
        <f t="shared" ref="D514:AC514" si="240">D47+D65+D86+D108+D256+D260+D510+D513</f>
        <v>8911202.8000000007</v>
      </c>
      <c r="E514" s="317">
        <f t="shared" si="240"/>
        <v>438.63</v>
      </c>
      <c r="F514" s="248">
        <f t="shared" si="240"/>
        <v>1585416</v>
      </c>
      <c r="G514" s="248">
        <f t="shared" si="240"/>
        <v>126793</v>
      </c>
      <c r="H514" s="248">
        <f t="shared" si="240"/>
        <v>1349108</v>
      </c>
      <c r="I514" s="248">
        <f t="shared" si="240"/>
        <v>109515</v>
      </c>
      <c r="J514" s="317">
        <f t="shared" si="240"/>
        <v>30.036000000000001</v>
      </c>
      <c r="K514" s="248">
        <f t="shared" si="240"/>
        <v>886240.9</v>
      </c>
      <c r="L514" s="248">
        <f t="shared" si="240"/>
        <v>38243</v>
      </c>
      <c r="M514" s="248">
        <f t="shared" si="240"/>
        <v>714417.9</v>
      </c>
      <c r="N514" s="248">
        <f t="shared" si="240"/>
        <v>133580</v>
      </c>
      <c r="O514" s="317">
        <f t="shared" si="240"/>
        <v>27.479999999999997</v>
      </c>
      <c r="P514" s="248">
        <f t="shared" si="240"/>
        <v>832698.5</v>
      </c>
      <c r="Q514" s="248">
        <f t="shared" si="240"/>
        <v>0</v>
      </c>
      <c r="R514" s="248">
        <f t="shared" si="240"/>
        <v>700000</v>
      </c>
      <c r="S514" s="248">
        <f t="shared" si="240"/>
        <v>132698.5</v>
      </c>
      <c r="T514" s="317">
        <f t="shared" si="240"/>
        <v>1276.021</v>
      </c>
      <c r="U514" s="248">
        <f t="shared" si="240"/>
        <v>3098872</v>
      </c>
      <c r="V514" s="248">
        <f t="shared" si="240"/>
        <v>0</v>
      </c>
      <c r="W514" s="248">
        <f t="shared" si="240"/>
        <v>2750603</v>
      </c>
      <c r="X514" s="248">
        <f t="shared" si="240"/>
        <v>348269</v>
      </c>
      <c r="Y514" s="317">
        <f t="shared" si="240"/>
        <v>1035.4850000000001</v>
      </c>
      <c r="Z514" s="248">
        <f t="shared" si="240"/>
        <v>2507975</v>
      </c>
      <c r="AA514" s="248">
        <f t="shared" si="240"/>
        <v>0</v>
      </c>
      <c r="AB514" s="248">
        <f t="shared" si="240"/>
        <v>2319069</v>
      </c>
      <c r="AC514" s="248">
        <f t="shared" si="240"/>
        <v>188906</v>
      </c>
    </row>
    <row r="515" spans="1:30" ht="52.15" customHeight="1" x14ac:dyDescent="0.2">
      <c r="M515" s="379"/>
      <c r="N515" s="379"/>
      <c r="O515" s="380"/>
      <c r="P515" s="381"/>
      <c r="Q515" s="381"/>
    </row>
  </sheetData>
  <mergeCells count="23">
    <mergeCell ref="A511:AC511"/>
    <mergeCell ref="A261:AC261"/>
    <mergeCell ref="A109:AC109"/>
    <mergeCell ref="E4:AC4"/>
    <mergeCell ref="A48:AC48"/>
    <mergeCell ref="A8:AC8"/>
    <mergeCell ref="A66:AC66"/>
    <mergeCell ref="A87:AC87"/>
    <mergeCell ref="D4:D6"/>
    <mergeCell ref="A4:A6"/>
    <mergeCell ref="A257:AC257"/>
    <mergeCell ref="A100:AC100"/>
    <mergeCell ref="A227:AC227"/>
    <mergeCell ref="Z2:AC2"/>
    <mergeCell ref="Z1:AC1"/>
    <mergeCell ref="T5:X5"/>
    <mergeCell ref="B4:B6"/>
    <mergeCell ref="O5:S5"/>
    <mergeCell ref="E5:I5"/>
    <mergeCell ref="Y5:AC5"/>
    <mergeCell ref="C4:C6"/>
    <mergeCell ref="A3:AC3"/>
    <mergeCell ref="J5:N5"/>
  </mergeCells>
  <phoneticPr fontId="1" type="noConversion"/>
  <printOptions horizontalCentered="1"/>
  <pageMargins left="0.19685039370078741" right="0.19685039370078741" top="0.59055118110236227" bottom="0.39370078740157483" header="0.19685039370078741" footer="0.19685039370078741"/>
  <pageSetup paperSize="9" scale="47" fitToHeight="0" orientation="landscape" r:id="rId1"/>
  <headerFooter alignWithMargins="0"/>
  <rowBreaks count="15" manualBreakCount="15">
    <brk id="17" max="28" man="1"/>
    <brk id="28" max="28" man="1"/>
    <brk id="43" max="28" man="1"/>
    <brk id="54" max="28" man="1"/>
    <brk id="63" max="28" man="1"/>
    <brk id="74" max="28" man="1"/>
    <brk id="82" max="28" man="1"/>
    <brk id="94" max="28" man="1"/>
    <brk id="104" max="28" man="1"/>
    <brk id="163" max="28" man="1"/>
    <brk id="178" max="28" man="1"/>
    <brk id="193" max="28" man="1"/>
    <brk id="206" max="28" man="1"/>
    <brk id="219" max="28" man="1"/>
    <brk id="237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FD83"/>
  <sheetViews>
    <sheetView view="pageBreakPreview" topLeftCell="A73" zoomScale="60" workbookViewId="0">
      <selection activeCell="T41" sqref="T41"/>
    </sheetView>
  </sheetViews>
  <sheetFormatPr defaultColWidth="9.140625" defaultRowHeight="42" customHeight="1" outlineLevelRow="1" x14ac:dyDescent="0.2"/>
  <cols>
    <col min="1" max="1" width="6.42578125" style="3" customWidth="1"/>
    <col min="2" max="2" width="21.5703125" style="21" customWidth="1"/>
    <col min="3" max="3" width="18.28515625" style="22" customWidth="1"/>
    <col min="4" max="4" width="10.28515625" style="3" customWidth="1"/>
    <col min="5" max="5" width="14.28515625" style="1" customWidth="1"/>
    <col min="6" max="6" width="12.85546875" style="3" customWidth="1"/>
    <col min="7" max="7" width="13.85546875" style="3" customWidth="1"/>
    <col min="8" max="8" width="13.5703125" style="3" customWidth="1"/>
    <col min="9" max="9" width="9.85546875" style="3" customWidth="1"/>
    <col min="10" max="10" width="14.85546875" style="1" customWidth="1"/>
    <col min="11" max="11" width="12.140625" style="3" customWidth="1"/>
    <col min="12" max="12" width="13" style="3" customWidth="1"/>
    <col min="13" max="13" width="10.7109375" style="3" customWidth="1"/>
    <col min="14" max="14" width="9.85546875" style="3" customWidth="1"/>
    <col min="15" max="15" width="13.85546875" style="1" customWidth="1"/>
    <col min="16" max="16" width="11.85546875" style="3" customWidth="1"/>
    <col min="17" max="17" width="13.7109375" style="3" customWidth="1"/>
    <col min="18" max="18" width="8.7109375" style="3" customWidth="1"/>
    <col min="19" max="19" width="9.42578125" style="3" customWidth="1"/>
    <col min="20" max="20" width="14.42578125" style="1" customWidth="1"/>
    <col min="21" max="21" width="14.42578125" style="3" customWidth="1"/>
    <col min="22" max="22" width="16" style="3" customWidth="1"/>
    <col min="23" max="23" width="8.5703125" style="3" customWidth="1"/>
    <col min="24" max="24" width="9.28515625" style="3" customWidth="1"/>
    <col min="25" max="25" width="13.85546875" style="1" customWidth="1"/>
    <col min="26" max="26" width="13" style="3" customWidth="1"/>
    <col min="27" max="27" width="13.85546875" style="3" customWidth="1"/>
    <col min="28" max="28" width="8.42578125" style="3" customWidth="1"/>
    <col min="29" max="29" width="8.7109375" style="3" customWidth="1"/>
    <col min="30" max="30" width="15.7109375" style="37" customWidth="1"/>
    <col min="31" max="31" width="16.28515625" style="3" bestFit="1" customWidth="1"/>
    <col min="32" max="32" width="14.7109375" style="3" customWidth="1"/>
    <col min="33" max="33" width="16.28515625" style="3" customWidth="1"/>
    <col min="34" max="34" width="9.28515625" style="3" bestFit="1" customWidth="1"/>
    <col min="35" max="16384" width="9.140625" style="10"/>
  </cols>
  <sheetData>
    <row r="1" spans="1:34" s="14" customFormat="1" ht="82.9" customHeight="1" x14ac:dyDescent="0.25">
      <c r="A1" s="17"/>
      <c r="B1" s="23"/>
      <c r="C1" s="24"/>
      <c r="D1" s="25"/>
      <c r="E1" s="26"/>
      <c r="F1" s="27"/>
      <c r="G1" s="27"/>
      <c r="H1" s="27"/>
      <c r="I1" s="27"/>
      <c r="J1" s="77"/>
      <c r="K1" s="78"/>
      <c r="L1" s="78"/>
      <c r="M1" s="78"/>
      <c r="N1" s="78"/>
      <c r="O1" s="15"/>
      <c r="P1" s="15"/>
      <c r="Q1" s="28"/>
      <c r="R1" s="15"/>
      <c r="S1" s="15"/>
      <c r="T1" s="15"/>
      <c r="U1" s="15"/>
      <c r="V1" s="15"/>
      <c r="W1" s="15"/>
      <c r="X1" s="15"/>
      <c r="Y1" s="16"/>
      <c r="Z1" s="15"/>
      <c r="AA1" s="402" t="s">
        <v>1012</v>
      </c>
      <c r="AB1" s="402"/>
      <c r="AC1" s="402"/>
      <c r="AD1" s="402"/>
      <c r="AE1" s="27"/>
      <c r="AF1" s="27"/>
      <c r="AG1" s="27"/>
      <c r="AH1" s="27"/>
    </row>
    <row r="2" spans="1:34" s="14" customFormat="1" ht="120" customHeight="1" x14ac:dyDescent="0.25">
      <c r="A2" s="17"/>
      <c r="B2" s="23"/>
      <c r="C2" s="24"/>
      <c r="D2" s="25"/>
      <c r="E2" s="26"/>
      <c r="F2" s="27"/>
      <c r="G2" s="27"/>
      <c r="H2" s="27"/>
      <c r="I2" s="27"/>
      <c r="J2" s="77"/>
      <c r="K2" s="78"/>
      <c r="L2" s="78"/>
      <c r="M2" s="78"/>
      <c r="N2" s="78"/>
      <c r="O2" s="15"/>
      <c r="P2" s="15"/>
      <c r="Q2" s="28"/>
      <c r="R2" s="15"/>
      <c r="S2" s="15"/>
      <c r="T2" s="15"/>
      <c r="U2" s="15"/>
      <c r="V2" s="15"/>
      <c r="W2" s="15"/>
      <c r="X2" s="15"/>
      <c r="Y2" s="16"/>
      <c r="Z2" s="15"/>
      <c r="AA2" s="403" t="s">
        <v>830</v>
      </c>
      <c r="AB2" s="403"/>
      <c r="AC2" s="403"/>
      <c r="AD2" s="403"/>
      <c r="AE2" s="27"/>
      <c r="AF2" s="27"/>
      <c r="AG2" s="27"/>
      <c r="AH2" s="27"/>
    </row>
    <row r="3" spans="1:34" ht="42" customHeight="1" x14ac:dyDescent="0.4">
      <c r="A3" s="5"/>
      <c r="B3" s="460" t="s">
        <v>1194</v>
      </c>
      <c r="C3" s="460"/>
      <c r="D3" s="460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</row>
    <row r="4" spans="1:34" ht="42" customHeight="1" x14ac:dyDescent="0.2">
      <c r="A4" s="414" t="s">
        <v>214</v>
      </c>
      <c r="B4" s="400" t="s">
        <v>213</v>
      </c>
      <c r="C4" s="400" t="s">
        <v>212</v>
      </c>
      <c r="D4" s="400" t="s">
        <v>229</v>
      </c>
      <c r="E4" s="464" t="s">
        <v>211</v>
      </c>
      <c r="F4" s="464"/>
      <c r="G4" s="464"/>
      <c r="H4" s="464"/>
      <c r="I4" s="464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19" t="s">
        <v>210</v>
      </c>
    </row>
    <row r="5" spans="1:34" ht="42" customHeight="1" x14ac:dyDescent="0.2">
      <c r="A5" s="414"/>
      <c r="B5" s="449"/>
      <c r="C5" s="400"/>
      <c r="D5" s="463"/>
      <c r="E5" s="466" t="s">
        <v>209</v>
      </c>
      <c r="F5" s="466"/>
      <c r="G5" s="466"/>
      <c r="H5" s="466"/>
      <c r="I5" s="466"/>
      <c r="J5" s="466" t="s">
        <v>208</v>
      </c>
      <c r="K5" s="466"/>
      <c r="L5" s="466"/>
      <c r="M5" s="466"/>
      <c r="N5" s="466"/>
      <c r="O5" s="466" t="s">
        <v>207</v>
      </c>
      <c r="P5" s="466"/>
      <c r="Q5" s="466"/>
      <c r="R5" s="466"/>
      <c r="S5" s="466"/>
      <c r="T5" s="466" t="s">
        <v>206</v>
      </c>
      <c r="U5" s="466"/>
      <c r="V5" s="466"/>
      <c r="W5" s="466"/>
      <c r="X5" s="466"/>
      <c r="Y5" s="466" t="s">
        <v>205</v>
      </c>
      <c r="Z5" s="466"/>
      <c r="AA5" s="466"/>
      <c r="AB5" s="466"/>
      <c r="AC5" s="466"/>
      <c r="AD5" s="419"/>
    </row>
    <row r="6" spans="1:34" ht="57.6" customHeight="1" x14ac:dyDescent="0.2">
      <c r="A6" s="414"/>
      <c r="B6" s="449"/>
      <c r="C6" s="400"/>
      <c r="D6" s="463"/>
      <c r="E6" s="18" t="s">
        <v>204</v>
      </c>
      <c r="F6" s="86" t="s">
        <v>705</v>
      </c>
      <c r="G6" s="86" t="s">
        <v>706</v>
      </c>
      <c r="H6" s="86" t="s">
        <v>216</v>
      </c>
      <c r="I6" s="86" t="s">
        <v>215</v>
      </c>
      <c r="J6" s="18" t="s">
        <v>204</v>
      </c>
      <c r="K6" s="86" t="s">
        <v>705</v>
      </c>
      <c r="L6" s="86" t="s">
        <v>706</v>
      </c>
      <c r="M6" s="86" t="s">
        <v>216</v>
      </c>
      <c r="N6" s="86" t="s">
        <v>215</v>
      </c>
      <c r="O6" s="18" t="s">
        <v>204</v>
      </c>
      <c r="P6" s="86" t="s">
        <v>705</v>
      </c>
      <c r="Q6" s="86" t="s">
        <v>706</v>
      </c>
      <c r="R6" s="86" t="s">
        <v>216</v>
      </c>
      <c r="S6" s="86" t="s">
        <v>215</v>
      </c>
      <c r="T6" s="18" t="s">
        <v>204</v>
      </c>
      <c r="U6" s="86" t="s">
        <v>705</v>
      </c>
      <c r="V6" s="86" t="s">
        <v>706</v>
      </c>
      <c r="W6" s="86" t="s">
        <v>216</v>
      </c>
      <c r="X6" s="86" t="s">
        <v>215</v>
      </c>
      <c r="Y6" s="18" t="s">
        <v>204</v>
      </c>
      <c r="Z6" s="86" t="s">
        <v>705</v>
      </c>
      <c r="AA6" s="86" t="s">
        <v>706</v>
      </c>
      <c r="AB6" s="86" t="s">
        <v>216</v>
      </c>
      <c r="AC6" s="86" t="s">
        <v>215</v>
      </c>
      <c r="AD6" s="419"/>
      <c r="AE6" s="86" t="s">
        <v>203</v>
      </c>
      <c r="AF6" s="86" t="s">
        <v>202</v>
      </c>
      <c r="AG6" s="86" t="s">
        <v>216</v>
      </c>
      <c r="AH6" s="86" t="s">
        <v>215</v>
      </c>
    </row>
    <row r="7" spans="1:34" s="13" customFormat="1" ht="25.15" customHeight="1" x14ac:dyDescent="0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  <c r="O7" s="30">
        <v>15</v>
      </c>
      <c r="P7" s="30">
        <v>16</v>
      </c>
      <c r="Q7" s="30">
        <v>17</v>
      </c>
      <c r="R7" s="30">
        <v>18</v>
      </c>
      <c r="S7" s="30">
        <v>19</v>
      </c>
      <c r="T7" s="30">
        <v>20</v>
      </c>
      <c r="U7" s="30">
        <v>21</v>
      </c>
      <c r="V7" s="30">
        <v>22</v>
      </c>
      <c r="W7" s="30">
        <v>23</v>
      </c>
      <c r="X7" s="30">
        <v>24</v>
      </c>
      <c r="Y7" s="30">
        <v>25</v>
      </c>
      <c r="Z7" s="30">
        <v>26</v>
      </c>
      <c r="AA7" s="30">
        <v>27</v>
      </c>
      <c r="AB7" s="30">
        <v>28</v>
      </c>
      <c r="AC7" s="30">
        <v>29</v>
      </c>
      <c r="AD7" s="30">
        <v>30</v>
      </c>
      <c r="AE7" s="79"/>
      <c r="AF7" s="79"/>
      <c r="AG7" s="79"/>
      <c r="AH7" s="79"/>
    </row>
    <row r="8" spans="1:34" s="13" customFormat="1" ht="33" customHeight="1" x14ac:dyDescent="0.25">
      <c r="A8" s="451" t="s">
        <v>230</v>
      </c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451"/>
      <c r="AC8" s="451"/>
      <c r="AD8" s="451"/>
      <c r="AE8" s="79"/>
      <c r="AF8" s="79"/>
      <c r="AG8" s="79"/>
      <c r="AH8" s="79"/>
    </row>
    <row r="9" spans="1:34" s="19" customFormat="1" ht="34.9" customHeight="1" x14ac:dyDescent="0.25">
      <c r="A9" s="452" t="s">
        <v>199</v>
      </c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79"/>
      <c r="AF9" s="79"/>
      <c r="AG9" s="79"/>
      <c r="AH9" s="79"/>
    </row>
    <row r="10" spans="1:34" s="14" customFormat="1" ht="30" customHeight="1" x14ac:dyDescent="0.2">
      <c r="A10" s="455" t="s">
        <v>1193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  <c r="AE10" s="27"/>
      <c r="AF10" s="27"/>
      <c r="AG10" s="27"/>
      <c r="AH10" s="27"/>
    </row>
    <row r="11" spans="1:34" s="14" customFormat="1" ht="34.9" customHeight="1" outlineLevel="1" x14ac:dyDescent="0.2">
      <c r="A11" s="456" t="s">
        <v>198</v>
      </c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6"/>
      <c r="AD11" s="456"/>
      <c r="AE11" s="27"/>
      <c r="AF11" s="27"/>
      <c r="AG11" s="27"/>
      <c r="AH11" s="27"/>
    </row>
    <row r="12" spans="1:34" s="14" customFormat="1" ht="31.15" customHeight="1" outlineLevel="1" x14ac:dyDescent="0.2">
      <c r="A12" s="453" t="s">
        <v>197</v>
      </c>
      <c r="B12" s="453"/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27"/>
      <c r="AF12" s="27"/>
      <c r="AG12" s="27"/>
      <c r="AH12" s="27"/>
    </row>
    <row r="13" spans="1:34" s="22" customFormat="1" ht="88.15" customHeight="1" outlineLevel="1" x14ac:dyDescent="0.2">
      <c r="A13" s="239">
        <v>1</v>
      </c>
      <c r="B13" s="238" t="s">
        <v>972</v>
      </c>
      <c r="C13" s="86" t="s">
        <v>183</v>
      </c>
      <c r="D13" s="55" t="s">
        <v>961</v>
      </c>
      <c r="E13" s="49">
        <f t="shared" ref="E13:E18" si="0">F13+G13+H13+I13</f>
        <v>67429</v>
      </c>
      <c r="F13" s="62">
        <f>67429</f>
        <v>67429</v>
      </c>
      <c r="G13" s="62">
        <v>0</v>
      </c>
      <c r="H13" s="62">
        <v>0</v>
      </c>
      <c r="I13" s="62">
        <v>0</v>
      </c>
      <c r="J13" s="49">
        <f t="shared" ref="J13:J18" si="1">K13+L13+M13+N13</f>
        <v>29389</v>
      </c>
      <c r="K13" s="62">
        <v>29389</v>
      </c>
      <c r="L13" s="62">
        <v>0</v>
      </c>
      <c r="M13" s="62">
        <v>0</v>
      </c>
      <c r="N13" s="62">
        <v>0</v>
      </c>
      <c r="O13" s="49">
        <f>P13</f>
        <v>30758</v>
      </c>
      <c r="P13" s="62">
        <v>30758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49">
        <f t="shared" ref="AD13:AD18" si="2">E13+J13+O13+T13+Y13</f>
        <v>127576</v>
      </c>
    </row>
    <row r="14" spans="1:34" s="22" customFormat="1" ht="117" customHeight="1" outlineLevel="1" x14ac:dyDescent="0.2">
      <c r="A14" s="239">
        <v>2</v>
      </c>
      <c r="B14" s="238" t="s">
        <v>1438</v>
      </c>
      <c r="C14" s="86" t="s">
        <v>183</v>
      </c>
      <c r="D14" s="84">
        <v>2021</v>
      </c>
      <c r="E14" s="49">
        <f t="shared" si="0"/>
        <v>1235</v>
      </c>
      <c r="F14" s="62">
        <v>1235</v>
      </c>
      <c r="G14" s="62">
        <v>0</v>
      </c>
      <c r="H14" s="62">
        <v>0</v>
      </c>
      <c r="I14" s="62">
        <v>0</v>
      </c>
      <c r="J14" s="49">
        <f t="shared" si="1"/>
        <v>0</v>
      </c>
      <c r="K14" s="62">
        <v>0</v>
      </c>
      <c r="L14" s="62">
        <v>0</v>
      </c>
      <c r="M14" s="62">
        <v>0</v>
      </c>
      <c r="N14" s="62">
        <v>0</v>
      </c>
      <c r="O14" s="49">
        <f>P14+Q14+R14+S14</f>
        <v>0</v>
      </c>
      <c r="P14" s="62">
        <v>0</v>
      </c>
      <c r="Q14" s="62">
        <v>0</v>
      </c>
      <c r="R14" s="62">
        <v>0</v>
      </c>
      <c r="S14" s="62">
        <v>0</v>
      </c>
      <c r="T14" s="62">
        <f>U14+V14+W14+X14</f>
        <v>0</v>
      </c>
      <c r="U14" s="62">
        <v>0</v>
      </c>
      <c r="V14" s="62">
        <v>0</v>
      </c>
      <c r="W14" s="62">
        <v>0</v>
      </c>
      <c r="X14" s="62">
        <v>0</v>
      </c>
      <c r="Y14" s="62">
        <f>Z14+AA14+AB14+AC14</f>
        <v>0</v>
      </c>
      <c r="Z14" s="62">
        <v>0</v>
      </c>
      <c r="AA14" s="62">
        <v>0</v>
      </c>
      <c r="AB14" s="62">
        <v>0</v>
      </c>
      <c r="AC14" s="62">
        <v>0</v>
      </c>
      <c r="AD14" s="49">
        <f t="shared" si="2"/>
        <v>1235</v>
      </c>
    </row>
    <row r="15" spans="1:34" s="3" customFormat="1" ht="99" customHeight="1" outlineLevel="1" x14ac:dyDescent="0.2">
      <c r="A15" s="239">
        <v>3</v>
      </c>
      <c r="B15" s="238" t="s">
        <v>195</v>
      </c>
      <c r="C15" s="86" t="s">
        <v>183</v>
      </c>
      <c r="D15" s="56" t="s">
        <v>961</v>
      </c>
      <c r="E15" s="49">
        <f t="shared" si="0"/>
        <v>1660</v>
      </c>
      <c r="F15" s="62">
        <v>1660</v>
      </c>
      <c r="G15" s="62">
        <v>0</v>
      </c>
      <c r="H15" s="62">
        <v>0</v>
      </c>
      <c r="I15" s="62">
        <v>0</v>
      </c>
      <c r="J15" s="49">
        <f t="shared" si="1"/>
        <v>1368</v>
      </c>
      <c r="K15" s="62">
        <v>1368</v>
      </c>
      <c r="L15" s="62">
        <v>0</v>
      </c>
      <c r="M15" s="62">
        <v>0</v>
      </c>
      <c r="N15" s="62">
        <v>0</v>
      </c>
      <c r="O15" s="49">
        <f>SUM(P15:S15)</f>
        <v>1368</v>
      </c>
      <c r="P15" s="62">
        <v>1368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49">
        <f t="shared" si="2"/>
        <v>4396</v>
      </c>
    </row>
    <row r="16" spans="1:34" s="3" customFormat="1" ht="94.9" customHeight="1" outlineLevel="1" x14ac:dyDescent="0.2">
      <c r="A16" s="239">
        <v>4</v>
      </c>
      <c r="B16" s="238" t="s">
        <v>1234</v>
      </c>
      <c r="C16" s="86" t="s">
        <v>194</v>
      </c>
      <c r="D16" s="84">
        <v>2021</v>
      </c>
      <c r="E16" s="49">
        <f t="shared" si="0"/>
        <v>1020</v>
      </c>
      <c r="F16" s="62">
        <v>1020</v>
      </c>
      <c r="G16" s="62">
        <v>0</v>
      </c>
      <c r="H16" s="62">
        <v>0</v>
      </c>
      <c r="I16" s="62">
        <v>0</v>
      </c>
      <c r="J16" s="49">
        <f t="shared" si="1"/>
        <v>907</v>
      </c>
      <c r="K16" s="62">
        <v>907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49">
        <f t="shared" si="2"/>
        <v>1927</v>
      </c>
    </row>
    <row r="17" spans="1:34" s="3" customFormat="1" ht="80.45" customHeight="1" outlineLevel="1" x14ac:dyDescent="0.2">
      <c r="A17" s="239">
        <v>5</v>
      </c>
      <c r="B17" s="238" t="s">
        <v>193</v>
      </c>
      <c r="C17" s="86" t="s">
        <v>183</v>
      </c>
      <c r="D17" s="56" t="s">
        <v>961</v>
      </c>
      <c r="E17" s="49">
        <f t="shared" si="0"/>
        <v>8411</v>
      </c>
      <c r="F17" s="62">
        <v>8411</v>
      </c>
      <c r="G17" s="62">
        <v>0</v>
      </c>
      <c r="H17" s="62">
        <v>0</v>
      </c>
      <c r="I17" s="62">
        <v>0</v>
      </c>
      <c r="J17" s="49">
        <f t="shared" si="1"/>
        <v>7312</v>
      </c>
      <c r="K17" s="62">
        <v>7312</v>
      </c>
      <c r="L17" s="62">
        <v>0</v>
      </c>
      <c r="M17" s="62">
        <v>0</v>
      </c>
      <c r="N17" s="62">
        <v>0</v>
      </c>
      <c r="O17" s="49">
        <f>P17</f>
        <v>8219</v>
      </c>
      <c r="P17" s="62">
        <v>8219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49">
        <f t="shared" si="2"/>
        <v>23942</v>
      </c>
    </row>
    <row r="18" spans="1:34" s="3" customFormat="1" ht="122.45" customHeight="1" outlineLevel="1" x14ac:dyDescent="0.2">
      <c r="A18" s="239">
        <v>6</v>
      </c>
      <c r="B18" s="238" t="s">
        <v>1243</v>
      </c>
      <c r="C18" s="86" t="s">
        <v>183</v>
      </c>
      <c r="D18" s="84">
        <v>2021</v>
      </c>
      <c r="E18" s="49">
        <f t="shared" si="0"/>
        <v>817</v>
      </c>
      <c r="F18" s="62">
        <v>817</v>
      </c>
      <c r="G18" s="62">
        <v>0</v>
      </c>
      <c r="H18" s="62">
        <v>0</v>
      </c>
      <c r="I18" s="62">
        <v>0</v>
      </c>
      <c r="J18" s="49">
        <f t="shared" si="1"/>
        <v>1369</v>
      </c>
      <c r="K18" s="62">
        <v>1369</v>
      </c>
      <c r="L18" s="62">
        <v>0</v>
      </c>
      <c r="M18" s="62">
        <v>0</v>
      </c>
      <c r="N18" s="62">
        <v>0</v>
      </c>
      <c r="O18" s="49">
        <f>SUM(P18:S18)</f>
        <v>0</v>
      </c>
      <c r="P18" s="62">
        <v>0</v>
      </c>
      <c r="Q18" s="62">
        <v>0</v>
      </c>
      <c r="R18" s="62">
        <v>0</v>
      </c>
      <c r="S18" s="62">
        <v>0</v>
      </c>
      <c r="T18" s="49">
        <f>SUM(U18:X18)</f>
        <v>0</v>
      </c>
      <c r="U18" s="62">
        <v>0</v>
      </c>
      <c r="V18" s="62">
        <v>0</v>
      </c>
      <c r="W18" s="62">
        <v>0</v>
      </c>
      <c r="X18" s="62">
        <v>0</v>
      </c>
      <c r="Y18" s="49">
        <f>SUM(Z18:AC18)</f>
        <v>0</v>
      </c>
      <c r="Z18" s="62">
        <v>0</v>
      </c>
      <c r="AA18" s="62">
        <v>0</v>
      </c>
      <c r="AB18" s="62">
        <v>0</v>
      </c>
      <c r="AC18" s="62">
        <v>0</v>
      </c>
      <c r="AD18" s="49">
        <f t="shared" si="2"/>
        <v>2186</v>
      </c>
    </row>
    <row r="19" spans="1:34" ht="40.9" customHeight="1" outlineLevel="1" x14ac:dyDescent="0.3">
      <c r="A19" s="452" t="s">
        <v>956</v>
      </c>
      <c r="B19" s="457"/>
      <c r="C19" s="457"/>
      <c r="D19" s="457"/>
      <c r="E19" s="457"/>
      <c r="F19" s="457"/>
      <c r="G19" s="457"/>
      <c r="H19" s="457"/>
      <c r="I19" s="457"/>
      <c r="J19" s="457"/>
      <c r="K19" s="457"/>
      <c r="L19" s="457"/>
      <c r="M19" s="457"/>
      <c r="N19" s="457"/>
      <c r="O19" s="457"/>
      <c r="P19" s="457"/>
      <c r="Q19" s="457"/>
      <c r="R19" s="457"/>
      <c r="S19" s="457"/>
      <c r="T19" s="457"/>
      <c r="U19" s="457"/>
      <c r="V19" s="457"/>
      <c r="W19" s="457"/>
      <c r="X19" s="457"/>
      <c r="Y19" s="457"/>
      <c r="Z19" s="457"/>
      <c r="AA19" s="457"/>
      <c r="AB19" s="457"/>
      <c r="AC19" s="457"/>
      <c r="AD19" s="457"/>
    </row>
    <row r="20" spans="1:34" s="3" customFormat="1" ht="118.9" customHeight="1" outlineLevel="1" x14ac:dyDescent="0.2">
      <c r="A20" s="239">
        <v>7</v>
      </c>
      <c r="B20" s="238" t="s">
        <v>1019</v>
      </c>
      <c r="C20" s="86" t="s">
        <v>196</v>
      </c>
      <c r="D20" s="55" t="s">
        <v>1025</v>
      </c>
      <c r="E20" s="49">
        <f>SUM(F20:I20)</f>
        <v>51269</v>
      </c>
      <c r="F20" s="62">
        <f>46195+1408+1630+2036</f>
        <v>51269</v>
      </c>
      <c r="G20" s="62">
        <v>0</v>
      </c>
      <c r="H20" s="62">
        <v>0</v>
      </c>
      <c r="I20" s="62">
        <v>0</v>
      </c>
      <c r="J20" s="49">
        <f>SUM(K20:N20)</f>
        <v>13924</v>
      </c>
      <c r="K20" s="62">
        <f>11888+2036</f>
        <v>13924</v>
      </c>
      <c r="L20" s="62">
        <v>0</v>
      </c>
      <c r="M20" s="62">
        <v>0</v>
      </c>
      <c r="N20" s="62">
        <v>0</v>
      </c>
      <c r="O20" s="49">
        <f t="shared" ref="O20:O27" si="3">SUM(P20:S20)</f>
        <v>13924</v>
      </c>
      <c r="P20" s="62">
        <f>11888+2036</f>
        <v>13924</v>
      </c>
      <c r="Q20" s="62">
        <v>0</v>
      </c>
      <c r="R20" s="62">
        <v>0</v>
      </c>
      <c r="S20" s="62">
        <v>0</v>
      </c>
      <c r="T20" s="49">
        <f>U20</f>
        <v>29781</v>
      </c>
      <c r="U20" s="62">
        <f>29000+781</f>
        <v>29781</v>
      </c>
      <c r="V20" s="62">
        <v>0</v>
      </c>
      <c r="W20" s="62">
        <v>0</v>
      </c>
      <c r="X20" s="62">
        <v>0</v>
      </c>
      <c r="Y20" s="49">
        <f>Z20</f>
        <v>29781</v>
      </c>
      <c r="Z20" s="62">
        <f>29000+781</f>
        <v>29781</v>
      </c>
      <c r="AA20" s="62">
        <v>0</v>
      </c>
      <c r="AB20" s="62">
        <v>0</v>
      </c>
      <c r="AC20" s="62">
        <v>0</v>
      </c>
      <c r="AD20" s="49">
        <f t="shared" ref="AD20:AD27" si="4">E20+J20+O20+T20+Y20</f>
        <v>138679</v>
      </c>
    </row>
    <row r="21" spans="1:34" s="3" customFormat="1" ht="126" customHeight="1" outlineLevel="1" x14ac:dyDescent="0.2">
      <c r="A21" s="237">
        <v>8</v>
      </c>
      <c r="B21" s="238" t="s">
        <v>192</v>
      </c>
      <c r="C21" s="86" t="s">
        <v>183</v>
      </c>
      <c r="D21" s="55" t="s">
        <v>985</v>
      </c>
      <c r="E21" s="49">
        <f>F21+G21+H21+I21</f>
        <v>0</v>
      </c>
      <c r="F21" s="62">
        <v>0</v>
      </c>
      <c r="G21" s="62">
        <v>0</v>
      </c>
      <c r="H21" s="62">
        <v>0</v>
      </c>
      <c r="I21" s="62">
        <v>0</v>
      </c>
      <c r="J21" s="49">
        <f>K21+L21+M21+N21</f>
        <v>1417</v>
      </c>
      <c r="K21" s="62">
        <v>1417</v>
      </c>
      <c r="L21" s="62">
        <v>0</v>
      </c>
      <c r="M21" s="62">
        <v>0</v>
      </c>
      <c r="N21" s="62">
        <v>0</v>
      </c>
      <c r="O21" s="49">
        <f t="shared" si="3"/>
        <v>1417</v>
      </c>
      <c r="P21" s="62">
        <v>1417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49">
        <f t="shared" si="4"/>
        <v>2834</v>
      </c>
    </row>
    <row r="22" spans="1:34" s="3" customFormat="1" ht="117.6" customHeight="1" outlineLevel="1" x14ac:dyDescent="0.2">
      <c r="A22" s="239">
        <v>9</v>
      </c>
      <c r="B22" s="238" t="s">
        <v>973</v>
      </c>
      <c r="C22" s="86" t="s">
        <v>183</v>
      </c>
      <c r="D22" s="55" t="s">
        <v>961</v>
      </c>
      <c r="E22" s="49">
        <f>F22+G22+H22+I22</f>
        <v>5379</v>
      </c>
      <c r="F22" s="62">
        <v>5379</v>
      </c>
      <c r="G22" s="62">
        <v>0</v>
      </c>
      <c r="H22" s="62">
        <v>0</v>
      </c>
      <c r="I22" s="62">
        <v>0</v>
      </c>
      <c r="J22" s="49">
        <f>K22+L22+M22+N22</f>
        <v>12265</v>
      </c>
      <c r="K22" s="62">
        <v>12265</v>
      </c>
      <c r="L22" s="62">
        <v>0</v>
      </c>
      <c r="M22" s="62">
        <v>0</v>
      </c>
      <c r="N22" s="62">
        <v>0</v>
      </c>
      <c r="O22" s="49">
        <f t="shared" si="3"/>
        <v>12265</v>
      </c>
      <c r="P22" s="62">
        <v>12265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49">
        <f t="shared" si="4"/>
        <v>29909</v>
      </c>
    </row>
    <row r="23" spans="1:34" s="3" customFormat="1" ht="87.6" customHeight="1" outlineLevel="1" x14ac:dyDescent="0.2">
      <c r="A23" s="239">
        <v>10</v>
      </c>
      <c r="B23" s="238" t="s">
        <v>1024</v>
      </c>
      <c r="C23" s="86" t="s">
        <v>183</v>
      </c>
      <c r="D23" s="55" t="s">
        <v>1236</v>
      </c>
      <c r="E23" s="49">
        <v>0</v>
      </c>
      <c r="F23" s="62">
        <v>0</v>
      </c>
      <c r="G23" s="62">
        <v>0</v>
      </c>
      <c r="H23" s="62">
        <v>0</v>
      </c>
      <c r="I23" s="62">
        <v>0</v>
      </c>
      <c r="J23" s="49">
        <v>0</v>
      </c>
      <c r="K23" s="62">
        <v>0</v>
      </c>
      <c r="L23" s="62">
        <v>0</v>
      </c>
      <c r="M23" s="62">
        <v>0</v>
      </c>
      <c r="N23" s="62">
        <v>0</v>
      </c>
      <c r="O23" s="49">
        <v>0</v>
      </c>
      <c r="P23" s="62">
        <v>0</v>
      </c>
      <c r="Q23" s="62">
        <v>0</v>
      </c>
      <c r="R23" s="62">
        <v>0</v>
      </c>
      <c r="S23" s="62">
        <v>0</v>
      </c>
      <c r="T23" s="49">
        <f>U23</f>
        <v>2170</v>
      </c>
      <c r="U23" s="62">
        <v>2170</v>
      </c>
      <c r="V23" s="62">
        <v>0</v>
      </c>
      <c r="W23" s="62">
        <v>0</v>
      </c>
      <c r="X23" s="62">
        <v>0</v>
      </c>
      <c r="Y23" s="49">
        <f>Z23</f>
        <v>2170</v>
      </c>
      <c r="Z23" s="62">
        <v>2170</v>
      </c>
      <c r="AA23" s="62">
        <v>0</v>
      </c>
      <c r="AB23" s="62">
        <v>0</v>
      </c>
      <c r="AC23" s="62">
        <v>0</v>
      </c>
      <c r="AD23" s="49">
        <f t="shared" si="4"/>
        <v>4340</v>
      </c>
    </row>
    <row r="24" spans="1:34" s="3" customFormat="1" ht="82.9" customHeight="1" outlineLevel="1" x14ac:dyDescent="0.2">
      <c r="A24" s="239">
        <v>11</v>
      </c>
      <c r="B24" s="238" t="s">
        <v>986</v>
      </c>
      <c r="C24" s="86" t="s">
        <v>183</v>
      </c>
      <c r="D24" s="55" t="s">
        <v>961</v>
      </c>
      <c r="E24" s="49">
        <f>F24+G24+H24+I24</f>
        <v>3478</v>
      </c>
      <c r="F24" s="62">
        <v>3478</v>
      </c>
      <c r="G24" s="62">
        <v>0</v>
      </c>
      <c r="H24" s="62">
        <v>0</v>
      </c>
      <c r="I24" s="62">
        <v>0</v>
      </c>
      <c r="J24" s="49">
        <f>K24+L24+M24+N24</f>
        <v>57</v>
      </c>
      <c r="K24" s="62">
        <v>57</v>
      </c>
      <c r="L24" s="62">
        <v>0</v>
      </c>
      <c r="M24" s="62">
        <v>0</v>
      </c>
      <c r="N24" s="62">
        <v>0</v>
      </c>
      <c r="O24" s="49">
        <f t="shared" si="3"/>
        <v>57</v>
      </c>
      <c r="P24" s="62">
        <v>57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49">
        <f t="shared" si="4"/>
        <v>3592</v>
      </c>
    </row>
    <row r="25" spans="1:34" s="3" customFormat="1" ht="94.9" customHeight="1" outlineLevel="1" x14ac:dyDescent="0.2">
      <c r="A25" s="239">
        <v>12</v>
      </c>
      <c r="B25" s="238" t="s">
        <v>1021</v>
      </c>
      <c r="C25" s="86" t="s">
        <v>189</v>
      </c>
      <c r="D25" s="238" t="s">
        <v>1236</v>
      </c>
      <c r="E25" s="49">
        <f>F25</f>
        <v>1700</v>
      </c>
      <c r="F25" s="62">
        <v>1700</v>
      </c>
      <c r="G25" s="62">
        <v>0</v>
      </c>
      <c r="H25" s="62">
        <v>0</v>
      </c>
      <c r="I25" s="62">
        <v>0</v>
      </c>
      <c r="J25" s="49">
        <v>0</v>
      </c>
      <c r="K25" s="62">
        <v>0</v>
      </c>
      <c r="L25" s="62">
        <v>0</v>
      </c>
      <c r="M25" s="62">
        <v>0</v>
      </c>
      <c r="N25" s="62">
        <v>0</v>
      </c>
      <c r="O25" s="49">
        <v>0</v>
      </c>
      <c r="P25" s="62">
        <v>0</v>
      </c>
      <c r="Q25" s="62">
        <v>0</v>
      </c>
      <c r="R25" s="62">
        <v>0</v>
      </c>
      <c r="S25" s="62">
        <v>0</v>
      </c>
      <c r="T25" s="62">
        <f>U25</f>
        <v>4500</v>
      </c>
      <c r="U25" s="62">
        <v>4500</v>
      </c>
      <c r="V25" s="62">
        <v>0</v>
      </c>
      <c r="W25" s="62">
        <v>0</v>
      </c>
      <c r="X25" s="62">
        <v>0</v>
      </c>
      <c r="Y25" s="62">
        <f>Z25</f>
        <v>4500</v>
      </c>
      <c r="Z25" s="62">
        <v>4500</v>
      </c>
      <c r="AA25" s="62">
        <v>0</v>
      </c>
      <c r="AB25" s="62">
        <v>0</v>
      </c>
      <c r="AC25" s="62">
        <v>0</v>
      </c>
      <c r="AD25" s="49">
        <f t="shared" si="4"/>
        <v>10700</v>
      </c>
    </row>
    <row r="26" spans="1:34" s="3" customFormat="1" ht="100.9" customHeight="1" outlineLevel="1" x14ac:dyDescent="0.2">
      <c r="A26" s="239">
        <v>13</v>
      </c>
      <c r="B26" s="238" t="s">
        <v>190</v>
      </c>
      <c r="C26" s="86" t="s">
        <v>189</v>
      </c>
      <c r="D26" s="238" t="s">
        <v>1236</v>
      </c>
      <c r="E26" s="49">
        <f>SUM(F26:I26)</f>
        <v>0</v>
      </c>
      <c r="F26" s="62">
        <v>0</v>
      </c>
      <c r="G26" s="62">
        <v>0</v>
      </c>
      <c r="H26" s="62">
        <v>0</v>
      </c>
      <c r="I26" s="62">
        <v>0</v>
      </c>
      <c r="J26" s="49">
        <f>SUM(K26:N26)</f>
        <v>0</v>
      </c>
      <c r="K26" s="62">
        <v>0</v>
      </c>
      <c r="L26" s="62">
        <v>0</v>
      </c>
      <c r="M26" s="62">
        <v>0</v>
      </c>
      <c r="N26" s="62">
        <v>0</v>
      </c>
      <c r="O26" s="49">
        <f t="shared" si="3"/>
        <v>0</v>
      </c>
      <c r="P26" s="62">
        <v>0</v>
      </c>
      <c r="Q26" s="62">
        <v>0</v>
      </c>
      <c r="R26" s="62">
        <v>0</v>
      </c>
      <c r="S26" s="62">
        <v>0</v>
      </c>
      <c r="T26" s="49">
        <f>SUM(U26:X26)</f>
        <v>893</v>
      </c>
      <c r="U26" s="62">
        <v>893</v>
      </c>
      <c r="V26" s="62">
        <v>0</v>
      </c>
      <c r="W26" s="62">
        <v>0</v>
      </c>
      <c r="X26" s="62">
        <v>0</v>
      </c>
      <c r="Y26" s="49">
        <f>SUM(Z26:AC26)</f>
        <v>893</v>
      </c>
      <c r="Z26" s="62">
        <v>893</v>
      </c>
      <c r="AA26" s="62">
        <v>0</v>
      </c>
      <c r="AB26" s="62">
        <v>0</v>
      </c>
      <c r="AC26" s="62">
        <v>0</v>
      </c>
      <c r="AD26" s="49">
        <f t="shared" si="4"/>
        <v>1786</v>
      </c>
    </row>
    <row r="27" spans="1:34" s="3" customFormat="1" ht="112.9" customHeight="1" outlineLevel="1" x14ac:dyDescent="0.2">
      <c r="A27" s="275">
        <v>14</v>
      </c>
      <c r="B27" s="270" t="s">
        <v>188</v>
      </c>
      <c r="C27" s="276" t="s">
        <v>187</v>
      </c>
      <c r="D27" s="56" t="s">
        <v>1025</v>
      </c>
      <c r="E27" s="273">
        <f>SUM(F27:I27)</f>
        <v>3594</v>
      </c>
      <c r="F27" s="272">
        <v>3594</v>
      </c>
      <c r="G27" s="272">
        <v>0</v>
      </c>
      <c r="H27" s="272">
        <v>0</v>
      </c>
      <c r="I27" s="272">
        <v>0</v>
      </c>
      <c r="J27" s="273">
        <f>SUM(K27:N27)</f>
        <v>4176</v>
      </c>
      <c r="K27" s="272">
        <v>4176</v>
      </c>
      <c r="L27" s="272">
        <v>0</v>
      </c>
      <c r="M27" s="272">
        <v>0</v>
      </c>
      <c r="N27" s="272">
        <v>0</v>
      </c>
      <c r="O27" s="273">
        <f t="shared" si="3"/>
        <v>4176</v>
      </c>
      <c r="P27" s="272">
        <v>4176</v>
      </c>
      <c r="Q27" s="272">
        <v>0</v>
      </c>
      <c r="R27" s="272">
        <v>0</v>
      </c>
      <c r="S27" s="272">
        <v>0</v>
      </c>
      <c r="T27" s="273">
        <f>SUM(U27:X27)</f>
        <v>4176</v>
      </c>
      <c r="U27" s="272">
        <v>4176</v>
      </c>
      <c r="V27" s="272">
        <v>0</v>
      </c>
      <c r="W27" s="272">
        <v>0</v>
      </c>
      <c r="X27" s="272">
        <v>0</v>
      </c>
      <c r="Y27" s="273">
        <f>SUM(Z27:AC27)</f>
        <v>4176</v>
      </c>
      <c r="Z27" s="272">
        <v>4176</v>
      </c>
      <c r="AA27" s="272">
        <v>0</v>
      </c>
      <c r="AB27" s="272">
        <v>0</v>
      </c>
      <c r="AC27" s="272">
        <v>0</v>
      </c>
      <c r="AD27" s="273">
        <f t="shared" si="4"/>
        <v>20298</v>
      </c>
    </row>
    <row r="28" spans="1:34" ht="46.9" customHeight="1" outlineLevel="1" x14ac:dyDescent="0.2">
      <c r="A28" s="452" t="s">
        <v>185</v>
      </c>
      <c r="B28" s="452"/>
      <c r="C28" s="452"/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  <c r="AB28" s="452"/>
      <c r="AC28" s="452"/>
      <c r="AD28" s="452"/>
    </row>
    <row r="29" spans="1:34" s="3" customFormat="1" ht="94.9" customHeight="1" outlineLevel="1" x14ac:dyDescent="0.2">
      <c r="A29" s="275">
        <v>15</v>
      </c>
      <c r="B29" s="270" t="s">
        <v>184</v>
      </c>
      <c r="C29" s="276" t="s">
        <v>183</v>
      </c>
      <c r="D29" s="56" t="s">
        <v>177</v>
      </c>
      <c r="E29" s="236">
        <f>F29+G29+H29+I29</f>
        <v>27036</v>
      </c>
      <c r="F29" s="272">
        <v>27036</v>
      </c>
      <c r="G29" s="272">
        <v>0</v>
      </c>
      <c r="H29" s="272">
        <v>0</v>
      </c>
      <c r="I29" s="272">
        <v>0</v>
      </c>
      <c r="J29" s="273">
        <f>K29+L29+M29+N29</f>
        <v>26674</v>
      </c>
      <c r="K29" s="272">
        <v>26674</v>
      </c>
      <c r="L29" s="272">
        <v>0</v>
      </c>
      <c r="M29" s="272">
        <v>0</v>
      </c>
      <c r="N29" s="272">
        <v>0</v>
      </c>
      <c r="O29" s="273">
        <f>P29+Q29+R29+S29</f>
        <v>26674</v>
      </c>
      <c r="P29" s="272">
        <v>26674</v>
      </c>
      <c r="Q29" s="272">
        <v>0</v>
      </c>
      <c r="R29" s="272">
        <v>0</v>
      </c>
      <c r="S29" s="272">
        <v>0</v>
      </c>
      <c r="T29" s="273">
        <f>U29+V29+W29+X29</f>
        <v>26839</v>
      </c>
      <c r="U29" s="272">
        <f>26539+300</f>
        <v>26839</v>
      </c>
      <c r="V29" s="272">
        <v>0</v>
      </c>
      <c r="W29" s="272">
        <v>0</v>
      </c>
      <c r="X29" s="272">
        <v>0</v>
      </c>
      <c r="Y29" s="273">
        <f>Z29+AA29+AB29+AC29</f>
        <v>26839</v>
      </c>
      <c r="Z29" s="272">
        <f>26539+300</f>
        <v>26839</v>
      </c>
      <c r="AA29" s="272">
        <v>0</v>
      </c>
      <c r="AB29" s="272">
        <v>0</v>
      </c>
      <c r="AC29" s="272">
        <v>0</v>
      </c>
      <c r="AD29" s="273">
        <f>E29+J29+O29+T29+Y29</f>
        <v>134062</v>
      </c>
    </row>
    <row r="30" spans="1:34" s="3" customFormat="1" ht="46.9" customHeight="1" outlineLevel="1" x14ac:dyDescent="0.2">
      <c r="A30" s="470" t="s">
        <v>218</v>
      </c>
      <c r="B30" s="470"/>
      <c r="C30" s="470"/>
      <c r="D30" s="60"/>
      <c r="E30" s="49">
        <f t="shared" ref="E30:AC30" si="5">SUM(E13:E29)</f>
        <v>173028</v>
      </c>
      <c r="F30" s="49">
        <f t="shared" si="5"/>
        <v>173028</v>
      </c>
      <c r="G30" s="49">
        <f t="shared" si="5"/>
        <v>0</v>
      </c>
      <c r="H30" s="49">
        <f t="shared" si="5"/>
        <v>0</v>
      </c>
      <c r="I30" s="49">
        <f t="shared" si="5"/>
        <v>0</v>
      </c>
      <c r="J30" s="49">
        <f t="shared" si="5"/>
        <v>98858</v>
      </c>
      <c r="K30" s="49">
        <f t="shared" si="5"/>
        <v>98858</v>
      </c>
      <c r="L30" s="49">
        <f t="shared" si="5"/>
        <v>0</v>
      </c>
      <c r="M30" s="49">
        <f t="shared" si="5"/>
        <v>0</v>
      </c>
      <c r="N30" s="49">
        <f t="shared" si="5"/>
        <v>0</v>
      </c>
      <c r="O30" s="49">
        <f t="shared" si="5"/>
        <v>98858</v>
      </c>
      <c r="P30" s="49">
        <f t="shared" si="5"/>
        <v>98858</v>
      </c>
      <c r="Q30" s="49">
        <f t="shared" si="5"/>
        <v>0</v>
      </c>
      <c r="R30" s="49">
        <f t="shared" si="5"/>
        <v>0</v>
      </c>
      <c r="S30" s="49">
        <f t="shared" si="5"/>
        <v>0</v>
      </c>
      <c r="T30" s="49">
        <f>SUM(T13:T29)</f>
        <v>68359</v>
      </c>
      <c r="U30" s="49">
        <f t="shared" si="5"/>
        <v>68359</v>
      </c>
      <c r="V30" s="49">
        <f t="shared" si="5"/>
        <v>0</v>
      </c>
      <c r="W30" s="49">
        <f t="shared" si="5"/>
        <v>0</v>
      </c>
      <c r="X30" s="49">
        <f t="shared" si="5"/>
        <v>0</v>
      </c>
      <c r="Y30" s="49">
        <f t="shared" si="5"/>
        <v>68359</v>
      </c>
      <c r="Z30" s="49">
        <f t="shared" si="5"/>
        <v>68359</v>
      </c>
      <c r="AA30" s="49">
        <f t="shared" si="5"/>
        <v>0</v>
      </c>
      <c r="AB30" s="49">
        <f t="shared" si="5"/>
        <v>0</v>
      </c>
      <c r="AC30" s="49">
        <f t="shared" si="5"/>
        <v>0</v>
      </c>
      <c r="AD30" s="49">
        <f>SUM(AD13:AD29)</f>
        <v>507462</v>
      </c>
      <c r="AE30" s="61">
        <f>F30+K30+P30+U30+Z30</f>
        <v>507462</v>
      </c>
      <c r="AF30" s="61">
        <f>G30+L30+Q30+V30+AA30</f>
        <v>0</v>
      </c>
      <c r="AG30" s="61">
        <f>H30+M30+R30+W30+AB30</f>
        <v>0</v>
      </c>
      <c r="AH30" s="61">
        <f>I30+N30+S30+X30+AC30</f>
        <v>0</v>
      </c>
    </row>
    <row r="31" spans="1:34" s="11" customFormat="1" ht="55.15" customHeight="1" x14ac:dyDescent="0.2">
      <c r="A31" s="453" t="s">
        <v>835</v>
      </c>
      <c r="B31" s="453"/>
      <c r="C31" s="453"/>
      <c r="D31" s="453"/>
      <c r="E31" s="453"/>
      <c r="F31" s="453"/>
      <c r="G31" s="453"/>
      <c r="H31" s="453"/>
      <c r="I31" s="453"/>
      <c r="J31" s="453"/>
      <c r="K31" s="453"/>
      <c r="L31" s="453"/>
      <c r="M31" s="453"/>
      <c r="N31" s="453"/>
      <c r="O31" s="453"/>
      <c r="P31" s="453"/>
      <c r="Q31" s="453"/>
      <c r="R31" s="453"/>
      <c r="S31" s="453"/>
      <c r="T31" s="453"/>
      <c r="U31" s="453"/>
      <c r="V31" s="453"/>
      <c r="W31" s="453"/>
      <c r="X31" s="453"/>
      <c r="Y31" s="453"/>
      <c r="Z31" s="453"/>
      <c r="AA31" s="453"/>
      <c r="AB31" s="453"/>
      <c r="AC31" s="453"/>
      <c r="AD31" s="453"/>
      <c r="AE31" s="3"/>
      <c r="AF31" s="3"/>
      <c r="AG31" s="3"/>
      <c r="AH31" s="3"/>
    </row>
    <row r="32" spans="1:34" ht="42" customHeight="1" x14ac:dyDescent="0.2">
      <c r="A32" s="455" t="s">
        <v>955</v>
      </c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</row>
    <row r="33" spans="1:34" s="228" customFormat="1" ht="43.15" customHeight="1" outlineLevel="1" x14ac:dyDescent="0.2">
      <c r="A33" s="456" t="s">
        <v>834</v>
      </c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3"/>
      <c r="AF33" s="3"/>
      <c r="AG33" s="3"/>
      <c r="AH33" s="3"/>
    </row>
    <row r="34" spans="1:34" s="228" customFormat="1" ht="54" customHeight="1" outlineLevel="1" x14ac:dyDescent="0.2">
      <c r="A34" s="453" t="s">
        <v>836</v>
      </c>
      <c r="B34" s="453"/>
      <c r="C34" s="453"/>
      <c r="D34" s="453"/>
      <c r="E34" s="453"/>
      <c r="F34" s="453"/>
      <c r="G34" s="453"/>
      <c r="H34" s="453"/>
      <c r="I34" s="453"/>
      <c r="J34" s="453"/>
      <c r="K34" s="453"/>
      <c r="L34" s="453"/>
      <c r="M34" s="453"/>
      <c r="N34" s="453"/>
      <c r="O34" s="453"/>
      <c r="P34" s="453"/>
      <c r="Q34" s="453"/>
      <c r="R34" s="453"/>
      <c r="S34" s="453"/>
      <c r="T34" s="453"/>
      <c r="U34" s="453"/>
      <c r="V34" s="453"/>
      <c r="W34" s="453"/>
      <c r="X34" s="453"/>
      <c r="Y34" s="453"/>
      <c r="Z34" s="453"/>
      <c r="AA34" s="453"/>
      <c r="AB34" s="453"/>
      <c r="AC34" s="453"/>
      <c r="AD34" s="453"/>
      <c r="AE34" s="3"/>
      <c r="AF34" s="3"/>
      <c r="AG34" s="3"/>
      <c r="AH34" s="3"/>
    </row>
    <row r="35" spans="1:34" ht="179.25" customHeight="1" outlineLevel="1" x14ac:dyDescent="0.2">
      <c r="A35" s="239">
        <v>16</v>
      </c>
      <c r="B35" s="238" t="s">
        <v>1201</v>
      </c>
      <c r="C35" s="86" t="s">
        <v>1453</v>
      </c>
      <c r="D35" s="238" t="s">
        <v>177</v>
      </c>
      <c r="E35" s="49">
        <f t="shared" ref="E35:E42" si="6">F35+G35+H35+I35</f>
        <v>321465</v>
      </c>
      <c r="F35" s="72">
        <f>ROUND('2.переченьМРАД'!$I$47,0)</f>
        <v>12402</v>
      </c>
      <c r="G35" s="72">
        <f>ROUND('2.переченьМРАД'!$H$47,0)</f>
        <v>182270</v>
      </c>
      <c r="H35" s="72">
        <f>ROUND('2.переченьМРАД'!G47,0)</f>
        <v>126793</v>
      </c>
      <c r="I35" s="73">
        <v>0</v>
      </c>
      <c r="J35" s="49">
        <f>K35+L35+M35+N35</f>
        <v>58542</v>
      </c>
      <c r="K35" s="72">
        <f>'2.переченьМРАД'!$N$47</f>
        <v>5881</v>
      </c>
      <c r="L35" s="72">
        <f>'2.переченьМРАД'!$M$47</f>
        <v>14418</v>
      </c>
      <c r="M35" s="72">
        <f>'2.переченьМРАД'!$L$47</f>
        <v>38243</v>
      </c>
      <c r="N35" s="73">
        <v>0</v>
      </c>
      <c r="O35" s="49">
        <f t="shared" ref="O35:O44" si="7">P35+Q35+R35+S35</f>
        <v>5000</v>
      </c>
      <c r="P35" s="72">
        <f>'2.переченьМРАД'!$S$47</f>
        <v>5000</v>
      </c>
      <c r="Q35" s="72">
        <f>'2.переченьМРАД'!$R$47</f>
        <v>0</v>
      </c>
      <c r="R35" s="72">
        <v>0</v>
      </c>
      <c r="S35" s="73">
        <v>0</v>
      </c>
      <c r="T35" s="49">
        <f>U35+V35+W35+X35</f>
        <v>657603</v>
      </c>
      <c r="U35" s="62">
        <f>ROUND('2.переченьМРАД'!$X$47,0)</f>
        <v>41859</v>
      </c>
      <c r="V35" s="62">
        <f>ROUND('2.переченьМРАД'!$W$47,0)</f>
        <v>615744</v>
      </c>
      <c r="W35" s="62">
        <v>0</v>
      </c>
      <c r="X35" s="62">
        <v>0</v>
      </c>
      <c r="Y35" s="49">
        <f t="shared" ref="Y35:Y44" si="8">Z35+AA35+AB35+AC35</f>
        <v>479395</v>
      </c>
      <c r="Z35" s="62">
        <f>'2.переченьМРАД'!$AC$47</f>
        <v>25409</v>
      </c>
      <c r="AA35" s="62">
        <f>'2.переченьМРАД'!$AB$47</f>
        <v>453986</v>
      </c>
      <c r="AB35" s="62">
        <v>0</v>
      </c>
      <c r="AC35" s="62">
        <v>0</v>
      </c>
      <c r="AD35" s="49">
        <f t="shared" ref="AD35:AD44" si="9">E35+J35+O35+T35+Y35</f>
        <v>1522005</v>
      </c>
    </row>
    <row r="36" spans="1:34" ht="126" customHeight="1" outlineLevel="1" x14ac:dyDescent="0.2">
      <c r="A36" s="239">
        <v>17</v>
      </c>
      <c r="B36" s="238" t="s">
        <v>219</v>
      </c>
      <c r="C36" s="86" t="s">
        <v>178</v>
      </c>
      <c r="D36" s="246" t="s">
        <v>177</v>
      </c>
      <c r="E36" s="49">
        <f t="shared" si="6"/>
        <v>66560</v>
      </c>
      <c r="F36" s="72">
        <f>'2.переченьМРАД'!$I$65</f>
        <v>4500</v>
      </c>
      <c r="G36" s="72">
        <f>'2.переченьМРАД'!$H$65</f>
        <v>62060</v>
      </c>
      <c r="H36" s="72">
        <f>'2.переченьМРАД'!G48</f>
        <v>0</v>
      </c>
      <c r="I36" s="73">
        <v>0</v>
      </c>
      <c r="J36" s="273">
        <f t="shared" ref="J36:J44" si="10">K36+L36+M36+N36</f>
        <v>0</v>
      </c>
      <c r="K36" s="72">
        <f>'2.переченьМРАД'!$N$65</f>
        <v>0</v>
      </c>
      <c r="L36" s="72">
        <f>'2.переченьМРАД'!$M$65</f>
        <v>0</v>
      </c>
      <c r="M36" s="72">
        <v>0</v>
      </c>
      <c r="N36" s="73">
        <v>0</v>
      </c>
      <c r="O36" s="273">
        <f t="shared" si="7"/>
        <v>0</v>
      </c>
      <c r="P36" s="72">
        <f>'2.переченьМРАД'!$S$65</f>
        <v>0</v>
      </c>
      <c r="Q36" s="72">
        <f>'2.переченьМРАД'!$R$65</f>
        <v>0</v>
      </c>
      <c r="R36" s="72">
        <v>0</v>
      </c>
      <c r="S36" s="73">
        <v>0</v>
      </c>
      <c r="T36" s="49">
        <f t="shared" ref="T36:T44" si="11">U36+V36+W36+X36</f>
        <v>159124</v>
      </c>
      <c r="U36" s="62">
        <f>ROUND('2.переченьМРАД'!$X$65,0)</f>
        <v>15524</v>
      </c>
      <c r="V36" s="62">
        <f>ROUND('2.переченьМРАД'!$W$65,0)</f>
        <v>143600</v>
      </c>
      <c r="W36" s="62">
        <v>0</v>
      </c>
      <c r="X36" s="62">
        <v>0</v>
      </c>
      <c r="Y36" s="49">
        <f t="shared" si="8"/>
        <v>0</v>
      </c>
      <c r="Z36" s="62">
        <f>'2.переченьМРАД'!$AC$65</f>
        <v>0</v>
      </c>
      <c r="AA36" s="62">
        <f>'2.переченьМРАД'!$AB$65</f>
        <v>0</v>
      </c>
      <c r="AB36" s="62">
        <v>0</v>
      </c>
      <c r="AC36" s="62">
        <v>0</v>
      </c>
      <c r="AD36" s="49">
        <f t="shared" si="9"/>
        <v>225684</v>
      </c>
    </row>
    <row r="37" spans="1:34" ht="206.45" customHeight="1" outlineLevel="1" x14ac:dyDescent="0.2">
      <c r="A37" s="239">
        <v>18</v>
      </c>
      <c r="B37" s="238" t="s">
        <v>220</v>
      </c>
      <c r="C37" s="86" t="s">
        <v>1453</v>
      </c>
      <c r="D37" s="238" t="s">
        <v>177</v>
      </c>
      <c r="E37" s="49">
        <f t="shared" si="6"/>
        <v>44356</v>
      </c>
      <c r="F37" s="72">
        <f>'2.переченьМРАД'!$I$86</f>
        <v>28021</v>
      </c>
      <c r="G37" s="72">
        <f>'2.переченьМРАД'!$H$86</f>
        <v>16335</v>
      </c>
      <c r="H37" s="72">
        <f>'2.переченьМРАД'!G49</f>
        <v>0</v>
      </c>
      <c r="I37" s="73">
        <v>0</v>
      </c>
      <c r="J37" s="49">
        <f t="shared" si="10"/>
        <v>16100</v>
      </c>
      <c r="K37" s="72">
        <f>'2.переченьМРАД'!$N$86</f>
        <v>16100</v>
      </c>
      <c r="L37" s="72">
        <f>'2.переченьМРАД'!$M$86</f>
        <v>0</v>
      </c>
      <c r="M37" s="72">
        <v>0</v>
      </c>
      <c r="N37" s="73">
        <v>0</v>
      </c>
      <c r="O37" s="49">
        <f t="shared" si="7"/>
        <v>16100</v>
      </c>
      <c r="P37" s="72">
        <f>'2.переченьМРАД'!$S$86</f>
        <v>16100</v>
      </c>
      <c r="Q37" s="72">
        <f>'2.переченьМРАД'!$R$86</f>
        <v>0</v>
      </c>
      <c r="R37" s="72">
        <v>0</v>
      </c>
      <c r="S37" s="73">
        <v>0</v>
      </c>
      <c r="T37" s="49">
        <f t="shared" si="11"/>
        <v>78236</v>
      </c>
      <c r="U37" s="62">
        <f>'2.переченьМРАД'!$X$86</f>
        <v>78236</v>
      </c>
      <c r="V37" s="62">
        <f>'2.переченьМРАД'!$W$86</f>
        <v>0</v>
      </c>
      <c r="W37" s="62">
        <v>0</v>
      </c>
      <c r="X37" s="62">
        <v>0</v>
      </c>
      <c r="Y37" s="49">
        <f t="shared" si="8"/>
        <v>26114</v>
      </c>
      <c r="Z37" s="62">
        <f>'2.переченьМРАД'!$AC$86</f>
        <v>26114</v>
      </c>
      <c r="AA37" s="62">
        <f>'2.переченьМРАД'!$AB$86</f>
        <v>0</v>
      </c>
      <c r="AB37" s="62">
        <v>0</v>
      </c>
      <c r="AC37" s="62">
        <v>0</v>
      </c>
      <c r="AD37" s="49">
        <f t="shared" si="9"/>
        <v>180906</v>
      </c>
    </row>
    <row r="38" spans="1:34" ht="173.25" outlineLevel="1" x14ac:dyDescent="0.2">
      <c r="A38" s="449">
        <v>19</v>
      </c>
      <c r="B38" s="238" t="s">
        <v>1345</v>
      </c>
      <c r="C38" s="462" t="s">
        <v>178</v>
      </c>
      <c r="D38" s="415" t="s">
        <v>177</v>
      </c>
      <c r="E38" s="49">
        <f t="shared" si="6"/>
        <v>41898</v>
      </c>
      <c r="F38" s="72">
        <f>ROUND('2.переченьМРАД'!$I$108,0)</f>
        <v>2502</v>
      </c>
      <c r="G38" s="72">
        <f>ROUND('2.переченьМРАД'!$H$108,0)</f>
        <v>39396</v>
      </c>
      <c r="H38" s="72">
        <f>'2.переченьМРАД'!G50</f>
        <v>0</v>
      </c>
      <c r="I38" s="73">
        <v>0</v>
      </c>
      <c r="J38" s="49">
        <f t="shared" si="10"/>
        <v>214595</v>
      </c>
      <c r="K38" s="72">
        <f>ROUND('2.переченьМРАД'!$N$108,0)</f>
        <v>12446</v>
      </c>
      <c r="L38" s="72">
        <f>'2.переченьМРАД'!$M$108</f>
        <v>202149</v>
      </c>
      <c r="M38" s="72">
        <v>0</v>
      </c>
      <c r="N38" s="73">
        <v>0</v>
      </c>
      <c r="O38" s="49">
        <f t="shared" si="7"/>
        <v>374717</v>
      </c>
      <c r="P38" s="72">
        <f>'2.переченьМРАД'!$S$108</f>
        <v>21733</v>
      </c>
      <c r="Q38" s="72">
        <f>'2.переченьМРАД'!$R$108</f>
        <v>352984</v>
      </c>
      <c r="R38" s="72">
        <v>0</v>
      </c>
      <c r="S38" s="73">
        <v>0</v>
      </c>
      <c r="T38" s="49">
        <f t="shared" si="11"/>
        <v>581301</v>
      </c>
      <c r="U38" s="62">
        <f>ROUND('2.переченьМРАД'!$X$108,0)</f>
        <v>44561</v>
      </c>
      <c r="V38" s="62">
        <f>'2.переченьМРАД'!$W$108</f>
        <v>536740</v>
      </c>
      <c r="W38" s="62">
        <v>0</v>
      </c>
      <c r="X38" s="62">
        <v>0</v>
      </c>
      <c r="Y38" s="49">
        <f t="shared" si="8"/>
        <v>314304</v>
      </c>
      <c r="Z38" s="62">
        <f>'2.переченьМРАД'!$AC$108</f>
        <v>18544</v>
      </c>
      <c r="AA38" s="62">
        <f>ROUND('2.переченьМРАД'!$AB$108,0)</f>
        <v>295760</v>
      </c>
      <c r="AB38" s="62">
        <v>0</v>
      </c>
      <c r="AC38" s="62">
        <v>0</v>
      </c>
      <c r="AD38" s="49">
        <f t="shared" si="9"/>
        <v>1526815</v>
      </c>
    </row>
    <row r="39" spans="1:34" ht="146.44999999999999" customHeight="1" outlineLevel="1" x14ac:dyDescent="0.2">
      <c r="A39" s="449"/>
      <c r="B39" s="238" t="s">
        <v>1203</v>
      </c>
      <c r="C39" s="462"/>
      <c r="D39" s="415"/>
      <c r="E39" s="49">
        <f t="shared" si="6"/>
        <v>41382</v>
      </c>
      <c r="F39" s="72">
        <f>SUM('2.переченьМРАД'!I101:I107)</f>
        <v>1986</v>
      </c>
      <c r="G39" s="72">
        <f>SUM('2.переченьМРАД'!H101:H107)</f>
        <v>39396</v>
      </c>
      <c r="H39" s="72">
        <f>'2.переченьМРАД'!G108</f>
        <v>0</v>
      </c>
      <c r="I39" s="73">
        <v>0</v>
      </c>
      <c r="J39" s="49">
        <f t="shared" si="10"/>
        <v>214595</v>
      </c>
      <c r="K39" s="72">
        <f>SUM('2.переченьМРАД'!N101:N107)</f>
        <v>12446</v>
      </c>
      <c r="L39" s="72">
        <f>SUM('2.переченьМРАД'!M101:M107)</f>
        <v>202149</v>
      </c>
      <c r="M39" s="72">
        <f>'2.переченьМРАД'!L108</f>
        <v>0</v>
      </c>
      <c r="N39" s="73">
        <v>0</v>
      </c>
      <c r="O39" s="49">
        <f t="shared" si="7"/>
        <v>374717</v>
      </c>
      <c r="P39" s="72">
        <f>SUM('2.переченьМРАД'!S101:S107)</f>
        <v>21733</v>
      </c>
      <c r="Q39" s="72">
        <f>SUM('2.переченьМРАД'!R101:R107)</f>
        <v>352984</v>
      </c>
      <c r="R39" s="72">
        <f>'[1]3.переченьМРАД'!Q96</f>
        <v>0</v>
      </c>
      <c r="S39" s="73">
        <v>0</v>
      </c>
      <c r="T39" s="49">
        <f t="shared" si="11"/>
        <v>432041</v>
      </c>
      <c r="U39" s="62">
        <f>SUM('2.переченьМРАД'!X101:X107)</f>
        <v>21124</v>
      </c>
      <c r="V39" s="62">
        <f>SUM('2.переченьМРАД'!W101:W107)</f>
        <v>410917</v>
      </c>
      <c r="W39" s="62">
        <f>'[1]3.переченьМРАД'!V96</f>
        <v>0</v>
      </c>
      <c r="X39" s="62">
        <v>0</v>
      </c>
      <c r="Y39" s="49">
        <f t="shared" si="8"/>
        <v>0</v>
      </c>
      <c r="Z39" s="62">
        <f>SUM('2.переченьМРАД'!AC101:AC107)</f>
        <v>0</v>
      </c>
      <c r="AA39" s="62">
        <f>SUM('2.переченьМРАД'!AB101:AB107)</f>
        <v>0</v>
      </c>
      <c r="AB39" s="62">
        <f>'[1]3.переченьМРАД'!AA96</f>
        <v>0</v>
      </c>
      <c r="AC39" s="62">
        <v>0</v>
      </c>
      <c r="AD39" s="49">
        <f t="shared" si="9"/>
        <v>1062735</v>
      </c>
    </row>
    <row r="40" spans="1:34" ht="128.44999999999999" customHeight="1" outlineLevel="1" x14ac:dyDescent="0.2">
      <c r="A40" s="449">
        <v>20</v>
      </c>
      <c r="B40" s="238" t="s">
        <v>221</v>
      </c>
      <c r="C40" s="462" t="s">
        <v>178</v>
      </c>
      <c r="D40" s="415" t="s">
        <v>177</v>
      </c>
      <c r="E40" s="49">
        <f>F40+G40+H40+I40</f>
        <v>809679</v>
      </c>
      <c r="F40" s="72">
        <f>ROUND('2.переченьМРАД'!$I$256,0)</f>
        <v>43632</v>
      </c>
      <c r="G40" s="72">
        <f>ROUND('2.переченьМРАД'!$H$256,0)</f>
        <v>766047</v>
      </c>
      <c r="H40" s="72">
        <f>'2.переченьМРАД'!G51</f>
        <v>0</v>
      </c>
      <c r="I40" s="73">
        <v>0</v>
      </c>
      <c r="J40" s="49">
        <f>K40+L40+M40+N40</f>
        <v>590389</v>
      </c>
      <c r="K40" s="72">
        <f>ROUND('2.переченьМРАД'!$N$256,0)</f>
        <v>92538</v>
      </c>
      <c r="L40" s="72">
        <f>ROUND('2.переченьМРАД'!$M$256,0)</f>
        <v>497851</v>
      </c>
      <c r="M40" s="72">
        <v>0</v>
      </c>
      <c r="N40" s="73">
        <v>0</v>
      </c>
      <c r="O40" s="49">
        <f>P40+Q40+R40+S40</f>
        <v>430267</v>
      </c>
      <c r="P40" s="72">
        <f>ROUND('2.переченьМРАД'!$S$256,0)</f>
        <v>83251</v>
      </c>
      <c r="Q40" s="72">
        <f>ROUND('2.переченьМРАД'!$R$256,0)</f>
        <v>347016</v>
      </c>
      <c r="R40" s="72">
        <v>0</v>
      </c>
      <c r="S40" s="73">
        <v>0</v>
      </c>
      <c r="T40" s="49">
        <f>U40+V40+W40+X40</f>
        <v>1179046</v>
      </c>
      <c r="U40" s="62">
        <f>ROUND('2.переченьМРАД'!$X$256,0)</f>
        <v>62746</v>
      </c>
      <c r="V40" s="62">
        <f>ROUND('2.переченьМРАД'!$W$256,0)</f>
        <v>1116300</v>
      </c>
      <c r="W40" s="62">
        <v>0</v>
      </c>
      <c r="X40" s="62">
        <v>0</v>
      </c>
      <c r="Y40" s="49">
        <f>Z40+AA40+AB40+AC40</f>
        <v>1283038</v>
      </c>
      <c r="Z40" s="62">
        <f>ROUND('2.переченьМРАД'!$AC$256,0)</f>
        <v>57320</v>
      </c>
      <c r="AA40" s="62">
        <f>ROUND('2.переченьМРАД'!$AB$256,0)</f>
        <v>1225718</v>
      </c>
      <c r="AB40" s="62">
        <v>0</v>
      </c>
      <c r="AC40" s="62">
        <v>0</v>
      </c>
      <c r="AD40" s="49">
        <f>E40+J40+O40+T40+Y40</f>
        <v>4292419</v>
      </c>
    </row>
    <row r="41" spans="1:34" ht="128.44999999999999" customHeight="1" outlineLevel="1" x14ac:dyDescent="0.2">
      <c r="A41" s="449"/>
      <c r="B41" s="238" t="s">
        <v>1203</v>
      </c>
      <c r="C41" s="462"/>
      <c r="D41" s="415"/>
      <c r="E41" s="49">
        <f t="shared" si="6"/>
        <v>693912</v>
      </c>
      <c r="F41" s="72">
        <f>SUM('2.переченьМРАД'!I228:I255)</f>
        <v>33308</v>
      </c>
      <c r="G41" s="72">
        <f>SUM('2.переченьМРАД'!H228:H255)</f>
        <v>660604</v>
      </c>
      <c r="H41" s="72">
        <f>SUM('[1]3.переченьМРАД'!G215:G227)</f>
        <v>0</v>
      </c>
      <c r="I41" s="73">
        <v>0</v>
      </c>
      <c r="J41" s="49">
        <f t="shared" si="10"/>
        <v>528504.9</v>
      </c>
      <c r="K41" s="72">
        <f>SUM('2.переченьМРАД'!N228:N255)</f>
        <v>30654</v>
      </c>
      <c r="L41" s="72">
        <f>SUM('2.переченьМРАД'!M228:M255)</f>
        <v>497850.9</v>
      </c>
      <c r="M41" s="72">
        <f>SUM('[1]3.переченьМРАД'!L215:L227)</f>
        <v>0</v>
      </c>
      <c r="N41" s="73">
        <v>0</v>
      </c>
      <c r="O41" s="49">
        <f t="shared" si="7"/>
        <v>368382.5</v>
      </c>
      <c r="P41" s="72">
        <f>SUM('2.переченьМРАД'!S228:S255)</f>
        <v>21366.5</v>
      </c>
      <c r="Q41" s="72">
        <f>SUM('2.переченьМРАД'!R228:R255)</f>
        <v>347016</v>
      </c>
      <c r="R41" s="72">
        <f>SUM('[1]3.переченьМРАД'!Q215:Q227)</f>
        <v>0</v>
      </c>
      <c r="S41" s="73">
        <v>0</v>
      </c>
      <c r="T41" s="386">
        <f t="shared" si="11"/>
        <v>93822</v>
      </c>
      <c r="U41" s="62">
        <f>SUM('2.переченьМРАД'!X228:X255)</f>
        <v>5442</v>
      </c>
      <c r="V41" s="62">
        <f>SUM('2.переченьМРАД'!W228:W255)</f>
        <v>88380</v>
      </c>
      <c r="W41" s="62">
        <f>SUM('2.переченьМРАД'!V228:V255)</f>
        <v>0</v>
      </c>
      <c r="X41" s="62">
        <v>0</v>
      </c>
      <c r="Y41" s="49">
        <f t="shared" si="8"/>
        <v>0</v>
      </c>
      <c r="Z41" s="62">
        <f>SUM('[1]3.переченьМРАД'!AC215:AC227)</f>
        <v>0</v>
      </c>
      <c r="AA41" s="62">
        <f>SUM('[1]3.переченьМРАД'!AB215:AB227)</f>
        <v>0</v>
      </c>
      <c r="AB41" s="62">
        <f>SUM('[1]3.переченьМРАД'!AA215:AA227)</f>
        <v>0</v>
      </c>
      <c r="AC41" s="62">
        <v>0</v>
      </c>
      <c r="AD41" s="49">
        <f t="shared" si="9"/>
        <v>1684621.4</v>
      </c>
    </row>
    <row r="42" spans="1:34" ht="145.9" customHeight="1" outlineLevel="1" x14ac:dyDescent="0.2">
      <c r="A42" s="239">
        <v>21</v>
      </c>
      <c r="B42" s="238" t="s">
        <v>823</v>
      </c>
      <c r="C42" s="86" t="s">
        <v>191</v>
      </c>
      <c r="D42" s="238" t="s">
        <v>177</v>
      </c>
      <c r="E42" s="49">
        <f t="shared" si="6"/>
        <v>142702</v>
      </c>
      <c r="F42" s="72">
        <f>'2.переченьМРАД'!$I$260</f>
        <v>7702</v>
      </c>
      <c r="G42" s="72">
        <f>'2.переченьМРАД'!$H$260</f>
        <v>135000</v>
      </c>
      <c r="H42" s="72">
        <f>'2.переченьМРАД'!G53</f>
        <v>0</v>
      </c>
      <c r="I42" s="73">
        <v>0</v>
      </c>
      <c r="J42" s="49">
        <f t="shared" si="10"/>
        <v>6615</v>
      </c>
      <c r="K42" s="72">
        <f>'2.переченьМРАД'!$N$260</f>
        <v>6615</v>
      </c>
      <c r="L42" s="72">
        <f>'2.переченьМРАД'!$M$260</f>
        <v>0</v>
      </c>
      <c r="M42" s="72">
        <v>0</v>
      </c>
      <c r="N42" s="73">
        <v>0</v>
      </c>
      <c r="O42" s="49">
        <f t="shared" si="7"/>
        <v>6615</v>
      </c>
      <c r="P42" s="72">
        <f>'2.переченьМРАД'!$S$260</f>
        <v>6615</v>
      </c>
      <c r="Q42" s="72">
        <f>'2.переченьМРАД'!$R$260</f>
        <v>0</v>
      </c>
      <c r="R42" s="72">
        <v>0</v>
      </c>
      <c r="S42" s="73">
        <v>0</v>
      </c>
      <c r="T42" s="49">
        <f t="shared" si="11"/>
        <v>356601</v>
      </c>
      <c r="U42" s="62">
        <f>ROUND('2.переченьМРАД'!$X$260,0)</f>
        <v>18382</v>
      </c>
      <c r="V42" s="62">
        <f>ROUND('2.переченьМРАД'!$W$260,0)</f>
        <v>338219</v>
      </c>
      <c r="W42" s="62">
        <v>0</v>
      </c>
      <c r="X42" s="62">
        <v>0</v>
      </c>
      <c r="Y42" s="49">
        <f t="shared" si="8"/>
        <v>362361</v>
      </c>
      <c r="Z42" s="62">
        <f>ROUND('2.переченьМРАД'!$AC$260,0)</f>
        <v>18756</v>
      </c>
      <c r="AA42" s="62">
        <f>ROUND('2.переченьМРАД'!$AB$260,0)</f>
        <v>343605</v>
      </c>
      <c r="AB42" s="62">
        <v>0</v>
      </c>
      <c r="AC42" s="62">
        <v>0</v>
      </c>
      <c r="AD42" s="49">
        <f t="shared" si="9"/>
        <v>874894</v>
      </c>
    </row>
    <row r="43" spans="1:34" s="11" customFormat="1" ht="297.60000000000002" customHeight="1" outlineLevel="1" x14ac:dyDescent="0.2">
      <c r="A43" s="239">
        <v>22</v>
      </c>
      <c r="B43" s="238" t="s">
        <v>838</v>
      </c>
      <c r="C43" s="86" t="s">
        <v>191</v>
      </c>
      <c r="D43" s="238" t="s">
        <v>981</v>
      </c>
      <c r="E43" s="49">
        <f>F43+G43+H43+I43</f>
        <v>3294</v>
      </c>
      <c r="F43" s="72">
        <f>'2.переченьМРАД'!$I$510</f>
        <v>3294</v>
      </c>
      <c r="G43" s="72">
        <f>'2.переченьМРАД'!$H$510</f>
        <v>0</v>
      </c>
      <c r="H43" s="72">
        <f>'2.переченьМРАД'!G510</f>
        <v>0</v>
      </c>
      <c r="I43" s="73">
        <v>0</v>
      </c>
      <c r="J43" s="49">
        <f t="shared" si="10"/>
        <v>0</v>
      </c>
      <c r="K43" s="72">
        <f>'2.переченьМРАД'!$N$510</f>
        <v>0</v>
      </c>
      <c r="L43" s="72">
        <f>'2.переченьМРАД'!$M$510</f>
        <v>0</v>
      </c>
      <c r="M43" s="72">
        <v>0</v>
      </c>
      <c r="N43" s="73">
        <v>0</v>
      </c>
      <c r="O43" s="49">
        <f t="shared" si="7"/>
        <v>0</v>
      </c>
      <c r="P43" s="72">
        <f>'2.переченьМРАД'!$S$510</f>
        <v>0</v>
      </c>
      <c r="Q43" s="72">
        <f>'2.переченьМРАД'!$R$510</f>
        <v>0</v>
      </c>
      <c r="R43" s="72">
        <v>0</v>
      </c>
      <c r="S43" s="73">
        <v>0</v>
      </c>
      <c r="T43" s="49">
        <f t="shared" si="11"/>
        <v>86961</v>
      </c>
      <c r="U43" s="62">
        <f>ROUND('2.переченьМРАД'!$X$510,0)</f>
        <v>86961</v>
      </c>
      <c r="V43" s="62">
        <f>'2.переченьМРАД'!$W$510</f>
        <v>0</v>
      </c>
      <c r="W43" s="62">
        <v>0</v>
      </c>
      <c r="X43" s="62">
        <v>0</v>
      </c>
      <c r="Y43" s="49">
        <f t="shared" si="8"/>
        <v>42763</v>
      </c>
      <c r="Z43" s="62">
        <f>ROUND('2.переченьМРАД'!$AC$510,0)</f>
        <v>42763</v>
      </c>
      <c r="AA43" s="62">
        <f>'2.переченьМРАД'!$AB$510</f>
        <v>0</v>
      </c>
      <c r="AB43" s="62">
        <v>0</v>
      </c>
      <c r="AC43" s="62">
        <v>0</v>
      </c>
      <c r="AD43" s="49">
        <f t="shared" si="9"/>
        <v>133018</v>
      </c>
      <c r="AE43" s="229">
        <f>F45-'[2]3.меропр.'!F44</f>
        <v>30610.000719999996</v>
      </c>
      <c r="AF43" s="229">
        <f>G45-'[2]3.меропр.'!G44</f>
        <v>649107.99927999999</v>
      </c>
      <c r="AG43" s="229">
        <f>H45-'[2]3.меропр.'!H44</f>
        <v>126793</v>
      </c>
      <c r="AH43" s="230">
        <f>I45-'[2]3.меропр.'!I44</f>
        <v>0</v>
      </c>
    </row>
    <row r="44" spans="1:34" s="11" customFormat="1" ht="115.9" customHeight="1" outlineLevel="1" x14ac:dyDescent="0.2">
      <c r="A44" s="238">
        <v>23</v>
      </c>
      <c r="B44" s="238" t="s">
        <v>1249</v>
      </c>
      <c r="C44" s="86" t="s">
        <v>191</v>
      </c>
      <c r="D44" s="238">
        <v>2021</v>
      </c>
      <c r="E44" s="49">
        <f>F44+G44+H44+I44</f>
        <v>155462</v>
      </c>
      <c r="F44" s="72">
        <f>'2.переченьМРАД'!I512</f>
        <v>7462</v>
      </c>
      <c r="G44" s="72">
        <f>'2.переченьМРАД'!H512</f>
        <v>148000</v>
      </c>
      <c r="H44" s="72">
        <f>'2.переченьМРАД'!G512</f>
        <v>0</v>
      </c>
      <c r="I44" s="73">
        <v>0</v>
      </c>
      <c r="J44" s="277">
        <f t="shared" si="10"/>
        <v>0</v>
      </c>
      <c r="K44" s="72">
        <f>'2.переченьМРАД'!N512</f>
        <v>0</v>
      </c>
      <c r="L44" s="72">
        <f>'2.переченьМРАД'!M512</f>
        <v>0</v>
      </c>
      <c r="M44" s="72">
        <f>'2.переченьМРАД'!L512</f>
        <v>0</v>
      </c>
      <c r="N44" s="73">
        <v>0</v>
      </c>
      <c r="O44" s="49">
        <f t="shared" si="7"/>
        <v>0</v>
      </c>
      <c r="P44" s="72">
        <f>'2.переченьМРАД'!S512</f>
        <v>0</v>
      </c>
      <c r="Q44" s="72">
        <f>'2.переченьМРАД'!R512</f>
        <v>0</v>
      </c>
      <c r="R44" s="72">
        <f>'2.переченьМРАД'!Q512</f>
        <v>0</v>
      </c>
      <c r="S44" s="73">
        <v>0</v>
      </c>
      <c r="T44" s="49">
        <f t="shared" si="11"/>
        <v>0</v>
      </c>
      <c r="U44" s="62">
        <f>'2.переченьМРАД'!X512</f>
        <v>0</v>
      </c>
      <c r="V44" s="62">
        <f>'2.переченьМРАД'!W512</f>
        <v>0</v>
      </c>
      <c r="W44" s="62">
        <f>'2.переченьМРАД'!V512</f>
        <v>0</v>
      </c>
      <c r="X44" s="62">
        <v>0</v>
      </c>
      <c r="Y44" s="49">
        <f t="shared" si="8"/>
        <v>0</v>
      </c>
      <c r="Z44" s="62">
        <f>'2.переченьМРАД'!AC512</f>
        <v>0</v>
      </c>
      <c r="AA44" s="62">
        <f>'2.переченьМРАД'!AB512</f>
        <v>0</v>
      </c>
      <c r="AB44" s="62">
        <f>'2.переченьМРАД'!AA512</f>
        <v>0</v>
      </c>
      <c r="AC44" s="62">
        <v>0</v>
      </c>
      <c r="AD44" s="49">
        <f t="shared" si="9"/>
        <v>155462</v>
      </c>
      <c r="AE44" s="229"/>
      <c r="AF44" s="229"/>
      <c r="AG44" s="229"/>
      <c r="AH44" s="230"/>
    </row>
    <row r="45" spans="1:34" ht="42" customHeight="1" x14ac:dyDescent="0.2">
      <c r="A45" s="450" t="s">
        <v>222</v>
      </c>
      <c r="B45" s="450"/>
      <c r="C45" s="450"/>
      <c r="D45" s="237"/>
      <c r="E45" s="49">
        <f>SUM(E35:E44)-E41-E39</f>
        <v>1585416</v>
      </c>
      <c r="F45" s="49">
        <f>SUM(F35:F44)-F41-F39</f>
        <v>109515</v>
      </c>
      <c r="G45" s="49">
        <f t="shared" ref="G45:S45" si="12">SUM(G35:G44)-G41-G39</f>
        <v>1349108</v>
      </c>
      <c r="H45" s="49">
        <f t="shared" si="12"/>
        <v>126793</v>
      </c>
      <c r="I45" s="277">
        <f t="shared" si="12"/>
        <v>0</v>
      </c>
      <c r="J45" s="277">
        <f t="shared" si="12"/>
        <v>886241</v>
      </c>
      <c r="K45" s="277">
        <f t="shared" si="12"/>
        <v>133580</v>
      </c>
      <c r="L45" s="277">
        <f t="shared" si="12"/>
        <v>714417.99999999988</v>
      </c>
      <c r="M45" s="277">
        <f t="shared" si="12"/>
        <v>38243</v>
      </c>
      <c r="N45" s="277">
        <f t="shared" si="12"/>
        <v>0</v>
      </c>
      <c r="O45" s="49">
        <f t="shared" si="12"/>
        <v>832699</v>
      </c>
      <c r="P45" s="49">
        <f t="shared" si="12"/>
        <v>132699</v>
      </c>
      <c r="Q45" s="49">
        <f t="shared" si="12"/>
        <v>700000</v>
      </c>
      <c r="R45" s="49">
        <f t="shared" si="12"/>
        <v>0</v>
      </c>
      <c r="S45" s="49">
        <f t="shared" si="12"/>
        <v>0</v>
      </c>
      <c r="T45" s="49">
        <f>SUM(T35:T44)-T41-T39</f>
        <v>3098872</v>
      </c>
      <c r="U45" s="49">
        <f t="shared" ref="U45" si="13">SUM(U35:U44)-U41-U39</f>
        <v>348269</v>
      </c>
      <c r="V45" s="49">
        <f t="shared" ref="V45" si="14">SUM(V35:V44)-V41-V39</f>
        <v>2750603</v>
      </c>
      <c r="W45" s="49">
        <f t="shared" ref="W45" si="15">SUM(W35:W44)-W41-W39</f>
        <v>0</v>
      </c>
      <c r="X45" s="49">
        <f t="shared" ref="X45" si="16">SUM(X35:X44)-X41-X39</f>
        <v>0</v>
      </c>
      <c r="Y45" s="49">
        <f t="shared" ref="Y45" si="17">SUM(Y35:Y44)-Y41-Y39</f>
        <v>2507975</v>
      </c>
      <c r="Z45" s="49">
        <f t="shared" ref="Z45" si="18">SUM(Z35:Z44)-Z41-Z39</f>
        <v>188906</v>
      </c>
      <c r="AA45" s="49">
        <f t="shared" ref="AA45" si="19">SUM(AA35:AA44)-AA41-AA39</f>
        <v>2319069</v>
      </c>
      <c r="AB45" s="49">
        <f t="shared" ref="AB45" si="20">SUM(AB35:AB44)-AB41-AB39</f>
        <v>0</v>
      </c>
      <c r="AC45" s="49">
        <f t="shared" ref="AC45" si="21">SUM(AC35:AC44)-AC41-AC39</f>
        <v>0</v>
      </c>
      <c r="AD45" s="49">
        <f>SUM(AD35:AD44)-AD41-AD39</f>
        <v>8911203</v>
      </c>
      <c r="AE45" s="61">
        <f>F45+K45+P45+U45+Z45</f>
        <v>912969</v>
      </c>
      <c r="AF45" s="61">
        <f>G45+L45+Q45+V45+AA45</f>
        <v>7833198</v>
      </c>
      <c r="AG45" s="61">
        <f>H45+M45+R45+W45+AB45</f>
        <v>165036</v>
      </c>
      <c r="AH45" s="61">
        <f>I45+N45+S45+X45+AC45</f>
        <v>0</v>
      </c>
    </row>
    <row r="46" spans="1:34" ht="42" customHeight="1" x14ac:dyDescent="0.2">
      <c r="A46" s="453" t="s">
        <v>825</v>
      </c>
      <c r="B46" s="453"/>
      <c r="C46" s="453"/>
      <c r="D46" s="453"/>
      <c r="E46" s="453"/>
      <c r="F46" s="453"/>
      <c r="G46" s="453"/>
      <c r="H46" s="453"/>
      <c r="I46" s="453"/>
      <c r="J46" s="453"/>
      <c r="K46" s="453"/>
      <c r="L46" s="453"/>
      <c r="M46" s="453"/>
      <c r="N46" s="453"/>
      <c r="O46" s="453"/>
      <c r="P46" s="453"/>
      <c r="Q46" s="453"/>
      <c r="R46" s="453"/>
      <c r="S46" s="453"/>
      <c r="T46" s="453"/>
      <c r="U46" s="453"/>
      <c r="V46" s="453"/>
      <c r="W46" s="453"/>
      <c r="X46" s="453"/>
      <c r="Y46" s="453"/>
      <c r="Z46" s="453"/>
      <c r="AA46" s="453"/>
      <c r="AB46" s="453"/>
      <c r="AC46" s="453"/>
      <c r="AD46" s="453"/>
    </row>
    <row r="47" spans="1:34" ht="37.9" customHeight="1" x14ac:dyDescent="0.2">
      <c r="A47" s="455" t="s">
        <v>1197</v>
      </c>
      <c r="B47" s="455"/>
      <c r="C47" s="455"/>
      <c r="D47" s="455"/>
      <c r="E47" s="455"/>
      <c r="F47" s="455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455"/>
      <c r="R47" s="455"/>
      <c r="S47" s="455"/>
      <c r="T47" s="455"/>
      <c r="U47" s="455"/>
      <c r="V47" s="455"/>
      <c r="W47" s="455"/>
      <c r="X47" s="455"/>
      <c r="Y47" s="455"/>
      <c r="Z47" s="455"/>
      <c r="AA47" s="455"/>
      <c r="AB47" s="455"/>
      <c r="AC47" s="455"/>
      <c r="AD47" s="455"/>
    </row>
    <row r="48" spans="1:34" ht="36" customHeight="1" x14ac:dyDescent="0.2">
      <c r="A48" s="452" t="s">
        <v>824</v>
      </c>
      <c r="B48" s="452"/>
      <c r="C48" s="452"/>
      <c r="D48" s="452"/>
      <c r="E48" s="452"/>
      <c r="F48" s="452"/>
      <c r="G48" s="452"/>
      <c r="H48" s="452"/>
      <c r="I48" s="452"/>
      <c r="J48" s="452"/>
      <c r="K48" s="452"/>
      <c r="L48" s="452"/>
      <c r="M48" s="452"/>
      <c r="N48" s="452"/>
      <c r="O48" s="452"/>
      <c r="P48" s="452"/>
      <c r="Q48" s="452"/>
      <c r="R48" s="452"/>
      <c r="S48" s="452"/>
      <c r="T48" s="452"/>
      <c r="U48" s="452"/>
      <c r="V48" s="452"/>
      <c r="W48" s="452"/>
      <c r="X48" s="452"/>
      <c r="Y48" s="452"/>
      <c r="Z48" s="452"/>
      <c r="AA48" s="452"/>
      <c r="AB48" s="452"/>
      <c r="AC48" s="452"/>
      <c r="AD48" s="452"/>
    </row>
    <row r="49" spans="1:34" ht="36.6" customHeight="1" outlineLevel="1" x14ac:dyDescent="0.2">
      <c r="A49" s="452" t="s">
        <v>224</v>
      </c>
      <c r="B49" s="452"/>
      <c r="C49" s="452"/>
      <c r="D49" s="452"/>
      <c r="E49" s="452"/>
      <c r="F49" s="452"/>
      <c r="G49" s="452"/>
      <c r="H49" s="452"/>
      <c r="I49" s="452"/>
      <c r="J49" s="452"/>
      <c r="K49" s="452"/>
      <c r="L49" s="452"/>
      <c r="M49" s="452"/>
      <c r="N49" s="452"/>
      <c r="O49" s="452"/>
      <c r="P49" s="452"/>
      <c r="Q49" s="452"/>
      <c r="R49" s="452"/>
      <c r="S49" s="452"/>
      <c r="T49" s="452"/>
      <c r="U49" s="452"/>
      <c r="V49" s="452"/>
      <c r="W49" s="452"/>
      <c r="X49" s="452"/>
      <c r="Y49" s="452"/>
      <c r="Z49" s="452"/>
      <c r="AA49" s="452"/>
      <c r="AB49" s="452"/>
      <c r="AC49" s="452"/>
      <c r="AD49" s="452"/>
    </row>
    <row r="50" spans="1:34" s="3" customFormat="1" ht="207.75" customHeight="1" outlineLevel="1" x14ac:dyDescent="0.2">
      <c r="A50" s="239">
        <v>24</v>
      </c>
      <c r="B50" s="237" t="s">
        <v>987</v>
      </c>
      <c r="C50" s="86" t="s">
        <v>186</v>
      </c>
      <c r="D50" s="238" t="s">
        <v>177</v>
      </c>
      <c r="E50" s="49">
        <f>F50+G50+H50+I50</f>
        <v>242392</v>
      </c>
      <c r="F50" s="62">
        <f>390702-125000-25030+1720</f>
        <v>242392</v>
      </c>
      <c r="G50" s="62">
        <v>0</v>
      </c>
      <c r="H50" s="62">
        <v>0</v>
      </c>
      <c r="I50" s="62">
        <v>0</v>
      </c>
      <c r="J50" s="49">
        <f>K50+L50+M50+N50</f>
        <v>433621</v>
      </c>
      <c r="K50" s="62">
        <f>427573+6048</f>
        <v>433621</v>
      </c>
      <c r="L50" s="62">
        <v>0</v>
      </c>
      <c r="M50" s="62">
        <v>0</v>
      </c>
      <c r="N50" s="62">
        <v>0</v>
      </c>
      <c r="O50" s="49">
        <f>P50+Q50+R50+S50</f>
        <v>426468</v>
      </c>
      <c r="P50" s="62">
        <f>424611+1857</f>
        <v>426468</v>
      </c>
      <c r="Q50" s="62">
        <v>0</v>
      </c>
      <c r="R50" s="62">
        <v>0</v>
      </c>
      <c r="S50" s="62">
        <v>0</v>
      </c>
      <c r="T50" s="49">
        <f>U50+V50+W50+X50</f>
        <v>406330</v>
      </c>
      <c r="U50" s="62">
        <v>406330</v>
      </c>
      <c r="V50" s="62">
        <v>0</v>
      </c>
      <c r="W50" s="62">
        <v>0</v>
      </c>
      <c r="X50" s="62">
        <v>0</v>
      </c>
      <c r="Y50" s="49">
        <f>Z50+AA50+AB50+AC50</f>
        <v>422583</v>
      </c>
      <c r="Z50" s="62">
        <f>ROUND(U50*104%,0)</f>
        <v>422583</v>
      </c>
      <c r="AA50" s="62">
        <v>0</v>
      </c>
      <c r="AB50" s="62">
        <v>0</v>
      </c>
      <c r="AC50" s="62">
        <v>0</v>
      </c>
      <c r="AD50" s="49">
        <f t="shared" ref="AD50:AH51" si="22">E50+J50+O50+T50+Y50</f>
        <v>1931394</v>
      </c>
      <c r="AE50" s="61">
        <f t="shared" si="22"/>
        <v>1931394</v>
      </c>
      <c r="AF50" s="61">
        <f t="shared" si="22"/>
        <v>0</v>
      </c>
      <c r="AG50" s="61">
        <f t="shared" si="22"/>
        <v>0</v>
      </c>
      <c r="AH50" s="61">
        <f t="shared" si="22"/>
        <v>0</v>
      </c>
    </row>
    <row r="51" spans="1:34" s="3" customFormat="1" ht="93" customHeight="1" outlineLevel="1" x14ac:dyDescent="0.2">
      <c r="A51" s="239">
        <v>25</v>
      </c>
      <c r="B51" s="237" t="s">
        <v>225</v>
      </c>
      <c r="C51" s="86" t="s">
        <v>186</v>
      </c>
      <c r="D51" s="238" t="s">
        <v>177</v>
      </c>
      <c r="E51" s="49">
        <v>846</v>
      </c>
      <c r="F51" s="62">
        <v>846</v>
      </c>
      <c r="G51" s="62">
        <v>0</v>
      </c>
      <c r="H51" s="62">
        <v>0</v>
      </c>
      <c r="I51" s="62">
        <v>0</v>
      </c>
      <c r="J51" s="49">
        <f>K51+L51+M51+N51</f>
        <v>846</v>
      </c>
      <c r="K51" s="62">
        <v>846</v>
      </c>
      <c r="L51" s="62">
        <v>0</v>
      </c>
      <c r="M51" s="62">
        <v>0</v>
      </c>
      <c r="N51" s="62">
        <v>0</v>
      </c>
      <c r="O51" s="49">
        <f>P51+Q51+R51+S51</f>
        <v>846</v>
      </c>
      <c r="P51" s="62">
        <v>846</v>
      </c>
      <c r="Q51" s="62">
        <v>0</v>
      </c>
      <c r="R51" s="62">
        <v>0</v>
      </c>
      <c r="S51" s="62">
        <v>0</v>
      </c>
      <c r="T51" s="49">
        <f>U51+V51+W51+X51</f>
        <v>880</v>
      </c>
      <c r="U51" s="62">
        <f>ROUND(P51*104%,0)</f>
        <v>880</v>
      </c>
      <c r="V51" s="62">
        <v>0</v>
      </c>
      <c r="W51" s="62">
        <v>0</v>
      </c>
      <c r="X51" s="62">
        <v>0</v>
      </c>
      <c r="Y51" s="49">
        <f>Z51</f>
        <v>915</v>
      </c>
      <c r="Z51" s="62">
        <f>ROUND(U51*104%,0)</f>
        <v>915</v>
      </c>
      <c r="AA51" s="62">
        <v>0</v>
      </c>
      <c r="AB51" s="62">
        <v>0</v>
      </c>
      <c r="AC51" s="62">
        <v>0</v>
      </c>
      <c r="AD51" s="49">
        <f t="shared" si="22"/>
        <v>4333</v>
      </c>
      <c r="AE51" s="61">
        <f t="shared" si="22"/>
        <v>4333</v>
      </c>
      <c r="AF51" s="61">
        <f t="shared" si="22"/>
        <v>0</v>
      </c>
      <c r="AG51" s="61">
        <f t="shared" si="22"/>
        <v>0</v>
      </c>
      <c r="AH51" s="61">
        <f t="shared" si="22"/>
        <v>0</v>
      </c>
    </row>
    <row r="52" spans="1:34" s="3" customFormat="1" ht="36.6" customHeight="1" outlineLevel="1" x14ac:dyDescent="0.2">
      <c r="A52" s="452" t="s">
        <v>226</v>
      </c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  <c r="Y52" s="452"/>
      <c r="Z52" s="452"/>
      <c r="AA52" s="452"/>
      <c r="AB52" s="452"/>
      <c r="AC52" s="452"/>
      <c r="AD52" s="452"/>
      <c r="AE52" s="63"/>
      <c r="AF52" s="37"/>
      <c r="AG52" s="37"/>
      <c r="AH52" s="37"/>
    </row>
    <row r="53" spans="1:34" s="3" customFormat="1" ht="96.6" customHeight="1" outlineLevel="1" x14ac:dyDescent="0.2">
      <c r="A53" s="239">
        <v>26</v>
      </c>
      <c r="B53" s="237" t="s">
        <v>227</v>
      </c>
      <c r="C53" s="86" t="s">
        <v>186</v>
      </c>
      <c r="D53" s="238" t="s">
        <v>177</v>
      </c>
      <c r="E53" s="49">
        <f>F53+G53+H53+I53</f>
        <v>29931</v>
      </c>
      <c r="F53" s="62">
        <f>30000-69</f>
        <v>29931</v>
      </c>
      <c r="G53" s="62">
        <v>0</v>
      </c>
      <c r="H53" s="62">
        <v>0</v>
      </c>
      <c r="I53" s="62">
        <v>0</v>
      </c>
      <c r="J53" s="49">
        <f>K53+L53+M53+N53</f>
        <v>30000</v>
      </c>
      <c r="K53" s="62">
        <v>30000</v>
      </c>
      <c r="L53" s="62">
        <v>0</v>
      </c>
      <c r="M53" s="62">
        <v>0</v>
      </c>
      <c r="N53" s="62">
        <v>0</v>
      </c>
      <c r="O53" s="49">
        <f>P53+Q53+R53+S53</f>
        <v>30000</v>
      </c>
      <c r="P53" s="62">
        <v>30000</v>
      </c>
      <c r="Q53" s="62">
        <v>0</v>
      </c>
      <c r="R53" s="62">
        <v>0</v>
      </c>
      <c r="S53" s="62">
        <v>0</v>
      </c>
      <c r="T53" s="49">
        <f>U53+V53</f>
        <v>31200</v>
      </c>
      <c r="U53" s="62">
        <f>ROUND(P53*104%,1)</f>
        <v>31200</v>
      </c>
      <c r="V53" s="62">
        <v>0</v>
      </c>
      <c r="W53" s="62">
        <v>0</v>
      </c>
      <c r="X53" s="62">
        <v>0</v>
      </c>
      <c r="Y53" s="49">
        <f>Z53+AA53</f>
        <v>32448</v>
      </c>
      <c r="Z53" s="62">
        <f>ROUND(U53*104%,1)</f>
        <v>32448</v>
      </c>
      <c r="AA53" s="62">
        <v>0</v>
      </c>
      <c r="AB53" s="62">
        <v>0</v>
      </c>
      <c r="AC53" s="62">
        <v>0</v>
      </c>
      <c r="AD53" s="49">
        <f>E53+J53+O53+T53+Y53</f>
        <v>153579</v>
      </c>
      <c r="AE53" s="61">
        <f>F53+K53+P53+U53+Z53</f>
        <v>153579</v>
      </c>
      <c r="AF53" s="61">
        <f>G53+L53+Q53+V53+AA53</f>
        <v>0</v>
      </c>
      <c r="AG53" s="61">
        <f>H53+M53+R53+W53+AB53</f>
        <v>0</v>
      </c>
      <c r="AH53" s="61">
        <f>I53+N53+S53+X53+AC53</f>
        <v>0</v>
      </c>
    </row>
    <row r="54" spans="1:34" s="3" customFormat="1" ht="94.15" customHeight="1" outlineLevel="1" x14ac:dyDescent="0.2">
      <c r="A54" s="239">
        <v>27</v>
      </c>
      <c r="B54" s="237" t="s">
        <v>1027</v>
      </c>
      <c r="C54" s="86" t="s">
        <v>186</v>
      </c>
      <c r="D54" s="238">
        <v>2021</v>
      </c>
      <c r="E54" s="49">
        <f>F54+G54+H54+I54</f>
        <v>8403</v>
      </c>
      <c r="F54" s="62">
        <v>8403</v>
      </c>
      <c r="G54" s="62">
        <v>0</v>
      </c>
      <c r="H54" s="62">
        <v>0</v>
      </c>
      <c r="I54" s="62">
        <v>0</v>
      </c>
      <c r="J54" s="49">
        <f>K54+L54+M54+N54</f>
        <v>0</v>
      </c>
      <c r="K54" s="62">
        <v>0</v>
      </c>
      <c r="L54" s="62">
        <v>0</v>
      </c>
      <c r="M54" s="62">
        <v>0</v>
      </c>
      <c r="N54" s="62">
        <v>0</v>
      </c>
      <c r="O54" s="49">
        <f>P54+Q54+R54+S54</f>
        <v>0</v>
      </c>
      <c r="P54" s="62">
        <v>0</v>
      </c>
      <c r="Q54" s="62">
        <v>0</v>
      </c>
      <c r="R54" s="62">
        <v>0</v>
      </c>
      <c r="S54" s="62">
        <v>0</v>
      </c>
      <c r="T54" s="49">
        <f>U54+V54+W54+X54</f>
        <v>0</v>
      </c>
      <c r="U54" s="62">
        <v>0</v>
      </c>
      <c r="V54" s="62">
        <v>0</v>
      </c>
      <c r="W54" s="62">
        <v>0</v>
      </c>
      <c r="X54" s="62">
        <v>0</v>
      </c>
      <c r="Y54" s="49">
        <f>Z54+AA54+AB54+AC54</f>
        <v>0</v>
      </c>
      <c r="Z54" s="62">
        <v>0</v>
      </c>
      <c r="AA54" s="62">
        <v>0</v>
      </c>
      <c r="AB54" s="62">
        <v>0</v>
      </c>
      <c r="AC54" s="62">
        <v>0</v>
      </c>
      <c r="AD54" s="49">
        <f>E54+J54+O54+T54+Y54</f>
        <v>8403</v>
      </c>
      <c r="AE54" s="61"/>
      <c r="AF54" s="61"/>
      <c r="AG54" s="61"/>
      <c r="AH54" s="61"/>
    </row>
    <row r="55" spans="1:34" s="3" customFormat="1" ht="240" customHeight="1" outlineLevel="1" x14ac:dyDescent="0.2">
      <c r="A55" s="239">
        <v>28</v>
      </c>
      <c r="B55" s="237" t="s">
        <v>1338</v>
      </c>
      <c r="C55" s="86" t="s">
        <v>186</v>
      </c>
      <c r="D55" s="238">
        <v>2021</v>
      </c>
      <c r="E55" s="49">
        <f>F55+G55+H55+I55</f>
        <v>111</v>
      </c>
      <c r="F55" s="62">
        <f>625-257-257</f>
        <v>111</v>
      </c>
      <c r="G55" s="62">
        <v>0</v>
      </c>
      <c r="H55" s="62">
        <v>0</v>
      </c>
      <c r="I55" s="62">
        <v>0</v>
      </c>
      <c r="J55" s="49">
        <f>K55+L55+M55+N55</f>
        <v>0</v>
      </c>
      <c r="K55" s="62">
        <v>0</v>
      </c>
      <c r="L55" s="62">
        <v>0</v>
      </c>
      <c r="M55" s="62">
        <v>0</v>
      </c>
      <c r="N55" s="62">
        <v>0</v>
      </c>
      <c r="O55" s="49">
        <f>P55+Q55+R55+S55</f>
        <v>0</v>
      </c>
      <c r="P55" s="62">
        <v>0</v>
      </c>
      <c r="Q55" s="62">
        <v>0</v>
      </c>
      <c r="R55" s="62">
        <v>0</v>
      </c>
      <c r="S55" s="62">
        <v>0</v>
      </c>
      <c r="T55" s="49">
        <f>U55+V55+W55+X55</f>
        <v>0</v>
      </c>
      <c r="U55" s="62">
        <v>0</v>
      </c>
      <c r="V55" s="62">
        <v>0</v>
      </c>
      <c r="W55" s="62">
        <v>0</v>
      </c>
      <c r="X55" s="62">
        <v>0</v>
      </c>
      <c r="Y55" s="49">
        <f>Z55+AA55+AB55+AC55</f>
        <v>0</v>
      </c>
      <c r="Z55" s="62">
        <v>0</v>
      </c>
      <c r="AA55" s="62">
        <v>0</v>
      </c>
      <c r="AB55" s="62">
        <v>0</v>
      </c>
      <c r="AC55" s="62">
        <v>0</v>
      </c>
      <c r="AD55" s="49">
        <f>E55+J55+O55+T55+Y55</f>
        <v>111</v>
      </c>
      <c r="AE55" s="61"/>
      <c r="AF55" s="61"/>
      <c r="AG55" s="61"/>
      <c r="AH55" s="61"/>
    </row>
    <row r="56" spans="1:34" s="3" customFormat="1" ht="112.15" customHeight="1" outlineLevel="1" x14ac:dyDescent="0.2">
      <c r="A56" s="239">
        <v>29</v>
      </c>
      <c r="B56" s="237" t="s">
        <v>1244</v>
      </c>
      <c r="C56" s="86" t="s">
        <v>186</v>
      </c>
      <c r="D56" s="238">
        <v>2021</v>
      </c>
      <c r="E56" s="49">
        <f>F56+G56+H56+I56</f>
        <v>269</v>
      </c>
      <c r="F56" s="62">
        <v>269</v>
      </c>
      <c r="G56" s="242">
        <v>0</v>
      </c>
      <c r="H56" s="242">
        <v>0</v>
      </c>
      <c r="I56" s="242">
        <v>0</v>
      </c>
      <c r="J56" s="243">
        <f>K56+L56+M56+N56</f>
        <v>0</v>
      </c>
      <c r="K56" s="242">
        <v>0</v>
      </c>
      <c r="L56" s="242">
        <v>0</v>
      </c>
      <c r="M56" s="242">
        <v>0</v>
      </c>
      <c r="N56" s="242">
        <v>0</v>
      </c>
      <c r="O56" s="243">
        <f>P56+Q56+R56+S56</f>
        <v>0</v>
      </c>
      <c r="P56" s="242">
        <v>0</v>
      </c>
      <c r="Q56" s="242">
        <v>0</v>
      </c>
      <c r="R56" s="242">
        <v>0</v>
      </c>
      <c r="S56" s="242">
        <v>0</v>
      </c>
      <c r="T56" s="243">
        <f>U56+V56+W56+X56</f>
        <v>0</v>
      </c>
      <c r="U56" s="242">
        <v>0</v>
      </c>
      <c r="V56" s="242">
        <v>0</v>
      </c>
      <c r="W56" s="242">
        <v>0</v>
      </c>
      <c r="X56" s="242">
        <v>0</v>
      </c>
      <c r="Y56" s="243">
        <f>Z56+AA56+AB56+AC56</f>
        <v>0</v>
      </c>
      <c r="Z56" s="242">
        <v>0</v>
      </c>
      <c r="AA56" s="242">
        <v>0</v>
      </c>
      <c r="AB56" s="242">
        <v>0</v>
      </c>
      <c r="AC56" s="242">
        <v>0</v>
      </c>
      <c r="AD56" s="49">
        <f>E56+J56+O56+T56+Y56</f>
        <v>269</v>
      </c>
      <c r="AE56" s="61"/>
      <c r="AF56" s="61"/>
      <c r="AG56" s="61"/>
      <c r="AH56" s="61"/>
    </row>
    <row r="57" spans="1:34" s="3" customFormat="1" ht="39" customHeight="1" outlineLevel="1" x14ac:dyDescent="0.2">
      <c r="A57" s="450" t="s">
        <v>228</v>
      </c>
      <c r="B57" s="450"/>
      <c r="C57" s="450"/>
      <c r="D57" s="20"/>
      <c r="E57" s="49">
        <f>SUM(E50:E56)</f>
        <v>281952</v>
      </c>
      <c r="F57" s="49">
        <f t="shared" ref="F57:AD57" si="23">SUM(F50:F56)</f>
        <v>281952</v>
      </c>
      <c r="G57" s="49">
        <f t="shared" si="23"/>
        <v>0</v>
      </c>
      <c r="H57" s="49">
        <f t="shared" si="23"/>
        <v>0</v>
      </c>
      <c r="I57" s="49">
        <f t="shared" si="23"/>
        <v>0</v>
      </c>
      <c r="J57" s="49">
        <f t="shared" si="23"/>
        <v>464467</v>
      </c>
      <c r="K57" s="49">
        <f t="shared" si="23"/>
        <v>464467</v>
      </c>
      <c r="L57" s="49">
        <f t="shared" si="23"/>
        <v>0</v>
      </c>
      <c r="M57" s="49">
        <f t="shared" si="23"/>
        <v>0</v>
      </c>
      <c r="N57" s="49">
        <f t="shared" si="23"/>
        <v>0</v>
      </c>
      <c r="O57" s="49">
        <f t="shared" si="23"/>
        <v>457314</v>
      </c>
      <c r="P57" s="49">
        <f t="shared" si="23"/>
        <v>457314</v>
      </c>
      <c r="Q57" s="49">
        <f t="shared" si="23"/>
        <v>0</v>
      </c>
      <c r="R57" s="49">
        <f t="shared" si="23"/>
        <v>0</v>
      </c>
      <c r="S57" s="49">
        <f t="shared" si="23"/>
        <v>0</v>
      </c>
      <c r="T57" s="49">
        <f t="shared" si="23"/>
        <v>438410</v>
      </c>
      <c r="U57" s="49">
        <f t="shared" si="23"/>
        <v>438410</v>
      </c>
      <c r="V57" s="49">
        <f t="shared" si="23"/>
        <v>0</v>
      </c>
      <c r="W57" s="49">
        <f t="shared" si="23"/>
        <v>0</v>
      </c>
      <c r="X57" s="49">
        <f t="shared" si="23"/>
        <v>0</v>
      </c>
      <c r="Y57" s="49">
        <f t="shared" si="23"/>
        <v>455946</v>
      </c>
      <c r="Z57" s="49">
        <f t="shared" si="23"/>
        <v>455946</v>
      </c>
      <c r="AA57" s="49">
        <f t="shared" si="23"/>
        <v>0</v>
      </c>
      <c r="AB57" s="49">
        <f t="shared" si="23"/>
        <v>0</v>
      </c>
      <c r="AC57" s="49">
        <f t="shared" si="23"/>
        <v>0</v>
      </c>
      <c r="AD57" s="49">
        <f t="shared" si="23"/>
        <v>2098089</v>
      </c>
      <c r="AE57" s="61">
        <f>F57+K57+P57+U57+Z57</f>
        <v>2098089</v>
      </c>
      <c r="AF57" s="61">
        <f>G57+L57+Q57+V57+AA57</f>
        <v>0</v>
      </c>
      <c r="AG57" s="61">
        <f>H57+M57+R57+W57+AB57</f>
        <v>0</v>
      </c>
      <c r="AH57" s="61">
        <f>I57+N57+S57+X57+AC57</f>
        <v>0</v>
      </c>
    </row>
    <row r="58" spans="1:34" s="3" customFormat="1" ht="39" customHeight="1" outlineLevel="1" x14ac:dyDescent="0.2">
      <c r="A58" s="453" t="s">
        <v>704</v>
      </c>
      <c r="B58" s="453"/>
      <c r="C58" s="453"/>
      <c r="D58" s="453"/>
      <c r="E58" s="453"/>
      <c r="F58" s="453"/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453"/>
      <c r="R58" s="453"/>
      <c r="S58" s="453"/>
      <c r="T58" s="453"/>
      <c r="U58" s="453"/>
      <c r="V58" s="453"/>
      <c r="W58" s="453"/>
      <c r="X58" s="453"/>
      <c r="Y58" s="453"/>
      <c r="Z58" s="453"/>
      <c r="AA58" s="453"/>
      <c r="AB58" s="453"/>
      <c r="AC58" s="453"/>
      <c r="AD58" s="453"/>
      <c r="AE58" s="64"/>
      <c r="AF58" s="64"/>
      <c r="AG58" s="64"/>
      <c r="AH58" s="64"/>
    </row>
    <row r="59" spans="1:34" s="64" customFormat="1" ht="38.450000000000003" customHeight="1" outlineLevel="1" x14ac:dyDescent="0.2">
      <c r="A59" s="454" t="s">
        <v>777</v>
      </c>
      <c r="B59" s="454"/>
      <c r="C59" s="454"/>
      <c r="D59" s="454"/>
      <c r="E59" s="454"/>
      <c r="F59" s="454"/>
      <c r="G59" s="454"/>
      <c r="H59" s="454"/>
      <c r="I59" s="454"/>
      <c r="J59" s="454"/>
      <c r="K59" s="454"/>
      <c r="L59" s="454"/>
      <c r="M59" s="454"/>
      <c r="N59" s="454"/>
      <c r="O59" s="454"/>
      <c r="P59" s="454"/>
      <c r="Q59" s="454"/>
      <c r="R59" s="454"/>
      <c r="S59" s="454"/>
      <c r="T59" s="454"/>
      <c r="U59" s="454"/>
      <c r="V59" s="454"/>
      <c r="W59" s="454"/>
      <c r="X59" s="454"/>
      <c r="Y59" s="454"/>
      <c r="Z59" s="454"/>
      <c r="AA59" s="454"/>
      <c r="AB59" s="454"/>
      <c r="AC59" s="454"/>
      <c r="AD59" s="454"/>
      <c r="AE59" s="3"/>
      <c r="AF59" s="3"/>
      <c r="AG59" s="3"/>
      <c r="AH59" s="3"/>
    </row>
    <row r="60" spans="1:34" s="3" customFormat="1" ht="34.15" customHeight="1" x14ac:dyDescent="0.2">
      <c r="A60" s="452" t="s">
        <v>181</v>
      </c>
      <c r="B60" s="452"/>
      <c r="C60" s="452"/>
      <c r="D60" s="452"/>
      <c r="E60" s="452"/>
      <c r="F60" s="452"/>
      <c r="G60" s="452"/>
      <c r="H60" s="452"/>
      <c r="I60" s="452"/>
      <c r="J60" s="452"/>
      <c r="K60" s="452"/>
      <c r="L60" s="452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452"/>
      <c r="Z60" s="452"/>
      <c r="AA60" s="452"/>
      <c r="AB60" s="452"/>
      <c r="AC60" s="452"/>
      <c r="AD60" s="452"/>
      <c r="AE60" s="65"/>
      <c r="AF60" s="65"/>
      <c r="AG60" s="65"/>
      <c r="AH60" s="65"/>
    </row>
    <row r="61" spans="1:34" s="3" customFormat="1" ht="42" customHeight="1" x14ac:dyDescent="0.2">
      <c r="A61" s="452" t="s">
        <v>180</v>
      </c>
      <c r="B61" s="452"/>
      <c r="C61" s="452"/>
      <c r="D61" s="452"/>
      <c r="E61" s="452"/>
      <c r="F61" s="452"/>
      <c r="G61" s="452"/>
      <c r="H61" s="452"/>
      <c r="I61" s="452"/>
      <c r="J61" s="452"/>
      <c r="K61" s="452"/>
      <c r="L61" s="452"/>
      <c r="M61" s="452"/>
      <c r="N61" s="452"/>
      <c r="O61" s="452"/>
      <c r="P61" s="452"/>
      <c r="Q61" s="452"/>
      <c r="R61" s="452"/>
      <c r="S61" s="452"/>
      <c r="T61" s="452"/>
      <c r="U61" s="452"/>
      <c r="V61" s="452"/>
      <c r="W61" s="452"/>
      <c r="X61" s="452"/>
      <c r="Y61" s="452"/>
      <c r="Z61" s="452"/>
      <c r="AA61" s="452"/>
      <c r="AB61" s="452"/>
      <c r="AC61" s="452"/>
      <c r="AD61" s="452"/>
      <c r="AE61" s="65"/>
      <c r="AF61" s="65"/>
      <c r="AG61" s="65"/>
      <c r="AH61" s="65"/>
    </row>
    <row r="62" spans="1:34" s="3" customFormat="1" ht="96" customHeight="1" x14ac:dyDescent="0.2">
      <c r="A62" s="239">
        <v>30</v>
      </c>
      <c r="B62" s="238" t="s">
        <v>179</v>
      </c>
      <c r="C62" s="86" t="s">
        <v>178</v>
      </c>
      <c r="D62" s="238" t="s">
        <v>177</v>
      </c>
      <c r="E62" s="49">
        <f>F62+G62+H62+I62</f>
        <v>112</v>
      </c>
      <c r="F62" s="62">
        <v>0</v>
      </c>
      <c r="G62" s="62">
        <v>0</v>
      </c>
      <c r="H62" s="62">
        <v>0</v>
      </c>
      <c r="I62" s="62">
        <v>112</v>
      </c>
      <c r="J62" s="49">
        <f>K62+L62+M62+N62</f>
        <v>112</v>
      </c>
      <c r="K62" s="62">
        <v>0</v>
      </c>
      <c r="L62" s="62">
        <v>0</v>
      </c>
      <c r="M62" s="62">
        <v>0</v>
      </c>
      <c r="N62" s="62">
        <v>112</v>
      </c>
      <c r="O62" s="49">
        <f>P62+Q62+R62+S62</f>
        <v>112</v>
      </c>
      <c r="P62" s="62">
        <v>0</v>
      </c>
      <c r="Q62" s="62">
        <v>0</v>
      </c>
      <c r="R62" s="62">
        <v>0</v>
      </c>
      <c r="S62" s="62">
        <v>112</v>
      </c>
      <c r="T62" s="49">
        <f>U62+V62+W62+X62</f>
        <v>112</v>
      </c>
      <c r="U62" s="62">
        <v>0</v>
      </c>
      <c r="V62" s="62">
        <v>0</v>
      </c>
      <c r="W62" s="62">
        <v>0</v>
      </c>
      <c r="X62" s="62">
        <v>112</v>
      </c>
      <c r="Y62" s="49">
        <f>Z62+AA62+AB62+AC62</f>
        <v>112</v>
      </c>
      <c r="Z62" s="62">
        <v>0</v>
      </c>
      <c r="AA62" s="62">
        <v>0</v>
      </c>
      <c r="AB62" s="62">
        <v>0</v>
      </c>
      <c r="AC62" s="62">
        <v>112</v>
      </c>
      <c r="AD62" s="49">
        <f>E62+J62+O62+T62+Y62</f>
        <v>560</v>
      </c>
    </row>
    <row r="63" spans="1:34" s="3" customFormat="1" ht="31.5" customHeight="1" x14ac:dyDescent="0.2">
      <c r="A63" s="453" t="s">
        <v>788</v>
      </c>
      <c r="B63" s="453"/>
      <c r="C63" s="453"/>
      <c r="D63" s="453"/>
      <c r="E63" s="453"/>
      <c r="F63" s="453"/>
      <c r="G63" s="453"/>
      <c r="H63" s="453"/>
      <c r="I63" s="453"/>
      <c r="J63" s="453"/>
      <c r="K63" s="453"/>
      <c r="L63" s="453"/>
      <c r="M63" s="453"/>
      <c r="N63" s="453"/>
      <c r="O63" s="453"/>
      <c r="P63" s="453"/>
      <c r="Q63" s="453"/>
      <c r="R63" s="453"/>
      <c r="S63" s="453"/>
      <c r="T63" s="453"/>
      <c r="U63" s="453"/>
      <c r="V63" s="453"/>
      <c r="W63" s="453"/>
      <c r="X63" s="453"/>
      <c r="Y63" s="453"/>
      <c r="Z63" s="453"/>
      <c r="AA63" s="453"/>
      <c r="AB63" s="453"/>
      <c r="AC63" s="453"/>
      <c r="AD63" s="453"/>
    </row>
    <row r="64" spans="1:34" s="37" customFormat="1" ht="171" customHeight="1" x14ac:dyDescent="0.2">
      <c r="A64" s="240" t="s">
        <v>1436</v>
      </c>
      <c r="B64" s="241" t="s">
        <v>1396</v>
      </c>
      <c r="C64" s="244" t="s">
        <v>178</v>
      </c>
      <c r="D64" s="245">
        <v>2021</v>
      </c>
      <c r="E64" s="153">
        <f>F64+G64+H64+I64</f>
        <v>25743</v>
      </c>
      <c r="F64" s="154">
        <v>25743</v>
      </c>
      <c r="G64" s="154">
        <v>0</v>
      </c>
      <c r="H64" s="154">
        <v>0</v>
      </c>
      <c r="I64" s="154">
        <v>0</v>
      </c>
      <c r="J64" s="153">
        <f>K64+L64+M64+N64</f>
        <v>0</v>
      </c>
      <c r="K64" s="154">
        <v>0</v>
      </c>
      <c r="L64" s="154">
        <v>0</v>
      </c>
      <c r="M64" s="154">
        <v>0</v>
      </c>
      <c r="N64" s="154">
        <v>0</v>
      </c>
      <c r="O64" s="153">
        <v>0</v>
      </c>
      <c r="P64" s="154">
        <v>0</v>
      </c>
      <c r="Q64" s="154">
        <v>0</v>
      </c>
      <c r="R64" s="154">
        <v>0</v>
      </c>
      <c r="S64" s="154">
        <v>0</v>
      </c>
      <c r="T64" s="153">
        <f>U64+V64+W64+X64</f>
        <v>0</v>
      </c>
      <c r="U64" s="154">
        <v>0</v>
      </c>
      <c r="V64" s="154">
        <v>0</v>
      </c>
      <c r="W64" s="154">
        <v>0</v>
      </c>
      <c r="X64" s="154">
        <v>0</v>
      </c>
      <c r="Y64" s="153">
        <f>Z64+AA64+AB64+AC64</f>
        <v>0</v>
      </c>
      <c r="Z64" s="154">
        <v>0</v>
      </c>
      <c r="AA64" s="154">
        <v>0</v>
      </c>
      <c r="AB64" s="154">
        <v>0</v>
      </c>
      <c r="AC64" s="154">
        <v>0</v>
      </c>
      <c r="AD64" s="153">
        <f>E64+J64+O64+T64+Y64</f>
        <v>25743</v>
      </c>
      <c r="AE64" s="3"/>
      <c r="AF64" s="3"/>
      <c r="AG64" s="3"/>
      <c r="AH64" s="3"/>
    </row>
    <row r="65" spans="1:16384" s="37" customFormat="1" ht="399.75" customHeight="1" x14ac:dyDescent="0.2">
      <c r="A65" s="239" t="s">
        <v>1437</v>
      </c>
      <c r="B65" s="241" t="s">
        <v>1395</v>
      </c>
      <c r="C65" s="244" t="s">
        <v>178</v>
      </c>
      <c r="D65" s="245">
        <v>2021</v>
      </c>
      <c r="E65" s="153">
        <f>F65+G65+H65+I65</f>
        <v>29008</v>
      </c>
      <c r="F65" s="154">
        <v>290</v>
      </c>
      <c r="G65" s="154">
        <v>28718</v>
      </c>
      <c r="H65" s="154">
        <v>0</v>
      </c>
      <c r="I65" s="154">
        <v>0</v>
      </c>
      <c r="J65" s="153">
        <f>K65+L65+M65+N65</f>
        <v>0</v>
      </c>
      <c r="K65" s="154">
        <v>0</v>
      </c>
      <c r="L65" s="154">
        <v>0</v>
      </c>
      <c r="M65" s="154">
        <v>0</v>
      </c>
      <c r="N65" s="154">
        <v>0</v>
      </c>
      <c r="O65" s="153">
        <v>0</v>
      </c>
      <c r="P65" s="154">
        <v>0</v>
      </c>
      <c r="Q65" s="154">
        <v>0</v>
      </c>
      <c r="R65" s="154">
        <v>0</v>
      </c>
      <c r="S65" s="154">
        <v>0</v>
      </c>
      <c r="T65" s="153">
        <f>U65+V65+W65+X65</f>
        <v>0</v>
      </c>
      <c r="U65" s="154">
        <v>0</v>
      </c>
      <c r="V65" s="154">
        <v>0</v>
      </c>
      <c r="W65" s="154">
        <v>0</v>
      </c>
      <c r="X65" s="154">
        <v>0</v>
      </c>
      <c r="Y65" s="153">
        <f>Z65+AA65+AB65+AC65</f>
        <v>0</v>
      </c>
      <c r="Z65" s="154">
        <v>0</v>
      </c>
      <c r="AA65" s="154">
        <v>0</v>
      </c>
      <c r="AB65" s="154">
        <v>0</v>
      </c>
      <c r="AC65" s="154">
        <v>0</v>
      </c>
      <c r="AD65" s="153">
        <f>E65+J65+O65+T65+Y65</f>
        <v>29008</v>
      </c>
      <c r="AE65" s="3"/>
      <c r="AF65" s="3"/>
      <c r="AG65" s="3"/>
      <c r="AH65" s="3"/>
    </row>
    <row r="66" spans="1:16384" s="37" customFormat="1" ht="86.45" customHeight="1" x14ac:dyDescent="0.2">
      <c r="A66" s="239">
        <v>32</v>
      </c>
      <c r="B66" s="66" t="s">
        <v>1238</v>
      </c>
      <c r="C66" s="86" t="s">
        <v>178</v>
      </c>
      <c r="D66" s="238" t="s">
        <v>786</v>
      </c>
      <c r="E66" s="49">
        <v>0</v>
      </c>
      <c r="F66" s="62">
        <v>0</v>
      </c>
      <c r="G66" s="62">
        <v>0</v>
      </c>
      <c r="H66" s="62">
        <v>0</v>
      </c>
      <c r="I66" s="62">
        <v>0</v>
      </c>
      <c r="J66" s="49">
        <f>K66+L66+M66+N66</f>
        <v>26409</v>
      </c>
      <c r="K66" s="62">
        <f>26509-100</f>
        <v>26409</v>
      </c>
      <c r="L66" s="62">
        <v>0</v>
      </c>
      <c r="M66" s="62">
        <v>0</v>
      </c>
      <c r="N66" s="62">
        <v>0</v>
      </c>
      <c r="O66" s="49">
        <f>P66+Q66+R66+S66</f>
        <v>26409</v>
      </c>
      <c r="P66" s="62">
        <f>26509-100</f>
        <v>26409</v>
      </c>
      <c r="Q66" s="62">
        <v>0</v>
      </c>
      <c r="R66" s="62">
        <v>0</v>
      </c>
      <c r="S66" s="62">
        <v>0</v>
      </c>
      <c r="T66" s="49">
        <f>U66+V66+W66+X66</f>
        <v>26409</v>
      </c>
      <c r="U66" s="62">
        <f>26509-100</f>
        <v>26409</v>
      </c>
      <c r="V66" s="62">
        <v>0</v>
      </c>
      <c r="W66" s="62">
        <v>0</v>
      </c>
      <c r="X66" s="62">
        <v>0</v>
      </c>
      <c r="Y66" s="49">
        <f>Z66+AA66+AB66+AC66</f>
        <v>26409</v>
      </c>
      <c r="Z66" s="62">
        <f>26509-100</f>
        <v>26409</v>
      </c>
      <c r="AA66" s="62">
        <v>0</v>
      </c>
      <c r="AB66" s="62">
        <v>0</v>
      </c>
      <c r="AC66" s="62">
        <v>0</v>
      </c>
      <c r="AD66" s="49">
        <f>E66+J66+O66+T66+Y66</f>
        <v>105636</v>
      </c>
      <c r="AE66" s="3"/>
      <c r="AF66" s="3"/>
      <c r="AG66" s="3"/>
      <c r="AH66" s="3"/>
    </row>
    <row r="67" spans="1:16384" s="37" customFormat="1" ht="136.9" customHeight="1" x14ac:dyDescent="0.2">
      <c r="A67" s="239">
        <v>33</v>
      </c>
      <c r="B67" s="66" t="s">
        <v>776</v>
      </c>
      <c r="C67" s="238" t="s">
        <v>178</v>
      </c>
      <c r="D67" s="238" t="s">
        <v>177</v>
      </c>
      <c r="E67" s="49">
        <f>F67+G67+H67+I67</f>
        <v>214462</v>
      </c>
      <c r="F67" s="62">
        <f>214652+100-290</f>
        <v>214462</v>
      </c>
      <c r="G67" s="62">
        <v>0</v>
      </c>
      <c r="H67" s="62">
        <v>0</v>
      </c>
      <c r="I67" s="62">
        <v>0</v>
      </c>
      <c r="J67" s="49">
        <f>K67+L67+M67+N67</f>
        <v>214752</v>
      </c>
      <c r="K67" s="62">
        <f>214652+100</f>
        <v>214752</v>
      </c>
      <c r="L67" s="62">
        <v>0</v>
      </c>
      <c r="M67" s="62">
        <v>0</v>
      </c>
      <c r="N67" s="62">
        <v>0</v>
      </c>
      <c r="O67" s="49">
        <f>P67+Q67+R67+S67</f>
        <v>214752</v>
      </c>
      <c r="P67" s="62">
        <f>214652+100</f>
        <v>214752</v>
      </c>
      <c r="Q67" s="62">
        <v>0</v>
      </c>
      <c r="R67" s="62">
        <v>0</v>
      </c>
      <c r="S67" s="62">
        <v>0</v>
      </c>
      <c r="T67" s="49">
        <f>U67+V67+W67+X67</f>
        <v>214752</v>
      </c>
      <c r="U67" s="62">
        <f>214652+100</f>
        <v>214752</v>
      </c>
      <c r="V67" s="62">
        <v>0</v>
      </c>
      <c r="W67" s="62">
        <v>0</v>
      </c>
      <c r="X67" s="62">
        <v>0</v>
      </c>
      <c r="Y67" s="49">
        <f>Z67+AA67+AB67+AC67</f>
        <v>214752</v>
      </c>
      <c r="Z67" s="62">
        <f>214652+100</f>
        <v>214752</v>
      </c>
      <c r="AA67" s="62">
        <v>0</v>
      </c>
      <c r="AB67" s="62">
        <v>0</v>
      </c>
      <c r="AC67" s="62">
        <v>0</v>
      </c>
      <c r="AD67" s="49">
        <f>E67+J67+O67+T67+Y67</f>
        <v>1073470</v>
      </c>
      <c r="AE67" s="3"/>
      <c r="AF67" s="3"/>
      <c r="AG67" s="3"/>
      <c r="AH67" s="3"/>
    </row>
    <row r="68" spans="1:16384" s="37" customFormat="1" ht="39" customHeight="1" x14ac:dyDescent="0.2">
      <c r="A68" s="453" t="s">
        <v>959</v>
      </c>
      <c r="B68" s="453"/>
      <c r="C68" s="453"/>
      <c r="D68" s="453"/>
      <c r="E68" s="453"/>
      <c r="F68" s="453"/>
      <c r="G68" s="453"/>
      <c r="H68" s="453"/>
      <c r="I68" s="453"/>
      <c r="J68" s="453"/>
      <c r="K68" s="453"/>
      <c r="L68" s="453"/>
      <c r="M68" s="453"/>
      <c r="N68" s="453"/>
      <c r="O68" s="453"/>
      <c r="P68" s="453"/>
      <c r="Q68" s="453"/>
      <c r="R68" s="453"/>
      <c r="S68" s="453"/>
      <c r="T68" s="453"/>
      <c r="U68" s="453"/>
      <c r="V68" s="453"/>
      <c r="W68" s="453"/>
      <c r="X68" s="453"/>
      <c r="Y68" s="453"/>
      <c r="Z68" s="453"/>
      <c r="AA68" s="453"/>
      <c r="AB68" s="453"/>
      <c r="AC68" s="453"/>
      <c r="AD68" s="453"/>
      <c r="AE68" s="467"/>
      <c r="AF68" s="468"/>
      <c r="AG68" s="468"/>
      <c r="AH68" s="468"/>
      <c r="AI68" s="468"/>
      <c r="AJ68" s="468"/>
      <c r="AK68" s="468"/>
      <c r="AL68" s="468"/>
      <c r="AM68" s="468"/>
      <c r="AN68" s="468"/>
      <c r="AO68" s="468"/>
      <c r="AP68" s="468"/>
      <c r="AQ68" s="468"/>
      <c r="AR68" s="468"/>
      <c r="AS68" s="468"/>
      <c r="AT68" s="468"/>
      <c r="AU68" s="468"/>
      <c r="AV68" s="468"/>
      <c r="AW68" s="468"/>
      <c r="AX68" s="468"/>
      <c r="AY68" s="468"/>
      <c r="AZ68" s="468"/>
      <c r="BA68" s="468"/>
      <c r="BB68" s="468"/>
      <c r="BC68" s="468"/>
      <c r="BD68" s="468"/>
      <c r="BE68" s="468"/>
      <c r="BF68" s="468"/>
      <c r="BG68" s="468"/>
      <c r="BH68" s="469"/>
      <c r="BI68" s="467"/>
      <c r="BJ68" s="468"/>
      <c r="BK68" s="468"/>
      <c r="BL68" s="468"/>
      <c r="BM68" s="468"/>
      <c r="BN68" s="468"/>
      <c r="BO68" s="468"/>
      <c r="BP68" s="468"/>
      <c r="BQ68" s="468"/>
      <c r="BR68" s="468"/>
      <c r="BS68" s="468"/>
      <c r="BT68" s="468"/>
      <c r="BU68" s="468"/>
      <c r="BV68" s="468"/>
      <c r="BW68" s="468"/>
      <c r="BX68" s="468"/>
      <c r="BY68" s="468"/>
      <c r="BZ68" s="468"/>
      <c r="CA68" s="468"/>
      <c r="CB68" s="468"/>
      <c r="CC68" s="468"/>
      <c r="CD68" s="468"/>
      <c r="CE68" s="468"/>
      <c r="CF68" s="468"/>
      <c r="CG68" s="468"/>
      <c r="CH68" s="468"/>
      <c r="CI68" s="468"/>
      <c r="CJ68" s="468"/>
      <c r="CK68" s="468"/>
      <c r="CL68" s="469"/>
      <c r="CM68" s="467"/>
      <c r="CN68" s="468"/>
      <c r="CO68" s="468"/>
      <c r="CP68" s="468"/>
      <c r="CQ68" s="468"/>
      <c r="CR68" s="468"/>
      <c r="CS68" s="468"/>
      <c r="CT68" s="468"/>
      <c r="CU68" s="468"/>
      <c r="CV68" s="468"/>
      <c r="CW68" s="468"/>
      <c r="CX68" s="468"/>
      <c r="CY68" s="468"/>
      <c r="CZ68" s="468"/>
      <c r="DA68" s="468"/>
      <c r="DB68" s="468"/>
      <c r="DC68" s="468"/>
      <c r="DD68" s="468"/>
      <c r="DE68" s="468"/>
      <c r="DF68" s="468"/>
      <c r="DG68" s="468"/>
      <c r="DH68" s="468"/>
      <c r="DI68" s="468"/>
      <c r="DJ68" s="468"/>
      <c r="DK68" s="468"/>
      <c r="DL68" s="468"/>
      <c r="DM68" s="468"/>
      <c r="DN68" s="468"/>
      <c r="DO68" s="468"/>
      <c r="DP68" s="469"/>
      <c r="DQ68" s="467"/>
      <c r="DR68" s="468"/>
      <c r="DS68" s="468"/>
      <c r="DT68" s="468"/>
      <c r="DU68" s="468"/>
      <c r="DV68" s="468"/>
      <c r="DW68" s="468"/>
      <c r="DX68" s="468"/>
      <c r="DY68" s="468"/>
      <c r="DZ68" s="468"/>
      <c r="EA68" s="468"/>
      <c r="EB68" s="468"/>
      <c r="EC68" s="468"/>
      <c r="ED68" s="468"/>
      <c r="EE68" s="468"/>
      <c r="EF68" s="468"/>
      <c r="EG68" s="468"/>
      <c r="EH68" s="468"/>
      <c r="EI68" s="468"/>
      <c r="EJ68" s="468"/>
      <c r="EK68" s="468"/>
      <c r="EL68" s="468"/>
      <c r="EM68" s="468"/>
      <c r="EN68" s="468"/>
      <c r="EO68" s="468"/>
      <c r="EP68" s="468"/>
      <c r="EQ68" s="468"/>
      <c r="ER68" s="468"/>
      <c r="ES68" s="468"/>
      <c r="ET68" s="469"/>
      <c r="EU68" s="467"/>
      <c r="EV68" s="468"/>
      <c r="EW68" s="468"/>
      <c r="EX68" s="468"/>
      <c r="EY68" s="468"/>
      <c r="EZ68" s="468"/>
      <c r="FA68" s="468"/>
      <c r="FB68" s="468"/>
      <c r="FC68" s="468"/>
      <c r="FD68" s="468"/>
      <c r="FE68" s="468"/>
      <c r="FF68" s="468"/>
      <c r="FG68" s="468"/>
      <c r="FH68" s="468"/>
      <c r="FI68" s="468"/>
      <c r="FJ68" s="468"/>
      <c r="FK68" s="468"/>
      <c r="FL68" s="468"/>
      <c r="FM68" s="468"/>
      <c r="FN68" s="468"/>
      <c r="FO68" s="468"/>
      <c r="FP68" s="468"/>
      <c r="FQ68" s="468"/>
      <c r="FR68" s="468"/>
      <c r="FS68" s="468"/>
      <c r="FT68" s="468"/>
      <c r="FU68" s="468"/>
      <c r="FV68" s="468"/>
      <c r="FW68" s="468"/>
      <c r="FX68" s="469"/>
      <c r="FY68" s="467"/>
      <c r="FZ68" s="468"/>
      <c r="GA68" s="468"/>
      <c r="GB68" s="468"/>
      <c r="GC68" s="468"/>
      <c r="GD68" s="468"/>
      <c r="GE68" s="468"/>
      <c r="GF68" s="468"/>
      <c r="GG68" s="468"/>
      <c r="GH68" s="468"/>
      <c r="GI68" s="468"/>
      <c r="GJ68" s="468"/>
      <c r="GK68" s="468"/>
      <c r="GL68" s="468"/>
      <c r="GM68" s="468"/>
      <c r="GN68" s="468"/>
      <c r="GO68" s="468"/>
      <c r="GP68" s="468"/>
      <c r="GQ68" s="468"/>
      <c r="GR68" s="468"/>
      <c r="GS68" s="468"/>
      <c r="GT68" s="468"/>
      <c r="GU68" s="468"/>
      <c r="GV68" s="468"/>
      <c r="GW68" s="468"/>
      <c r="GX68" s="468"/>
      <c r="GY68" s="468"/>
      <c r="GZ68" s="468"/>
      <c r="HA68" s="468"/>
      <c r="HB68" s="469"/>
      <c r="HC68" s="467"/>
      <c r="HD68" s="468"/>
      <c r="HE68" s="468"/>
      <c r="HF68" s="468"/>
      <c r="HG68" s="468"/>
      <c r="HH68" s="468"/>
      <c r="HI68" s="468"/>
      <c r="HJ68" s="468"/>
      <c r="HK68" s="468"/>
      <c r="HL68" s="468"/>
      <c r="HM68" s="468"/>
      <c r="HN68" s="468"/>
      <c r="HO68" s="468"/>
      <c r="HP68" s="468"/>
      <c r="HQ68" s="468"/>
      <c r="HR68" s="468"/>
      <c r="HS68" s="468"/>
      <c r="HT68" s="468"/>
      <c r="HU68" s="468"/>
      <c r="HV68" s="468"/>
      <c r="HW68" s="468"/>
      <c r="HX68" s="468"/>
      <c r="HY68" s="468"/>
      <c r="HZ68" s="468"/>
      <c r="IA68" s="468"/>
      <c r="IB68" s="468"/>
      <c r="IC68" s="468"/>
      <c r="ID68" s="468"/>
      <c r="IE68" s="468"/>
      <c r="IF68" s="469"/>
      <c r="IG68" s="467"/>
      <c r="IH68" s="468"/>
      <c r="II68" s="468"/>
      <c r="IJ68" s="468"/>
      <c r="IK68" s="468"/>
      <c r="IL68" s="468"/>
      <c r="IM68" s="468"/>
      <c r="IN68" s="468"/>
      <c r="IO68" s="468"/>
      <c r="IP68" s="468"/>
      <c r="IQ68" s="468"/>
      <c r="IR68" s="468"/>
      <c r="IS68" s="468"/>
      <c r="IT68" s="468"/>
      <c r="IU68" s="468"/>
      <c r="IV68" s="468"/>
      <c r="IW68" s="468"/>
      <c r="IX68" s="468"/>
      <c r="IY68" s="468"/>
      <c r="IZ68" s="468"/>
      <c r="JA68" s="468"/>
      <c r="JB68" s="468"/>
      <c r="JC68" s="468"/>
      <c r="JD68" s="468"/>
      <c r="JE68" s="468"/>
      <c r="JF68" s="468"/>
      <c r="JG68" s="468"/>
      <c r="JH68" s="468"/>
      <c r="JI68" s="468"/>
      <c r="JJ68" s="469"/>
      <c r="JK68" s="467"/>
      <c r="JL68" s="468"/>
      <c r="JM68" s="468"/>
      <c r="JN68" s="468"/>
      <c r="JO68" s="468"/>
      <c r="JP68" s="468"/>
      <c r="JQ68" s="468"/>
      <c r="JR68" s="468"/>
      <c r="JS68" s="468"/>
      <c r="JT68" s="468"/>
      <c r="JU68" s="468"/>
      <c r="JV68" s="468"/>
      <c r="JW68" s="468"/>
      <c r="JX68" s="468"/>
      <c r="JY68" s="468"/>
      <c r="JZ68" s="468"/>
      <c r="KA68" s="468"/>
      <c r="KB68" s="468"/>
      <c r="KC68" s="468"/>
      <c r="KD68" s="468"/>
      <c r="KE68" s="468"/>
      <c r="KF68" s="468"/>
      <c r="KG68" s="468"/>
      <c r="KH68" s="468"/>
      <c r="KI68" s="468"/>
      <c r="KJ68" s="468"/>
      <c r="KK68" s="468"/>
      <c r="KL68" s="468"/>
      <c r="KM68" s="468"/>
      <c r="KN68" s="469"/>
      <c r="KO68" s="467"/>
      <c r="KP68" s="468"/>
      <c r="KQ68" s="468"/>
      <c r="KR68" s="468"/>
      <c r="KS68" s="468"/>
      <c r="KT68" s="468"/>
      <c r="KU68" s="468"/>
      <c r="KV68" s="468"/>
      <c r="KW68" s="468"/>
      <c r="KX68" s="468"/>
      <c r="KY68" s="468"/>
      <c r="KZ68" s="468"/>
      <c r="LA68" s="468"/>
      <c r="LB68" s="468"/>
      <c r="LC68" s="468"/>
      <c r="LD68" s="468"/>
      <c r="LE68" s="468"/>
      <c r="LF68" s="468"/>
      <c r="LG68" s="468"/>
      <c r="LH68" s="468"/>
      <c r="LI68" s="468"/>
      <c r="LJ68" s="468"/>
      <c r="LK68" s="468"/>
      <c r="LL68" s="468"/>
      <c r="LM68" s="468"/>
      <c r="LN68" s="468"/>
      <c r="LO68" s="468"/>
      <c r="LP68" s="468"/>
      <c r="LQ68" s="468"/>
      <c r="LR68" s="469"/>
      <c r="LS68" s="467"/>
      <c r="LT68" s="468"/>
      <c r="LU68" s="468"/>
      <c r="LV68" s="468"/>
      <c r="LW68" s="468"/>
      <c r="LX68" s="468"/>
      <c r="LY68" s="468"/>
      <c r="LZ68" s="468"/>
      <c r="MA68" s="468"/>
      <c r="MB68" s="468"/>
      <c r="MC68" s="468"/>
      <c r="MD68" s="468"/>
      <c r="ME68" s="468"/>
      <c r="MF68" s="468"/>
      <c r="MG68" s="468"/>
      <c r="MH68" s="468"/>
      <c r="MI68" s="468"/>
      <c r="MJ68" s="468"/>
      <c r="MK68" s="468"/>
      <c r="ML68" s="468"/>
      <c r="MM68" s="468"/>
      <c r="MN68" s="468"/>
      <c r="MO68" s="468"/>
      <c r="MP68" s="468"/>
      <c r="MQ68" s="468"/>
      <c r="MR68" s="468"/>
      <c r="MS68" s="468"/>
      <c r="MT68" s="468"/>
      <c r="MU68" s="468"/>
      <c r="MV68" s="469"/>
      <c r="MW68" s="467"/>
      <c r="MX68" s="468"/>
      <c r="MY68" s="468"/>
      <c r="MZ68" s="468"/>
      <c r="NA68" s="468"/>
      <c r="NB68" s="468"/>
      <c r="NC68" s="468"/>
      <c r="ND68" s="468"/>
      <c r="NE68" s="468"/>
      <c r="NF68" s="468"/>
      <c r="NG68" s="468"/>
      <c r="NH68" s="468"/>
      <c r="NI68" s="468"/>
      <c r="NJ68" s="468"/>
      <c r="NK68" s="468"/>
      <c r="NL68" s="468"/>
      <c r="NM68" s="468"/>
      <c r="NN68" s="468"/>
      <c r="NO68" s="468"/>
      <c r="NP68" s="468"/>
      <c r="NQ68" s="468"/>
      <c r="NR68" s="468"/>
      <c r="NS68" s="468"/>
      <c r="NT68" s="468"/>
      <c r="NU68" s="468"/>
      <c r="NV68" s="468"/>
      <c r="NW68" s="468"/>
      <c r="NX68" s="468"/>
      <c r="NY68" s="468"/>
      <c r="NZ68" s="469"/>
      <c r="OA68" s="467"/>
      <c r="OB68" s="468"/>
      <c r="OC68" s="468"/>
      <c r="OD68" s="468"/>
      <c r="OE68" s="468"/>
      <c r="OF68" s="468"/>
      <c r="OG68" s="468"/>
      <c r="OH68" s="468"/>
      <c r="OI68" s="468"/>
      <c r="OJ68" s="468"/>
      <c r="OK68" s="468"/>
      <c r="OL68" s="468"/>
      <c r="OM68" s="468"/>
      <c r="ON68" s="468"/>
      <c r="OO68" s="468"/>
      <c r="OP68" s="468"/>
      <c r="OQ68" s="468"/>
      <c r="OR68" s="468"/>
      <c r="OS68" s="468"/>
      <c r="OT68" s="468"/>
      <c r="OU68" s="468"/>
      <c r="OV68" s="468"/>
      <c r="OW68" s="468"/>
      <c r="OX68" s="468"/>
      <c r="OY68" s="468"/>
      <c r="OZ68" s="468"/>
      <c r="PA68" s="468"/>
      <c r="PB68" s="468"/>
      <c r="PC68" s="468"/>
      <c r="PD68" s="469"/>
      <c r="PE68" s="467"/>
      <c r="PF68" s="468"/>
      <c r="PG68" s="468"/>
      <c r="PH68" s="468"/>
      <c r="PI68" s="468"/>
      <c r="PJ68" s="468"/>
      <c r="PK68" s="468"/>
      <c r="PL68" s="468"/>
      <c r="PM68" s="468"/>
      <c r="PN68" s="468"/>
      <c r="PO68" s="468"/>
      <c r="PP68" s="468"/>
      <c r="PQ68" s="468"/>
      <c r="PR68" s="468"/>
      <c r="PS68" s="468"/>
      <c r="PT68" s="468"/>
      <c r="PU68" s="468"/>
      <c r="PV68" s="468"/>
      <c r="PW68" s="468"/>
      <c r="PX68" s="468"/>
      <c r="PY68" s="468"/>
      <c r="PZ68" s="468"/>
      <c r="QA68" s="468"/>
      <c r="QB68" s="468"/>
      <c r="QC68" s="468"/>
      <c r="QD68" s="468"/>
      <c r="QE68" s="468"/>
      <c r="QF68" s="468"/>
      <c r="QG68" s="468"/>
      <c r="QH68" s="469"/>
      <c r="QI68" s="467"/>
      <c r="QJ68" s="468"/>
      <c r="QK68" s="468"/>
      <c r="QL68" s="468"/>
      <c r="QM68" s="468"/>
      <c r="QN68" s="468"/>
      <c r="QO68" s="468"/>
      <c r="QP68" s="468"/>
      <c r="QQ68" s="468"/>
      <c r="QR68" s="468"/>
      <c r="QS68" s="468"/>
      <c r="QT68" s="468"/>
      <c r="QU68" s="468"/>
      <c r="QV68" s="468"/>
      <c r="QW68" s="468"/>
      <c r="QX68" s="468"/>
      <c r="QY68" s="468"/>
      <c r="QZ68" s="468"/>
      <c r="RA68" s="468"/>
      <c r="RB68" s="468"/>
      <c r="RC68" s="468"/>
      <c r="RD68" s="468"/>
      <c r="RE68" s="468"/>
      <c r="RF68" s="468"/>
      <c r="RG68" s="468"/>
      <c r="RH68" s="468"/>
      <c r="RI68" s="468"/>
      <c r="RJ68" s="468"/>
      <c r="RK68" s="468"/>
      <c r="RL68" s="469"/>
      <c r="RM68" s="467"/>
      <c r="RN68" s="468"/>
      <c r="RO68" s="468"/>
      <c r="RP68" s="468"/>
      <c r="RQ68" s="468"/>
      <c r="RR68" s="468"/>
      <c r="RS68" s="468"/>
      <c r="RT68" s="468"/>
      <c r="RU68" s="468"/>
      <c r="RV68" s="468"/>
      <c r="RW68" s="468"/>
      <c r="RX68" s="468"/>
      <c r="RY68" s="468"/>
      <c r="RZ68" s="468"/>
      <c r="SA68" s="468"/>
      <c r="SB68" s="468"/>
      <c r="SC68" s="468"/>
      <c r="SD68" s="468"/>
      <c r="SE68" s="468"/>
      <c r="SF68" s="468"/>
      <c r="SG68" s="468"/>
      <c r="SH68" s="468"/>
      <c r="SI68" s="468"/>
      <c r="SJ68" s="468"/>
      <c r="SK68" s="468"/>
      <c r="SL68" s="468"/>
      <c r="SM68" s="468"/>
      <c r="SN68" s="468"/>
      <c r="SO68" s="468"/>
      <c r="SP68" s="469"/>
      <c r="SQ68" s="467"/>
      <c r="SR68" s="468"/>
      <c r="SS68" s="468"/>
      <c r="ST68" s="468"/>
      <c r="SU68" s="468"/>
      <c r="SV68" s="468"/>
      <c r="SW68" s="468"/>
      <c r="SX68" s="468"/>
      <c r="SY68" s="468"/>
      <c r="SZ68" s="468"/>
      <c r="TA68" s="468"/>
      <c r="TB68" s="468"/>
      <c r="TC68" s="468"/>
      <c r="TD68" s="468"/>
      <c r="TE68" s="468"/>
      <c r="TF68" s="468"/>
      <c r="TG68" s="468"/>
      <c r="TH68" s="468"/>
      <c r="TI68" s="468"/>
      <c r="TJ68" s="468"/>
      <c r="TK68" s="468"/>
      <c r="TL68" s="468"/>
      <c r="TM68" s="468"/>
      <c r="TN68" s="468"/>
      <c r="TO68" s="468"/>
      <c r="TP68" s="468"/>
      <c r="TQ68" s="468"/>
      <c r="TR68" s="468"/>
      <c r="TS68" s="468"/>
      <c r="TT68" s="469"/>
      <c r="TU68" s="467"/>
      <c r="TV68" s="468"/>
      <c r="TW68" s="468"/>
      <c r="TX68" s="468"/>
      <c r="TY68" s="468"/>
      <c r="TZ68" s="468"/>
      <c r="UA68" s="468"/>
      <c r="UB68" s="468"/>
      <c r="UC68" s="468"/>
      <c r="UD68" s="468"/>
      <c r="UE68" s="468"/>
      <c r="UF68" s="468"/>
      <c r="UG68" s="468"/>
      <c r="UH68" s="468"/>
      <c r="UI68" s="468"/>
      <c r="UJ68" s="468"/>
      <c r="UK68" s="468"/>
      <c r="UL68" s="468"/>
      <c r="UM68" s="468"/>
      <c r="UN68" s="468"/>
      <c r="UO68" s="468"/>
      <c r="UP68" s="468"/>
      <c r="UQ68" s="468"/>
      <c r="UR68" s="468"/>
      <c r="US68" s="468"/>
      <c r="UT68" s="468"/>
      <c r="UU68" s="468"/>
      <c r="UV68" s="468"/>
      <c r="UW68" s="468"/>
      <c r="UX68" s="469"/>
      <c r="UY68" s="467"/>
      <c r="UZ68" s="468"/>
      <c r="VA68" s="468"/>
      <c r="VB68" s="468"/>
      <c r="VC68" s="468"/>
      <c r="VD68" s="468"/>
      <c r="VE68" s="468"/>
      <c r="VF68" s="468"/>
      <c r="VG68" s="468"/>
      <c r="VH68" s="468"/>
      <c r="VI68" s="468"/>
      <c r="VJ68" s="468"/>
      <c r="VK68" s="468"/>
      <c r="VL68" s="468"/>
      <c r="VM68" s="468"/>
      <c r="VN68" s="468"/>
      <c r="VO68" s="468"/>
      <c r="VP68" s="468"/>
      <c r="VQ68" s="468"/>
      <c r="VR68" s="468"/>
      <c r="VS68" s="468"/>
      <c r="VT68" s="468"/>
      <c r="VU68" s="468"/>
      <c r="VV68" s="468"/>
      <c r="VW68" s="468"/>
      <c r="VX68" s="468"/>
      <c r="VY68" s="468"/>
      <c r="VZ68" s="468"/>
      <c r="WA68" s="468"/>
      <c r="WB68" s="469"/>
      <c r="WC68" s="467"/>
      <c r="WD68" s="468"/>
      <c r="WE68" s="468"/>
      <c r="WF68" s="468"/>
      <c r="WG68" s="468"/>
      <c r="WH68" s="468"/>
      <c r="WI68" s="468"/>
      <c r="WJ68" s="468"/>
      <c r="WK68" s="468"/>
      <c r="WL68" s="468"/>
      <c r="WM68" s="468"/>
      <c r="WN68" s="468"/>
      <c r="WO68" s="468"/>
      <c r="WP68" s="468"/>
      <c r="WQ68" s="468"/>
      <c r="WR68" s="468"/>
      <c r="WS68" s="468"/>
      <c r="WT68" s="468"/>
      <c r="WU68" s="468"/>
      <c r="WV68" s="468"/>
      <c r="WW68" s="468"/>
      <c r="WX68" s="468"/>
      <c r="WY68" s="468"/>
      <c r="WZ68" s="468"/>
      <c r="XA68" s="468"/>
      <c r="XB68" s="468"/>
      <c r="XC68" s="468"/>
      <c r="XD68" s="468"/>
      <c r="XE68" s="468"/>
      <c r="XF68" s="469"/>
      <c r="XG68" s="467"/>
      <c r="XH68" s="468"/>
      <c r="XI68" s="468"/>
      <c r="XJ68" s="468"/>
      <c r="XK68" s="468"/>
      <c r="XL68" s="468"/>
      <c r="XM68" s="468"/>
      <c r="XN68" s="468"/>
      <c r="XO68" s="468"/>
      <c r="XP68" s="468"/>
      <c r="XQ68" s="468"/>
      <c r="XR68" s="468"/>
      <c r="XS68" s="468"/>
      <c r="XT68" s="468"/>
      <c r="XU68" s="468"/>
      <c r="XV68" s="468"/>
      <c r="XW68" s="468"/>
      <c r="XX68" s="468"/>
      <c r="XY68" s="468"/>
      <c r="XZ68" s="468"/>
      <c r="YA68" s="468"/>
      <c r="YB68" s="468"/>
      <c r="YC68" s="468"/>
      <c r="YD68" s="468"/>
      <c r="YE68" s="468"/>
      <c r="YF68" s="468"/>
      <c r="YG68" s="468"/>
      <c r="YH68" s="468"/>
      <c r="YI68" s="468"/>
      <c r="YJ68" s="469"/>
      <c r="YK68" s="467"/>
      <c r="YL68" s="468"/>
      <c r="YM68" s="468"/>
      <c r="YN68" s="468"/>
      <c r="YO68" s="468"/>
      <c r="YP68" s="468"/>
      <c r="YQ68" s="468"/>
      <c r="YR68" s="468"/>
      <c r="YS68" s="468"/>
      <c r="YT68" s="468"/>
      <c r="YU68" s="468"/>
      <c r="YV68" s="468"/>
      <c r="YW68" s="468"/>
      <c r="YX68" s="468"/>
      <c r="YY68" s="468"/>
      <c r="YZ68" s="468"/>
      <c r="ZA68" s="468"/>
      <c r="ZB68" s="468"/>
      <c r="ZC68" s="468"/>
      <c r="ZD68" s="468"/>
      <c r="ZE68" s="468"/>
      <c r="ZF68" s="468"/>
      <c r="ZG68" s="468"/>
      <c r="ZH68" s="468"/>
      <c r="ZI68" s="468"/>
      <c r="ZJ68" s="468"/>
      <c r="ZK68" s="468"/>
      <c r="ZL68" s="468"/>
      <c r="ZM68" s="468"/>
      <c r="ZN68" s="469"/>
      <c r="ZO68" s="467"/>
      <c r="ZP68" s="468"/>
      <c r="ZQ68" s="468"/>
      <c r="ZR68" s="468"/>
      <c r="ZS68" s="468"/>
      <c r="ZT68" s="468"/>
      <c r="ZU68" s="468"/>
      <c r="ZV68" s="468"/>
      <c r="ZW68" s="468"/>
      <c r="ZX68" s="468"/>
      <c r="ZY68" s="468"/>
      <c r="ZZ68" s="468"/>
      <c r="AAA68" s="468"/>
      <c r="AAB68" s="468"/>
      <c r="AAC68" s="468"/>
      <c r="AAD68" s="468"/>
      <c r="AAE68" s="468"/>
      <c r="AAF68" s="468"/>
      <c r="AAG68" s="468"/>
      <c r="AAH68" s="468"/>
      <c r="AAI68" s="468"/>
      <c r="AAJ68" s="468"/>
      <c r="AAK68" s="468"/>
      <c r="AAL68" s="468"/>
      <c r="AAM68" s="468"/>
      <c r="AAN68" s="468"/>
      <c r="AAO68" s="468"/>
      <c r="AAP68" s="468"/>
      <c r="AAQ68" s="468"/>
      <c r="AAR68" s="469"/>
      <c r="AAS68" s="467"/>
      <c r="AAT68" s="468"/>
      <c r="AAU68" s="468"/>
      <c r="AAV68" s="468"/>
      <c r="AAW68" s="468"/>
      <c r="AAX68" s="468"/>
      <c r="AAY68" s="468"/>
      <c r="AAZ68" s="468"/>
      <c r="ABA68" s="468"/>
      <c r="ABB68" s="468"/>
      <c r="ABC68" s="468"/>
      <c r="ABD68" s="468"/>
      <c r="ABE68" s="468"/>
      <c r="ABF68" s="468"/>
      <c r="ABG68" s="468"/>
      <c r="ABH68" s="468"/>
      <c r="ABI68" s="468"/>
      <c r="ABJ68" s="468"/>
      <c r="ABK68" s="468"/>
      <c r="ABL68" s="468"/>
      <c r="ABM68" s="468"/>
      <c r="ABN68" s="468"/>
      <c r="ABO68" s="468"/>
      <c r="ABP68" s="468"/>
      <c r="ABQ68" s="468"/>
      <c r="ABR68" s="468"/>
      <c r="ABS68" s="468"/>
      <c r="ABT68" s="468"/>
      <c r="ABU68" s="468"/>
      <c r="ABV68" s="469"/>
      <c r="ABW68" s="467"/>
      <c r="ABX68" s="468"/>
      <c r="ABY68" s="468"/>
      <c r="ABZ68" s="468"/>
      <c r="ACA68" s="468"/>
      <c r="ACB68" s="468"/>
      <c r="ACC68" s="468"/>
      <c r="ACD68" s="468"/>
      <c r="ACE68" s="468"/>
      <c r="ACF68" s="468"/>
      <c r="ACG68" s="468"/>
      <c r="ACH68" s="468"/>
      <c r="ACI68" s="468"/>
      <c r="ACJ68" s="468"/>
      <c r="ACK68" s="468"/>
      <c r="ACL68" s="468"/>
      <c r="ACM68" s="468"/>
      <c r="ACN68" s="468"/>
      <c r="ACO68" s="468"/>
      <c r="ACP68" s="468"/>
      <c r="ACQ68" s="468"/>
      <c r="ACR68" s="468"/>
      <c r="ACS68" s="468"/>
      <c r="ACT68" s="468"/>
      <c r="ACU68" s="468"/>
      <c r="ACV68" s="468"/>
      <c r="ACW68" s="468"/>
      <c r="ACX68" s="468"/>
      <c r="ACY68" s="468"/>
      <c r="ACZ68" s="469"/>
      <c r="ADA68" s="467"/>
      <c r="ADB68" s="468"/>
      <c r="ADC68" s="468"/>
      <c r="ADD68" s="468"/>
      <c r="ADE68" s="468"/>
      <c r="ADF68" s="468"/>
      <c r="ADG68" s="468"/>
      <c r="ADH68" s="468"/>
      <c r="ADI68" s="468"/>
      <c r="ADJ68" s="468"/>
      <c r="ADK68" s="468"/>
      <c r="ADL68" s="468"/>
      <c r="ADM68" s="468"/>
      <c r="ADN68" s="468"/>
      <c r="ADO68" s="468"/>
      <c r="ADP68" s="468"/>
      <c r="ADQ68" s="468"/>
      <c r="ADR68" s="468"/>
      <c r="ADS68" s="468"/>
      <c r="ADT68" s="468"/>
      <c r="ADU68" s="468"/>
      <c r="ADV68" s="468"/>
      <c r="ADW68" s="468"/>
      <c r="ADX68" s="468"/>
      <c r="ADY68" s="468"/>
      <c r="ADZ68" s="468"/>
      <c r="AEA68" s="468"/>
      <c r="AEB68" s="468"/>
      <c r="AEC68" s="468"/>
      <c r="AED68" s="469"/>
      <c r="AEE68" s="467"/>
      <c r="AEF68" s="468"/>
      <c r="AEG68" s="468"/>
      <c r="AEH68" s="468"/>
      <c r="AEI68" s="468"/>
      <c r="AEJ68" s="468"/>
      <c r="AEK68" s="468"/>
      <c r="AEL68" s="468"/>
      <c r="AEM68" s="468"/>
      <c r="AEN68" s="468"/>
      <c r="AEO68" s="468"/>
      <c r="AEP68" s="468"/>
      <c r="AEQ68" s="468"/>
      <c r="AER68" s="468"/>
      <c r="AES68" s="468"/>
      <c r="AET68" s="468"/>
      <c r="AEU68" s="468"/>
      <c r="AEV68" s="468"/>
      <c r="AEW68" s="468"/>
      <c r="AEX68" s="468"/>
      <c r="AEY68" s="468"/>
      <c r="AEZ68" s="468"/>
      <c r="AFA68" s="468"/>
      <c r="AFB68" s="468"/>
      <c r="AFC68" s="468"/>
      <c r="AFD68" s="468"/>
      <c r="AFE68" s="468"/>
      <c r="AFF68" s="468"/>
      <c r="AFG68" s="468"/>
      <c r="AFH68" s="469"/>
      <c r="AFI68" s="467"/>
      <c r="AFJ68" s="468"/>
      <c r="AFK68" s="468"/>
      <c r="AFL68" s="468"/>
      <c r="AFM68" s="468"/>
      <c r="AFN68" s="468"/>
      <c r="AFO68" s="468"/>
      <c r="AFP68" s="468"/>
      <c r="AFQ68" s="468"/>
      <c r="AFR68" s="468"/>
      <c r="AFS68" s="468"/>
      <c r="AFT68" s="468"/>
      <c r="AFU68" s="468"/>
      <c r="AFV68" s="468"/>
      <c r="AFW68" s="468"/>
      <c r="AFX68" s="468"/>
      <c r="AFY68" s="468"/>
      <c r="AFZ68" s="468"/>
      <c r="AGA68" s="468"/>
      <c r="AGB68" s="468"/>
      <c r="AGC68" s="468"/>
      <c r="AGD68" s="468"/>
      <c r="AGE68" s="468"/>
      <c r="AGF68" s="468"/>
      <c r="AGG68" s="468"/>
      <c r="AGH68" s="468"/>
      <c r="AGI68" s="468"/>
      <c r="AGJ68" s="468"/>
      <c r="AGK68" s="468"/>
      <c r="AGL68" s="469"/>
      <c r="AGM68" s="467"/>
      <c r="AGN68" s="468"/>
      <c r="AGO68" s="468"/>
      <c r="AGP68" s="468"/>
      <c r="AGQ68" s="468"/>
      <c r="AGR68" s="468"/>
      <c r="AGS68" s="468"/>
      <c r="AGT68" s="468"/>
      <c r="AGU68" s="468"/>
      <c r="AGV68" s="468"/>
      <c r="AGW68" s="468"/>
      <c r="AGX68" s="468"/>
      <c r="AGY68" s="468"/>
      <c r="AGZ68" s="468"/>
      <c r="AHA68" s="468"/>
      <c r="AHB68" s="468"/>
      <c r="AHC68" s="468"/>
      <c r="AHD68" s="468"/>
      <c r="AHE68" s="468"/>
      <c r="AHF68" s="468"/>
      <c r="AHG68" s="468"/>
      <c r="AHH68" s="468"/>
      <c r="AHI68" s="468"/>
      <c r="AHJ68" s="468"/>
      <c r="AHK68" s="468"/>
      <c r="AHL68" s="468"/>
      <c r="AHM68" s="468"/>
      <c r="AHN68" s="468"/>
      <c r="AHO68" s="468"/>
      <c r="AHP68" s="469"/>
      <c r="AHQ68" s="467"/>
      <c r="AHR68" s="468"/>
      <c r="AHS68" s="468"/>
      <c r="AHT68" s="468"/>
      <c r="AHU68" s="468"/>
      <c r="AHV68" s="468"/>
      <c r="AHW68" s="468"/>
      <c r="AHX68" s="468"/>
      <c r="AHY68" s="468"/>
      <c r="AHZ68" s="468"/>
      <c r="AIA68" s="468"/>
      <c r="AIB68" s="468"/>
      <c r="AIC68" s="468"/>
      <c r="AID68" s="468"/>
      <c r="AIE68" s="468"/>
      <c r="AIF68" s="468"/>
      <c r="AIG68" s="468"/>
      <c r="AIH68" s="468"/>
      <c r="AII68" s="468"/>
      <c r="AIJ68" s="468"/>
      <c r="AIK68" s="468"/>
      <c r="AIL68" s="468"/>
      <c r="AIM68" s="468"/>
      <c r="AIN68" s="468"/>
      <c r="AIO68" s="468"/>
      <c r="AIP68" s="468"/>
      <c r="AIQ68" s="468"/>
      <c r="AIR68" s="468"/>
      <c r="AIS68" s="468"/>
      <c r="AIT68" s="469"/>
      <c r="AIU68" s="467"/>
      <c r="AIV68" s="468"/>
      <c r="AIW68" s="468"/>
      <c r="AIX68" s="468"/>
      <c r="AIY68" s="468"/>
      <c r="AIZ68" s="468"/>
      <c r="AJA68" s="468"/>
      <c r="AJB68" s="468"/>
      <c r="AJC68" s="468"/>
      <c r="AJD68" s="468"/>
      <c r="AJE68" s="468"/>
      <c r="AJF68" s="468"/>
      <c r="AJG68" s="468"/>
      <c r="AJH68" s="468"/>
      <c r="AJI68" s="468"/>
      <c r="AJJ68" s="468"/>
      <c r="AJK68" s="468"/>
      <c r="AJL68" s="468"/>
      <c r="AJM68" s="468"/>
      <c r="AJN68" s="468"/>
      <c r="AJO68" s="468"/>
      <c r="AJP68" s="468"/>
      <c r="AJQ68" s="468"/>
      <c r="AJR68" s="468"/>
      <c r="AJS68" s="468"/>
      <c r="AJT68" s="468"/>
      <c r="AJU68" s="468"/>
      <c r="AJV68" s="468"/>
      <c r="AJW68" s="468"/>
      <c r="AJX68" s="469"/>
      <c r="AJY68" s="467"/>
      <c r="AJZ68" s="468"/>
      <c r="AKA68" s="468"/>
      <c r="AKB68" s="468"/>
      <c r="AKC68" s="468"/>
      <c r="AKD68" s="468"/>
      <c r="AKE68" s="468"/>
      <c r="AKF68" s="468"/>
      <c r="AKG68" s="468"/>
      <c r="AKH68" s="468"/>
      <c r="AKI68" s="468"/>
      <c r="AKJ68" s="468"/>
      <c r="AKK68" s="468"/>
      <c r="AKL68" s="468"/>
      <c r="AKM68" s="468"/>
      <c r="AKN68" s="468"/>
      <c r="AKO68" s="468"/>
      <c r="AKP68" s="468"/>
      <c r="AKQ68" s="468"/>
      <c r="AKR68" s="468"/>
      <c r="AKS68" s="468"/>
      <c r="AKT68" s="468"/>
      <c r="AKU68" s="468"/>
      <c r="AKV68" s="468"/>
      <c r="AKW68" s="468"/>
      <c r="AKX68" s="468"/>
      <c r="AKY68" s="468"/>
      <c r="AKZ68" s="468"/>
      <c r="ALA68" s="468"/>
      <c r="ALB68" s="469"/>
      <c r="ALC68" s="467"/>
      <c r="ALD68" s="468"/>
      <c r="ALE68" s="468"/>
      <c r="ALF68" s="468"/>
      <c r="ALG68" s="468"/>
      <c r="ALH68" s="468"/>
      <c r="ALI68" s="468"/>
      <c r="ALJ68" s="468"/>
      <c r="ALK68" s="468"/>
      <c r="ALL68" s="468"/>
      <c r="ALM68" s="468"/>
      <c r="ALN68" s="468"/>
      <c r="ALO68" s="468"/>
      <c r="ALP68" s="468"/>
      <c r="ALQ68" s="468"/>
      <c r="ALR68" s="468"/>
      <c r="ALS68" s="468"/>
      <c r="ALT68" s="468"/>
      <c r="ALU68" s="468"/>
      <c r="ALV68" s="468"/>
      <c r="ALW68" s="468"/>
      <c r="ALX68" s="468"/>
      <c r="ALY68" s="468"/>
      <c r="ALZ68" s="468"/>
      <c r="AMA68" s="468"/>
      <c r="AMB68" s="468"/>
      <c r="AMC68" s="468"/>
      <c r="AMD68" s="468"/>
      <c r="AME68" s="468"/>
      <c r="AMF68" s="469"/>
      <c r="AMG68" s="467"/>
      <c r="AMH68" s="468"/>
      <c r="AMI68" s="468"/>
      <c r="AMJ68" s="468"/>
      <c r="AMK68" s="468"/>
      <c r="AML68" s="468"/>
      <c r="AMM68" s="468"/>
      <c r="AMN68" s="468"/>
      <c r="AMO68" s="468"/>
      <c r="AMP68" s="468"/>
      <c r="AMQ68" s="468"/>
      <c r="AMR68" s="468"/>
      <c r="AMS68" s="468"/>
      <c r="AMT68" s="468"/>
      <c r="AMU68" s="468"/>
      <c r="AMV68" s="468"/>
      <c r="AMW68" s="468"/>
      <c r="AMX68" s="468"/>
      <c r="AMY68" s="468"/>
      <c r="AMZ68" s="468"/>
      <c r="ANA68" s="468"/>
      <c r="ANB68" s="468"/>
      <c r="ANC68" s="468"/>
      <c r="AND68" s="468"/>
      <c r="ANE68" s="468"/>
      <c r="ANF68" s="468"/>
      <c r="ANG68" s="468"/>
      <c r="ANH68" s="468"/>
      <c r="ANI68" s="468"/>
      <c r="ANJ68" s="469"/>
      <c r="ANK68" s="467"/>
      <c r="ANL68" s="468"/>
      <c r="ANM68" s="468"/>
      <c r="ANN68" s="468"/>
      <c r="ANO68" s="468"/>
      <c r="ANP68" s="468"/>
      <c r="ANQ68" s="468"/>
      <c r="ANR68" s="468"/>
      <c r="ANS68" s="468"/>
      <c r="ANT68" s="468"/>
      <c r="ANU68" s="468"/>
      <c r="ANV68" s="468"/>
      <c r="ANW68" s="468"/>
      <c r="ANX68" s="468"/>
      <c r="ANY68" s="468"/>
      <c r="ANZ68" s="468"/>
      <c r="AOA68" s="468"/>
      <c r="AOB68" s="468"/>
      <c r="AOC68" s="468"/>
      <c r="AOD68" s="468"/>
      <c r="AOE68" s="468"/>
      <c r="AOF68" s="468"/>
      <c r="AOG68" s="468"/>
      <c r="AOH68" s="468"/>
      <c r="AOI68" s="468"/>
      <c r="AOJ68" s="468"/>
      <c r="AOK68" s="468"/>
      <c r="AOL68" s="468"/>
      <c r="AOM68" s="468"/>
      <c r="AON68" s="469"/>
      <c r="AOO68" s="467"/>
      <c r="AOP68" s="468"/>
      <c r="AOQ68" s="468"/>
      <c r="AOR68" s="468"/>
      <c r="AOS68" s="468"/>
      <c r="AOT68" s="468"/>
      <c r="AOU68" s="468"/>
      <c r="AOV68" s="468"/>
      <c r="AOW68" s="468"/>
      <c r="AOX68" s="468"/>
      <c r="AOY68" s="468"/>
      <c r="AOZ68" s="468"/>
      <c r="APA68" s="468"/>
      <c r="APB68" s="468"/>
      <c r="APC68" s="468"/>
      <c r="APD68" s="468"/>
      <c r="APE68" s="468"/>
      <c r="APF68" s="468"/>
      <c r="APG68" s="468"/>
      <c r="APH68" s="468"/>
      <c r="API68" s="468"/>
      <c r="APJ68" s="468"/>
      <c r="APK68" s="468"/>
      <c r="APL68" s="468"/>
      <c r="APM68" s="468"/>
      <c r="APN68" s="468"/>
      <c r="APO68" s="468"/>
      <c r="APP68" s="468"/>
      <c r="APQ68" s="468"/>
      <c r="APR68" s="469"/>
      <c r="APS68" s="467"/>
      <c r="APT68" s="468"/>
      <c r="APU68" s="468"/>
      <c r="APV68" s="468"/>
      <c r="APW68" s="468"/>
      <c r="APX68" s="468"/>
      <c r="APY68" s="468"/>
      <c r="APZ68" s="468"/>
      <c r="AQA68" s="468"/>
      <c r="AQB68" s="468"/>
      <c r="AQC68" s="468"/>
      <c r="AQD68" s="468"/>
      <c r="AQE68" s="468"/>
      <c r="AQF68" s="468"/>
      <c r="AQG68" s="468"/>
      <c r="AQH68" s="468"/>
      <c r="AQI68" s="468"/>
      <c r="AQJ68" s="468"/>
      <c r="AQK68" s="468"/>
      <c r="AQL68" s="468"/>
      <c r="AQM68" s="468"/>
      <c r="AQN68" s="468"/>
      <c r="AQO68" s="468"/>
      <c r="AQP68" s="468"/>
      <c r="AQQ68" s="468"/>
      <c r="AQR68" s="468"/>
      <c r="AQS68" s="468"/>
      <c r="AQT68" s="468"/>
      <c r="AQU68" s="468"/>
      <c r="AQV68" s="469"/>
      <c r="AQW68" s="467"/>
      <c r="AQX68" s="468"/>
      <c r="AQY68" s="468"/>
      <c r="AQZ68" s="468"/>
      <c r="ARA68" s="468"/>
      <c r="ARB68" s="468"/>
      <c r="ARC68" s="468"/>
      <c r="ARD68" s="468"/>
      <c r="ARE68" s="468"/>
      <c r="ARF68" s="468"/>
      <c r="ARG68" s="468"/>
      <c r="ARH68" s="468"/>
      <c r="ARI68" s="468"/>
      <c r="ARJ68" s="468"/>
      <c r="ARK68" s="468"/>
      <c r="ARL68" s="468"/>
      <c r="ARM68" s="468"/>
      <c r="ARN68" s="468"/>
      <c r="ARO68" s="468"/>
      <c r="ARP68" s="468"/>
      <c r="ARQ68" s="468"/>
      <c r="ARR68" s="468"/>
      <c r="ARS68" s="468"/>
      <c r="ART68" s="468"/>
      <c r="ARU68" s="468"/>
      <c r="ARV68" s="468"/>
      <c r="ARW68" s="468"/>
      <c r="ARX68" s="468"/>
      <c r="ARY68" s="468"/>
      <c r="ARZ68" s="469"/>
      <c r="ASA68" s="467"/>
      <c r="ASB68" s="468"/>
      <c r="ASC68" s="468"/>
      <c r="ASD68" s="468"/>
      <c r="ASE68" s="468"/>
      <c r="ASF68" s="468"/>
      <c r="ASG68" s="468"/>
      <c r="ASH68" s="468"/>
      <c r="ASI68" s="468"/>
      <c r="ASJ68" s="468"/>
      <c r="ASK68" s="468"/>
      <c r="ASL68" s="468"/>
      <c r="ASM68" s="468"/>
      <c r="ASN68" s="468"/>
      <c r="ASO68" s="468"/>
      <c r="ASP68" s="468"/>
      <c r="ASQ68" s="468"/>
      <c r="ASR68" s="468"/>
      <c r="ASS68" s="468"/>
      <c r="AST68" s="468"/>
      <c r="ASU68" s="468"/>
      <c r="ASV68" s="468"/>
      <c r="ASW68" s="468"/>
      <c r="ASX68" s="468"/>
      <c r="ASY68" s="468"/>
      <c r="ASZ68" s="468"/>
      <c r="ATA68" s="468"/>
      <c r="ATB68" s="468"/>
      <c r="ATC68" s="468"/>
      <c r="ATD68" s="469"/>
      <c r="ATE68" s="467"/>
      <c r="ATF68" s="468"/>
      <c r="ATG68" s="468"/>
      <c r="ATH68" s="468"/>
      <c r="ATI68" s="468"/>
      <c r="ATJ68" s="468"/>
      <c r="ATK68" s="468"/>
      <c r="ATL68" s="468"/>
      <c r="ATM68" s="468"/>
      <c r="ATN68" s="468"/>
      <c r="ATO68" s="468"/>
      <c r="ATP68" s="468"/>
      <c r="ATQ68" s="468"/>
      <c r="ATR68" s="468"/>
      <c r="ATS68" s="468"/>
      <c r="ATT68" s="468"/>
      <c r="ATU68" s="468"/>
      <c r="ATV68" s="468"/>
      <c r="ATW68" s="468"/>
      <c r="ATX68" s="468"/>
      <c r="ATY68" s="468"/>
      <c r="ATZ68" s="468"/>
      <c r="AUA68" s="468"/>
      <c r="AUB68" s="468"/>
      <c r="AUC68" s="468"/>
      <c r="AUD68" s="468"/>
      <c r="AUE68" s="468"/>
      <c r="AUF68" s="468"/>
      <c r="AUG68" s="468"/>
      <c r="AUH68" s="469"/>
      <c r="AUI68" s="467"/>
      <c r="AUJ68" s="468"/>
      <c r="AUK68" s="468"/>
      <c r="AUL68" s="468"/>
      <c r="AUM68" s="468"/>
      <c r="AUN68" s="468"/>
      <c r="AUO68" s="468"/>
      <c r="AUP68" s="468"/>
      <c r="AUQ68" s="468"/>
      <c r="AUR68" s="468"/>
      <c r="AUS68" s="468"/>
      <c r="AUT68" s="468"/>
      <c r="AUU68" s="468"/>
      <c r="AUV68" s="468"/>
      <c r="AUW68" s="468"/>
      <c r="AUX68" s="468"/>
      <c r="AUY68" s="468"/>
      <c r="AUZ68" s="468"/>
      <c r="AVA68" s="468"/>
      <c r="AVB68" s="468"/>
      <c r="AVC68" s="468"/>
      <c r="AVD68" s="468"/>
      <c r="AVE68" s="468"/>
      <c r="AVF68" s="468"/>
      <c r="AVG68" s="468"/>
      <c r="AVH68" s="468"/>
      <c r="AVI68" s="468"/>
      <c r="AVJ68" s="468"/>
      <c r="AVK68" s="468"/>
      <c r="AVL68" s="469"/>
      <c r="AVM68" s="467"/>
      <c r="AVN68" s="468"/>
      <c r="AVO68" s="468"/>
      <c r="AVP68" s="468"/>
      <c r="AVQ68" s="468"/>
      <c r="AVR68" s="468"/>
      <c r="AVS68" s="468"/>
      <c r="AVT68" s="468"/>
      <c r="AVU68" s="468"/>
      <c r="AVV68" s="468"/>
      <c r="AVW68" s="468"/>
      <c r="AVX68" s="468"/>
      <c r="AVY68" s="468"/>
      <c r="AVZ68" s="468"/>
      <c r="AWA68" s="468"/>
      <c r="AWB68" s="468"/>
      <c r="AWC68" s="468"/>
      <c r="AWD68" s="468"/>
      <c r="AWE68" s="468"/>
      <c r="AWF68" s="468"/>
      <c r="AWG68" s="468"/>
      <c r="AWH68" s="468"/>
      <c r="AWI68" s="468"/>
      <c r="AWJ68" s="468"/>
      <c r="AWK68" s="468"/>
      <c r="AWL68" s="468"/>
      <c r="AWM68" s="468"/>
      <c r="AWN68" s="468"/>
      <c r="AWO68" s="468"/>
      <c r="AWP68" s="469"/>
      <c r="AWQ68" s="467"/>
      <c r="AWR68" s="468"/>
      <c r="AWS68" s="468"/>
      <c r="AWT68" s="468"/>
      <c r="AWU68" s="468"/>
      <c r="AWV68" s="468"/>
      <c r="AWW68" s="468"/>
      <c r="AWX68" s="468"/>
      <c r="AWY68" s="468"/>
      <c r="AWZ68" s="468"/>
      <c r="AXA68" s="468"/>
      <c r="AXB68" s="468"/>
      <c r="AXC68" s="468"/>
      <c r="AXD68" s="468"/>
      <c r="AXE68" s="468"/>
      <c r="AXF68" s="468"/>
      <c r="AXG68" s="468"/>
      <c r="AXH68" s="468"/>
      <c r="AXI68" s="468"/>
      <c r="AXJ68" s="468"/>
      <c r="AXK68" s="468"/>
      <c r="AXL68" s="468"/>
      <c r="AXM68" s="468"/>
      <c r="AXN68" s="468"/>
      <c r="AXO68" s="468"/>
      <c r="AXP68" s="468"/>
      <c r="AXQ68" s="468"/>
      <c r="AXR68" s="468"/>
      <c r="AXS68" s="468"/>
      <c r="AXT68" s="469"/>
      <c r="AXU68" s="467"/>
      <c r="AXV68" s="468"/>
      <c r="AXW68" s="468"/>
      <c r="AXX68" s="468"/>
      <c r="AXY68" s="468"/>
      <c r="AXZ68" s="468"/>
      <c r="AYA68" s="468"/>
      <c r="AYB68" s="468"/>
      <c r="AYC68" s="468"/>
      <c r="AYD68" s="468"/>
      <c r="AYE68" s="468"/>
      <c r="AYF68" s="468"/>
      <c r="AYG68" s="468"/>
      <c r="AYH68" s="468"/>
      <c r="AYI68" s="468"/>
      <c r="AYJ68" s="468"/>
      <c r="AYK68" s="468"/>
      <c r="AYL68" s="468"/>
      <c r="AYM68" s="468"/>
      <c r="AYN68" s="468"/>
      <c r="AYO68" s="468"/>
      <c r="AYP68" s="468"/>
      <c r="AYQ68" s="468"/>
      <c r="AYR68" s="468"/>
      <c r="AYS68" s="468"/>
      <c r="AYT68" s="468"/>
      <c r="AYU68" s="468"/>
      <c r="AYV68" s="468"/>
      <c r="AYW68" s="468"/>
      <c r="AYX68" s="469"/>
      <c r="AYY68" s="467"/>
      <c r="AYZ68" s="468"/>
      <c r="AZA68" s="468"/>
      <c r="AZB68" s="468"/>
      <c r="AZC68" s="468"/>
      <c r="AZD68" s="468"/>
      <c r="AZE68" s="468"/>
      <c r="AZF68" s="468"/>
      <c r="AZG68" s="468"/>
      <c r="AZH68" s="468"/>
      <c r="AZI68" s="468"/>
      <c r="AZJ68" s="468"/>
      <c r="AZK68" s="468"/>
      <c r="AZL68" s="468"/>
      <c r="AZM68" s="468"/>
      <c r="AZN68" s="468"/>
      <c r="AZO68" s="468"/>
      <c r="AZP68" s="468"/>
      <c r="AZQ68" s="468"/>
      <c r="AZR68" s="468"/>
      <c r="AZS68" s="468"/>
      <c r="AZT68" s="468"/>
      <c r="AZU68" s="468"/>
      <c r="AZV68" s="468"/>
      <c r="AZW68" s="468"/>
      <c r="AZX68" s="468"/>
      <c r="AZY68" s="468"/>
      <c r="AZZ68" s="468"/>
      <c r="BAA68" s="468"/>
      <c r="BAB68" s="469"/>
      <c r="BAC68" s="467"/>
      <c r="BAD68" s="468"/>
      <c r="BAE68" s="468"/>
      <c r="BAF68" s="468"/>
      <c r="BAG68" s="468"/>
      <c r="BAH68" s="468"/>
      <c r="BAI68" s="468"/>
      <c r="BAJ68" s="468"/>
      <c r="BAK68" s="468"/>
      <c r="BAL68" s="468"/>
      <c r="BAM68" s="468"/>
      <c r="BAN68" s="468"/>
      <c r="BAO68" s="468"/>
      <c r="BAP68" s="468"/>
      <c r="BAQ68" s="468"/>
      <c r="BAR68" s="468"/>
      <c r="BAS68" s="468"/>
      <c r="BAT68" s="468"/>
      <c r="BAU68" s="468"/>
      <c r="BAV68" s="468"/>
      <c r="BAW68" s="468"/>
      <c r="BAX68" s="468"/>
      <c r="BAY68" s="468"/>
      <c r="BAZ68" s="468"/>
      <c r="BBA68" s="468"/>
      <c r="BBB68" s="468"/>
      <c r="BBC68" s="468"/>
      <c r="BBD68" s="468"/>
      <c r="BBE68" s="468"/>
      <c r="BBF68" s="469"/>
      <c r="BBG68" s="467"/>
      <c r="BBH68" s="468"/>
      <c r="BBI68" s="468"/>
      <c r="BBJ68" s="468"/>
      <c r="BBK68" s="468"/>
      <c r="BBL68" s="468"/>
      <c r="BBM68" s="468"/>
      <c r="BBN68" s="468"/>
      <c r="BBO68" s="468"/>
      <c r="BBP68" s="468"/>
      <c r="BBQ68" s="468"/>
      <c r="BBR68" s="468"/>
      <c r="BBS68" s="468"/>
      <c r="BBT68" s="468"/>
      <c r="BBU68" s="468"/>
      <c r="BBV68" s="468"/>
      <c r="BBW68" s="468"/>
      <c r="BBX68" s="468"/>
      <c r="BBY68" s="468"/>
      <c r="BBZ68" s="468"/>
      <c r="BCA68" s="468"/>
      <c r="BCB68" s="468"/>
      <c r="BCC68" s="468"/>
      <c r="BCD68" s="468"/>
      <c r="BCE68" s="468"/>
      <c r="BCF68" s="468"/>
      <c r="BCG68" s="468"/>
      <c r="BCH68" s="468"/>
      <c r="BCI68" s="468"/>
      <c r="BCJ68" s="469"/>
      <c r="BCK68" s="467"/>
      <c r="BCL68" s="468"/>
      <c r="BCM68" s="468"/>
      <c r="BCN68" s="468"/>
      <c r="BCO68" s="468"/>
      <c r="BCP68" s="468"/>
      <c r="BCQ68" s="468"/>
      <c r="BCR68" s="468"/>
      <c r="BCS68" s="468"/>
      <c r="BCT68" s="468"/>
      <c r="BCU68" s="468"/>
      <c r="BCV68" s="468"/>
      <c r="BCW68" s="468"/>
      <c r="BCX68" s="468"/>
      <c r="BCY68" s="468"/>
      <c r="BCZ68" s="468"/>
      <c r="BDA68" s="468"/>
      <c r="BDB68" s="468"/>
      <c r="BDC68" s="468"/>
      <c r="BDD68" s="468"/>
      <c r="BDE68" s="468"/>
      <c r="BDF68" s="468"/>
      <c r="BDG68" s="468"/>
      <c r="BDH68" s="468"/>
      <c r="BDI68" s="468"/>
      <c r="BDJ68" s="468"/>
      <c r="BDK68" s="468"/>
      <c r="BDL68" s="468"/>
      <c r="BDM68" s="468"/>
      <c r="BDN68" s="469"/>
      <c r="BDO68" s="467"/>
      <c r="BDP68" s="468"/>
      <c r="BDQ68" s="468"/>
      <c r="BDR68" s="468"/>
      <c r="BDS68" s="468"/>
      <c r="BDT68" s="468"/>
      <c r="BDU68" s="468"/>
      <c r="BDV68" s="468"/>
      <c r="BDW68" s="468"/>
      <c r="BDX68" s="468"/>
      <c r="BDY68" s="468"/>
      <c r="BDZ68" s="468"/>
      <c r="BEA68" s="468"/>
      <c r="BEB68" s="468"/>
      <c r="BEC68" s="468"/>
      <c r="BED68" s="468"/>
      <c r="BEE68" s="468"/>
      <c r="BEF68" s="468"/>
      <c r="BEG68" s="468"/>
      <c r="BEH68" s="468"/>
      <c r="BEI68" s="468"/>
      <c r="BEJ68" s="468"/>
      <c r="BEK68" s="468"/>
      <c r="BEL68" s="468"/>
      <c r="BEM68" s="468"/>
      <c r="BEN68" s="468"/>
      <c r="BEO68" s="468"/>
      <c r="BEP68" s="468"/>
      <c r="BEQ68" s="468"/>
      <c r="BER68" s="469"/>
      <c r="BES68" s="467"/>
      <c r="BET68" s="468"/>
      <c r="BEU68" s="468"/>
      <c r="BEV68" s="468"/>
      <c r="BEW68" s="468"/>
      <c r="BEX68" s="468"/>
      <c r="BEY68" s="468"/>
      <c r="BEZ68" s="468"/>
      <c r="BFA68" s="468"/>
      <c r="BFB68" s="468"/>
      <c r="BFC68" s="468"/>
      <c r="BFD68" s="468"/>
      <c r="BFE68" s="468"/>
      <c r="BFF68" s="468"/>
      <c r="BFG68" s="468"/>
      <c r="BFH68" s="468"/>
      <c r="BFI68" s="468"/>
      <c r="BFJ68" s="468"/>
      <c r="BFK68" s="468"/>
      <c r="BFL68" s="468"/>
      <c r="BFM68" s="468"/>
      <c r="BFN68" s="468"/>
      <c r="BFO68" s="468"/>
      <c r="BFP68" s="468"/>
      <c r="BFQ68" s="468"/>
      <c r="BFR68" s="468"/>
      <c r="BFS68" s="468"/>
      <c r="BFT68" s="468"/>
      <c r="BFU68" s="468"/>
      <c r="BFV68" s="469"/>
      <c r="BFW68" s="467"/>
      <c r="BFX68" s="468"/>
      <c r="BFY68" s="468"/>
      <c r="BFZ68" s="468"/>
      <c r="BGA68" s="468"/>
      <c r="BGB68" s="468"/>
      <c r="BGC68" s="468"/>
      <c r="BGD68" s="468"/>
      <c r="BGE68" s="468"/>
      <c r="BGF68" s="468"/>
      <c r="BGG68" s="468"/>
      <c r="BGH68" s="468"/>
      <c r="BGI68" s="468"/>
      <c r="BGJ68" s="468"/>
      <c r="BGK68" s="468"/>
      <c r="BGL68" s="468"/>
      <c r="BGM68" s="468"/>
      <c r="BGN68" s="468"/>
      <c r="BGO68" s="468"/>
      <c r="BGP68" s="468"/>
      <c r="BGQ68" s="468"/>
      <c r="BGR68" s="468"/>
      <c r="BGS68" s="468"/>
      <c r="BGT68" s="468"/>
      <c r="BGU68" s="468"/>
      <c r="BGV68" s="468"/>
      <c r="BGW68" s="468"/>
      <c r="BGX68" s="468"/>
      <c r="BGY68" s="468"/>
      <c r="BGZ68" s="469"/>
      <c r="BHA68" s="467"/>
      <c r="BHB68" s="468"/>
      <c r="BHC68" s="468"/>
      <c r="BHD68" s="468"/>
      <c r="BHE68" s="468"/>
      <c r="BHF68" s="468"/>
      <c r="BHG68" s="468"/>
      <c r="BHH68" s="468"/>
      <c r="BHI68" s="468"/>
      <c r="BHJ68" s="468"/>
      <c r="BHK68" s="468"/>
      <c r="BHL68" s="468"/>
      <c r="BHM68" s="468"/>
      <c r="BHN68" s="468"/>
      <c r="BHO68" s="468"/>
      <c r="BHP68" s="468"/>
      <c r="BHQ68" s="468"/>
      <c r="BHR68" s="468"/>
      <c r="BHS68" s="468"/>
      <c r="BHT68" s="468"/>
      <c r="BHU68" s="468"/>
      <c r="BHV68" s="468"/>
      <c r="BHW68" s="468"/>
      <c r="BHX68" s="468"/>
      <c r="BHY68" s="468"/>
      <c r="BHZ68" s="468"/>
      <c r="BIA68" s="468"/>
      <c r="BIB68" s="468"/>
      <c r="BIC68" s="468"/>
      <c r="BID68" s="469"/>
      <c r="BIE68" s="467"/>
      <c r="BIF68" s="468"/>
      <c r="BIG68" s="468"/>
      <c r="BIH68" s="468"/>
      <c r="BII68" s="468"/>
      <c r="BIJ68" s="468"/>
      <c r="BIK68" s="468"/>
      <c r="BIL68" s="468"/>
      <c r="BIM68" s="468"/>
      <c r="BIN68" s="468"/>
      <c r="BIO68" s="468"/>
      <c r="BIP68" s="468"/>
      <c r="BIQ68" s="468"/>
      <c r="BIR68" s="468"/>
      <c r="BIS68" s="468"/>
      <c r="BIT68" s="468"/>
      <c r="BIU68" s="468"/>
      <c r="BIV68" s="468"/>
      <c r="BIW68" s="468"/>
      <c r="BIX68" s="468"/>
      <c r="BIY68" s="468"/>
      <c r="BIZ68" s="468"/>
      <c r="BJA68" s="468"/>
      <c r="BJB68" s="468"/>
      <c r="BJC68" s="468"/>
      <c r="BJD68" s="468"/>
      <c r="BJE68" s="468"/>
      <c r="BJF68" s="468"/>
      <c r="BJG68" s="468"/>
      <c r="BJH68" s="469"/>
      <c r="BJI68" s="467"/>
      <c r="BJJ68" s="468"/>
      <c r="BJK68" s="468"/>
      <c r="BJL68" s="468"/>
      <c r="BJM68" s="468"/>
      <c r="BJN68" s="468"/>
      <c r="BJO68" s="468"/>
      <c r="BJP68" s="468"/>
      <c r="BJQ68" s="468"/>
      <c r="BJR68" s="468"/>
      <c r="BJS68" s="468"/>
      <c r="BJT68" s="468"/>
      <c r="BJU68" s="468"/>
      <c r="BJV68" s="468"/>
      <c r="BJW68" s="468"/>
      <c r="BJX68" s="468"/>
      <c r="BJY68" s="468"/>
      <c r="BJZ68" s="468"/>
      <c r="BKA68" s="468"/>
      <c r="BKB68" s="468"/>
      <c r="BKC68" s="468"/>
      <c r="BKD68" s="468"/>
      <c r="BKE68" s="468"/>
      <c r="BKF68" s="468"/>
      <c r="BKG68" s="468"/>
      <c r="BKH68" s="468"/>
      <c r="BKI68" s="468"/>
      <c r="BKJ68" s="468"/>
      <c r="BKK68" s="468"/>
      <c r="BKL68" s="469"/>
      <c r="BKM68" s="467"/>
      <c r="BKN68" s="468"/>
      <c r="BKO68" s="468"/>
      <c r="BKP68" s="468"/>
      <c r="BKQ68" s="468"/>
      <c r="BKR68" s="468"/>
      <c r="BKS68" s="468"/>
      <c r="BKT68" s="468"/>
      <c r="BKU68" s="468"/>
      <c r="BKV68" s="468"/>
      <c r="BKW68" s="468"/>
      <c r="BKX68" s="468"/>
      <c r="BKY68" s="468"/>
      <c r="BKZ68" s="468"/>
      <c r="BLA68" s="468"/>
      <c r="BLB68" s="468"/>
      <c r="BLC68" s="468"/>
      <c r="BLD68" s="468"/>
      <c r="BLE68" s="468"/>
      <c r="BLF68" s="468"/>
      <c r="BLG68" s="468"/>
      <c r="BLH68" s="468"/>
      <c r="BLI68" s="468"/>
      <c r="BLJ68" s="468"/>
      <c r="BLK68" s="468"/>
      <c r="BLL68" s="468"/>
      <c r="BLM68" s="468"/>
      <c r="BLN68" s="468"/>
      <c r="BLO68" s="468"/>
      <c r="BLP68" s="469"/>
      <c r="BLQ68" s="467"/>
      <c r="BLR68" s="468"/>
      <c r="BLS68" s="468"/>
      <c r="BLT68" s="468"/>
      <c r="BLU68" s="468"/>
      <c r="BLV68" s="468"/>
      <c r="BLW68" s="468"/>
      <c r="BLX68" s="468"/>
      <c r="BLY68" s="468"/>
      <c r="BLZ68" s="468"/>
      <c r="BMA68" s="468"/>
      <c r="BMB68" s="468"/>
      <c r="BMC68" s="468"/>
      <c r="BMD68" s="468"/>
      <c r="BME68" s="468"/>
      <c r="BMF68" s="468"/>
      <c r="BMG68" s="468"/>
      <c r="BMH68" s="468"/>
      <c r="BMI68" s="468"/>
      <c r="BMJ68" s="468"/>
      <c r="BMK68" s="468"/>
      <c r="BML68" s="468"/>
      <c r="BMM68" s="468"/>
      <c r="BMN68" s="468"/>
      <c r="BMO68" s="468"/>
      <c r="BMP68" s="468"/>
      <c r="BMQ68" s="468"/>
      <c r="BMR68" s="468"/>
      <c r="BMS68" s="468"/>
      <c r="BMT68" s="469"/>
      <c r="BMU68" s="467"/>
      <c r="BMV68" s="468"/>
      <c r="BMW68" s="468"/>
      <c r="BMX68" s="468"/>
      <c r="BMY68" s="468"/>
      <c r="BMZ68" s="468"/>
      <c r="BNA68" s="468"/>
      <c r="BNB68" s="468"/>
      <c r="BNC68" s="468"/>
      <c r="BND68" s="468"/>
      <c r="BNE68" s="468"/>
      <c r="BNF68" s="468"/>
      <c r="BNG68" s="468"/>
      <c r="BNH68" s="468"/>
      <c r="BNI68" s="468"/>
      <c r="BNJ68" s="468"/>
      <c r="BNK68" s="468"/>
      <c r="BNL68" s="468"/>
      <c r="BNM68" s="468"/>
      <c r="BNN68" s="468"/>
      <c r="BNO68" s="468"/>
      <c r="BNP68" s="468"/>
      <c r="BNQ68" s="468"/>
      <c r="BNR68" s="468"/>
      <c r="BNS68" s="468"/>
      <c r="BNT68" s="468"/>
      <c r="BNU68" s="468"/>
      <c r="BNV68" s="468"/>
      <c r="BNW68" s="468"/>
      <c r="BNX68" s="469"/>
      <c r="BNY68" s="467"/>
      <c r="BNZ68" s="468"/>
      <c r="BOA68" s="468"/>
      <c r="BOB68" s="468"/>
      <c r="BOC68" s="468"/>
      <c r="BOD68" s="468"/>
      <c r="BOE68" s="468"/>
      <c r="BOF68" s="468"/>
      <c r="BOG68" s="468"/>
      <c r="BOH68" s="468"/>
      <c r="BOI68" s="468"/>
      <c r="BOJ68" s="468"/>
      <c r="BOK68" s="468"/>
      <c r="BOL68" s="468"/>
      <c r="BOM68" s="468"/>
      <c r="BON68" s="468"/>
      <c r="BOO68" s="468"/>
      <c r="BOP68" s="468"/>
      <c r="BOQ68" s="468"/>
      <c r="BOR68" s="468"/>
      <c r="BOS68" s="468"/>
      <c r="BOT68" s="468"/>
      <c r="BOU68" s="468"/>
      <c r="BOV68" s="468"/>
      <c r="BOW68" s="468"/>
      <c r="BOX68" s="468"/>
      <c r="BOY68" s="468"/>
      <c r="BOZ68" s="468"/>
      <c r="BPA68" s="468"/>
      <c r="BPB68" s="469"/>
      <c r="BPC68" s="467"/>
      <c r="BPD68" s="468"/>
      <c r="BPE68" s="468"/>
      <c r="BPF68" s="468"/>
      <c r="BPG68" s="468"/>
      <c r="BPH68" s="468"/>
      <c r="BPI68" s="468"/>
      <c r="BPJ68" s="468"/>
      <c r="BPK68" s="468"/>
      <c r="BPL68" s="468"/>
      <c r="BPM68" s="468"/>
      <c r="BPN68" s="468"/>
      <c r="BPO68" s="468"/>
      <c r="BPP68" s="468"/>
      <c r="BPQ68" s="468"/>
      <c r="BPR68" s="468"/>
      <c r="BPS68" s="468"/>
      <c r="BPT68" s="468"/>
      <c r="BPU68" s="468"/>
      <c r="BPV68" s="468"/>
      <c r="BPW68" s="468"/>
      <c r="BPX68" s="468"/>
      <c r="BPY68" s="468"/>
      <c r="BPZ68" s="468"/>
      <c r="BQA68" s="468"/>
      <c r="BQB68" s="468"/>
      <c r="BQC68" s="468"/>
      <c r="BQD68" s="468"/>
      <c r="BQE68" s="468"/>
      <c r="BQF68" s="469"/>
      <c r="BQG68" s="467"/>
      <c r="BQH68" s="468"/>
      <c r="BQI68" s="468"/>
      <c r="BQJ68" s="468"/>
      <c r="BQK68" s="468"/>
      <c r="BQL68" s="468"/>
      <c r="BQM68" s="468"/>
      <c r="BQN68" s="468"/>
      <c r="BQO68" s="468"/>
      <c r="BQP68" s="468"/>
      <c r="BQQ68" s="468"/>
      <c r="BQR68" s="468"/>
      <c r="BQS68" s="468"/>
      <c r="BQT68" s="468"/>
      <c r="BQU68" s="468"/>
      <c r="BQV68" s="468"/>
      <c r="BQW68" s="468"/>
      <c r="BQX68" s="468"/>
      <c r="BQY68" s="468"/>
      <c r="BQZ68" s="468"/>
      <c r="BRA68" s="468"/>
      <c r="BRB68" s="468"/>
      <c r="BRC68" s="468"/>
      <c r="BRD68" s="468"/>
      <c r="BRE68" s="468"/>
      <c r="BRF68" s="468"/>
      <c r="BRG68" s="468"/>
      <c r="BRH68" s="468"/>
      <c r="BRI68" s="468"/>
      <c r="BRJ68" s="469"/>
      <c r="BRK68" s="467"/>
      <c r="BRL68" s="468"/>
      <c r="BRM68" s="468"/>
      <c r="BRN68" s="468"/>
      <c r="BRO68" s="468"/>
      <c r="BRP68" s="468"/>
      <c r="BRQ68" s="468"/>
      <c r="BRR68" s="468"/>
      <c r="BRS68" s="468"/>
      <c r="BRT68" s="468"/>
      <c r="BRU68" s="468"/>
      <c r="BRV68" s="468"/>
      <c r="BRW68" s="468"/>
      <c r="BRX68" s="468"/>
      <c r="BRY68" s="468"/>
      <c r="BRZ68" s="468"/>
      <c r="BSA68" s="468"/>
      <c r="BSB68" s="468"/>
      <c r="BSC68" s="468"/>
      <c r="BSD68" s="468"/>
      <c r="BSE68" s="468"/>
      <c r="BSF68" s="468"/>
      <c r="BSG68" s="468"/>
      <c r="BSH68" s="468"/>
      <c r="BSI68" s="468"/>
      <c r="BSJ68" s="468"/>
      <c r="BSK68" s="468"/>
      <c r="BSL68" s="468"/>
      <c r="BSM68" s="468"/>
      <c r="BSN68" s="469"/>
      <c r="BSO68" s="467"/>
      <c r="BSP68" s="468"/>
      <c r="BSQ68" s="468"/>
      <c r="BSR68" s="468"/>
      <c r="BSS68" s="468"/>
      <c r="BST68" s="468"/>
      <c r="BSU68" s="468"/>
      <c r="BSV68" s="468"/>
      <c r="BSW68" s="468"/>
      <c r="BSX68" s="468"/>
      <c r="BSY68" s="468"/>
      <c r="BSZ68" s="468"/>
      <c r="BTA68" s="468"/>
      <c r="BTB68" s="468"/>
      <c r="BTC68" s="468"/>
      <c r="BTD68" s="468"/>
      <c r="BTE68" s="468"/>
      <c r="BTF68" s="468"/>
      <c r="BTG68" s="468"/>
      <c r="BTH68" s="468"/>
      <c r="BTI68" s="468"/>
      <c r="BTJ68" s="468"/>
      <c r="BTK68" s="468"/>
      <c r="BTL68" s="468"/>
      <c r="BTM68" s="468"/>
      <c r="BTN68" s="468"/>
      <c r="BTO68" s="468"/>
      <c r="BTP68" s="468"/>
      <c r="BTQ68" s="468"/>
      <c r="BTR68" s="469"/>
      <c r="BTS68" s="467"/>
      <c r="BTT68" s="468"/>
      <c r="BTU68" s="468"/>
      <c r="BTV68" s="468"/>
      <c r="BTW68" s="468"/>
      <c r="BTX68" s="468"/>
      <c r="BTY68" s="468"/>
      <c r="BTZ68" s="468"/>
      <c r="BUA68" s="468"/>
      <c r="BUB68" s="468"/>
      <c r="BUC68" s="468"/>
      <c r="BUD68" s="468"/>
      <c r="BUE68" s="468"/>
      <c r="BUF68" s="468"/>
      <c r="BUG68" s="468"/>
      <c r="BUH68" s="468"/>
      <c r="BUI68" s="468"/>
      <c r="BUJ68" s="468"/>
      <c r="BUK68" s="468"/>
      <c r="BUL68" s="468"/>
      <c r="BUM68" s="468"/>
      <c r="BUN68" s="468"/>
      <c r="BUO68" s="468"/>
      <c r="BUP68" s="468"/>
      <c r="BUQ68" s="468"/>
      <c r="BUR68" s="468"/>
      <c r="BUS68" s="468"/>
      <c r="BUT68" s="468"/>
      <c r="BUU68" s="468"/>
      <c r="BUV68" s="469"/>
      <c r="BUW68" s="467"/>
      <c r="BUX68" s="468"/>
      <c r="BUY68" s="468"/>
      <c r="BUZ68" s="468"/>
      <c r="BVA68" s="468"/>
      <c r="BVB68" s="468"/>
      <c r="BVC68" s="468"/>
      <c r="BVD68" s="468"/>
      <c r="BVE68" s="468"/>
      <c r="BVF68" s="468"/>
      <c r="BVG68" s="468"/>
      <c r="BVH68" s="468"/>
      <c r="BVI68" s="468"/>
      <c r="BVJ68" s="468"/>
      <c r="BVK68" s="468"/>
      <c r="BVL68" s="468"/>
      <c r="BVM68" s="468"/>
      <c r="BVN68" s="468"/>
      <c r="BVO68" s="468"/>
      <c r="BVP68" s="468"/>
      <c r="BVQ68" s="468"/>
      <c r="BVR68" s="468"/>
      <c r="BVS68" s="468"/>
      <c r="BVT68" s="468"/>
      <c r="BVU68" s="468"/>
      <c r="BVV68" s="468"/>
      <c r="BVW68" s="468"/>
      <c r="BVX68" s="468"/>
      <c r="BVY68" s="468"/>
      <c r="BVZ68" s="469"/>
      <c r="BWA68" s="467"/>
      <c r="BWB68" s="468"/>
      <c r="BWC68" s="468"/>
      <c r="BWD68" s="468"/>
      <c r="BWE68" s="468"/>
      <c r="BWF68" s="468"/>
      <c r="BWG68" s="468"/>
      <c r="BWH68" s="468"/>
      <c r="BWI68" s="468"/>
      <c r="BWJ68" s="468"/>
      <c r="BWK68" s="468"/>
      <c r="BWL68" s="468"/>
      <c r="BWM68" s="468"/>
      <c r="BWN68" s="468"/>
      <c r="BWO68" s="468"/>
      <c r="BWP68" s="468"/>
      <c r="BWQ68" s="468"/>
      <c r="BWR68" s="468"/>
      <c r="BWS68" s="468"/>
      <c r="BWT68" s="468"/>
      <c r="BWU68" s="468"/>
      <c r="BWV68" s="468"/>
      <c r="BWW68" s="468"/>
      <c r="BWX68" s="468"/>
      <c r="BWY68" s="468"/>
      <c r="BWZ68" s="468"/>
      <c r="BXA68" s="468"/>
      <c r="BXB68" s="468"/>
      <c r="BXC68" s="468"/>
      <c r="BXD68" s="469"/>
      <c r="BXE68" s="467"/>
      <c r="BXF68" s="468"/>
      <c r="BXG68" s="468"/>
      <c r="BXH68" s="468"/>
      <c r="BXI68" s="468"/>
      <c r="BXJ68" s="468"/>
      <c r="BXK68" s="468"/>
      <c r="BXL68" s="468"/>
      <c r="BXM68" s="468"/>
      <c r="BXN68" s="468"/>
      <c r="BXO68" s="468"/>
      <c r="BXP68" s="468"/>
      <c r="BXQ68" s="468"/>
      <c r="BXR68" s="468"/>
      <c r="BXS68" s="468"/>
      <c r="BXT68" s="468"/>
      <c r="BXU68" s="468"/>
      <c r="BXV68" s="468"/>
      <c r="BXW68" s="468"/>
      <c r="BXX68" s="468"/>
      <c r="BXY68" s="468"/>
      <c r="BXZ68" s="468"/>
      <c r="BYA68" s="468"/>
      <c r="BYB68" s="468"/>
      <c r="BYC68" s="468"/>
      <c r="BYD68" s="468"/>
      <c r="BYE68" s="468"/>
      <c r="BYF68" s="468"/>
      <c r="BYG68" s="468"/>
      <c r="BYH68" s="469"/>
      <c r="BYI68" s="467"/>
      <c r="BYJ68" s="468"/>
      <c r="BYK68" s="468"/>
      <c r="BYL68" s="468"/>
      <c r="BYM68" s="468"/>
      <c r="BYN68" s="468"/>
      <c r="BYO68" s="468"/>
      <c r="BYP68" s="468"/>
      <c r="BYQ68" s="468"/>
      <c r="BYR68" s="468"/>
      <c r="BYS68" s="468"/>
      <c r="BYT68" s="468"/>
      <c r="BYU68" s="468"/>
      <c r="BYV68" s="468"/>
      <c r="BYW68" s="468"/>
      <c r="BYX68" s="468"/>
      <c r="BYY68" s="468"/>
      <c r="BYZ68" s="468"/>
      <c r="BZA68" s="468"/>
      <c r="BZB68" s="468"/>
      <c r="BZC68" s="468"/>
      <c r="BZD68" s="468"/>
      <c r="BZE68" s="468"/>
      <c r="BZF68" s="468"/>
      <c r="BZG68" s="468"/>
      <c r="BZH68" s="468"/>
      <c r="BZI68" s="468"/>
      <c r="BZJ68" s="468"/>
      <c r="BZK68" s="468"/>
      <c r="BZL68" s="469"/>
      <c r="BZM68" s="467"/>
      <c r="BZN68" s="468"/>
      <c r="BZO68" s="468"/>
      <c r="BZP68" s="468"/>
      <c r="BZQ68" s="468"/>
      <c r="BZR68" s="468"/>
      <c r="BZS68" s="468"/>
      <c r="BZT68" s="468"/>
      <c r="BZU68" s="468"/>
      <c r="BZV68" s="468"/>
      <c r="BZW68" s="468"/>
      <c r="BZX68" s="468"/>
      <c r="BZY68" s="468"/>
      <c r="BZZ68" s="468"/>
      <c r="CAA68" s="468"/>
      <c r="CAB68" s="468"/>
      <c r="CAC68" s="468"/>
      <c r="CAD68" s="468"/>
      <c r="CAE68" s="468"/>
      <c r="CAF68" s="468"/>
      <c r="CAG68" s="468"/>
      <c r="CAH68" s="468"/>
      <c r="CAI68" s="468"/>
      <c r="CAJ68" s="468"/>
      <c r="CAK68" s="468"/>
      <c r="CAL68" s="468"/>
      <c r="CAM68" s="468"/>
      <c r="CAN68" s="468"/>
      <c r="CAO68" s="468"/>
      <c r="CAP68" s="469"/>
      <c r="CAQ68" s="467"/>
      <c r="CAR68" s="468"/>
      <c r="CAS68" s="468"/>
      <c r="CAT68" s="468"/>
      <c r="CAU68" s="468"/>
      <c r="CAV68" s="468"/>
      <c r="CAW68" s="468"/>
      <c r="CAX68" s="468"/>
      <c r="CAY68" s="468"/>
      <c r="CAZ68" s="468"/>
      <c r="CBA68" s="468"/>
      <c r="CBB68" s="468"/>
      <c r="CBC68" s="468"/>
      <c r="CBD68" s="468"/>
      <c r="CBE68" s="468"/>
      <c r="CBF68" s="468"/>
      <c r="CBG68" s="468"/>
      <c r="CBH68" s="468"/>
      <c r="CBI68" s="468"/>
      <c r="CBJ68" s="468"/>
      <c r="CBK68" s="468"/>
      <c r="CBL68" s="468"/>
      <c r="CBM68" s="468"/>
      <c r="CBN68" s="468"/>
      <c r="CBO68" s="468"/>
      <c r="CBP68" s="468"/>
      <c r="CBQ68" s="468"/>
      <c r="CBR68" s="468"/>
      <c r="CBS68" s="468"/>
      <c r="CBT68" s="469"/>
      <c r="CBU68" s="467"/>
      <c r="CBV68" s="468"/>
      <c r="CBW68" s="468"/>
      <c r="CBX68" s="468"/>
      <c r="CBY68" s="468"/>
      <c r="CBZ68" s="468"/>
      <c r="CCA68" s="468"/>
      <c r="CCB68" s="468"/>
      <c r="CCC68" s="468"/>
      <c r="CCD68" s="468"/>
      <c r="CCE68" s="468"/>
      <c r="CCF68" s="468"/>
      <c r="CCG68" s="468"/>
      <c r="CCH68" s="468"/>
      <c r="CCI68" s="468"/>
      <c r="CCJ68" s="468"/>
      <c r="CCK68" s="468"/>
      <c r="CCL68" s="468"/>
      <c r="CCM68" s="468"/>
      <c r="CCN68" s="468"/>
      <c r="CCO68" s="468"/>
      <c r="CCP68" s="468"/>
      <c r="CCQ68" s="468"/>
      <c r="CCR68" s="468"/>
      <c r="CCS68" s="468"/>
      <c r="CCT68" s="468"/>
      <c r="CCU68" s="468"/>
      <c r="CCV68" s="468"/>
      <c r="CCW68" s="468"/>
      <c r="CCX68" s="469"/>
      <c r="CCY68" s="467"/>
      <c r="CCZ68" s="468"/>
      <c r="CDA68" s="468"/>
      <c r="CDB68" s="468"/>
      <c r="CDC68" s="468"/>
      <c r="CDD68" s="468"/>
      <c r="CDE68" s="468"/>
      <c r="CDF68" s="468"/>
      <c r="CDG68" s="468"/>
      <c r="CDH68" s="468"/>
      <c r="CDI68" s="468"/>
      <c r="CDJ68" s="468"/>
      <c r="CDK68" s="468"/>
      <c r="CDL68" s="468"/>
      <c r="CDM68" s="468"/>
      <c r="CDN68" s="468"/>
      <c r="CDO68" s="468"/>
      <c r="CDP68" s="468"/>
      <c r="CDQ68" s="468"/>
      <c r="CDR68" s="468"/>
      <c r="CDS68" s="468"/>
      <c r="CDT68" s="468"/>
      <c r="CDU68" s="468"/>
      <c r="CDV68" s="468"/>
      <c r="CDW68" s="468"/>
      <c r="CDX68" s="468"/>
      <c r="CDY68" s="468"/>
      <c r="CDZ68" s="468"/>
      <c r="CEA68" s="468"/>
      <c r="CEB68" s="469"/>
      <c r="CEC68" s="467"/>
      <c r="CED68" s="468"/>
      <c r="CEE68" s="468"/>
      <c r="CEF68" s="468"/>
      <c r="CEG68" s="468"/>
      <c r="CEH68" s="468"/>
      <c r="CEI68" s="468"/>
      <c r="CEJ68" s="468"/>
      <c r="CEK68" s="468"/>
      <c r="CEL68" s="468"/>
      <c r="CEM68" s="468"/>
      <c r="CEN68" s="468"/>
      <c r="CEO68" s="468"/>
      <c r="CEP68" s="468"/>
      <c r="CEQ68" s="468"/>
      <c r="CER68" s="468"/>
      <c r="CES68" s="468"/>
      <c r="CET68" s="468"/>
      <c r="CEU68" s="468"/>
      <c r="CEV68" s="468"/>
      <c r="CEW68" s="468"/>
      <c r="CEX68" s="468"/>
      <c r="CEY68" s="468"/>
      <c r="CEZ68" s="468"/>
      <c r="CFA68" s="468"/>
      <c r="CFB68" s="468"/>
      <c r="CFC68" s="468"/>
      <c r="CFD68" s="468"/>
      <c r="CFE68" s="468"/>
      <c r="CFF68" s="469"/>
      <c r="CFG68" s="467"/>
      <c r="CFH68" s="468"/>
      <c r="CFI68" s="468"/>
      <c r="CFJ68" s="468"/>
      <c r="CFK68" s="468"/>
      <c r="CFL68" s="468"/>
      <c r="CFM68" s="468"/>
      <c r="CFN68" s="468"/>
      <c r="CFO68" s="468"/>
      <c r="CFP68" s="468"/>
      <c r="CFQ68" s="468"/>
      <c r="CFR68" s="468"/>
      <c r="CFS68" s="468"/>
      <c r="CFT68" s="468"/>
      <c r="CFU68" s="468"/>
      <c r="CFV68" s="468"/>
      <c r="CFW68" s="468"/>
      <c r="CFX68" s="468"/>
      <c r="CFY68" s="468"/>
      <c r="CFZ68" s="468"/>
      <c r="CGA68" s="468"/>
      <c r="CGB68" s="468"/>
      <c r="CGC68" s="468"/>
      <c r="CGD68" s="468"/>
      <c r="CGE68" s="468"/>
      <c r="CGF68" s="468"/>
      <c r="CGG68" s="468"/>
      <c r="CGH68" s="468"/>
      <c r="CGI68" s="468"/>
      <c r="CGJ68" s="469"/>
      <c r="CGK68" s="467"/>
      <c r="CGL68" s="468"/>
      <c r="CGM68" s="468"/>
      <c r="CGN68" s="468"/>
      <c r="CGO68" s="468"/>
      <c r="CGP68" s="468"/>
      <c r="CGQ68" s="468"/>
      <c r="CGR68" s="468"/>
      <c r="CGS68" s="468"/>
      <c r="CGT68" s="468"/>
      <c r="CGU68" s="468"/>
      <c r="CGV68" s="468"/>
      <c r="CGW68" s="468"/>
      <c r="CGX68" s="468"/>
      <c r="CGY68" s="468"/>
      <c r="CGZ68" s="468"/>
      <c r="CHA68" s="468"/>
      <c r="CHB68" s="468"/>
      <c r="CHC68" s="468"/>
      <c r="CHD68" s="468"/>
      <c r="CHE68" s="468"/>
      <c r="CHF68" s="468"/>
      <c r="CHG68" s="468"/>
      <c r="CHH68" s="468"/>
      <c r="CHI68" s="468"/>
      <c r="CHJ68" s="468"/>
      <c r="CHK68" s="468"/>
      <c r="CHL68" s="468"/>
      <c r="CHM68" s="468"/>
      <c r="CHN68" s="469"/>
      <c r="CHO68" s="467"/>
      <c r="CHP68" s="468"/>
      <c r="CHQ68" s="468"/>
      <c r="CHR68" s="468"/>
      <c r="CHS68" s="468"/>
      <c r="CHT68" s="468"/>
      <c r="CHU68" s="468"/>
      <c r="CHV68" s="468"/>
      <c r="CHW68" s="468"/>
      <c r="CHX68" s="468"/>
      <c r="CHY68" s="468"/>
      <c r="CHZ68" s="468"/>
      <c r="CIA68" s="468"/>
      <c r="CIB68" s="468"/>
      <c r="CIC68" s="468"/>
      <c r="CID68" s="468"/>
      <c r="CIE68" s="468"/>
      <c r="CIF68" s="468"/>
      <c r="CIG68" s="468"/>
      <c r="CIH68" s="468"/>
      <c r="CII68" s="468"/>
      <c r="CIJ68" s="468"/>
      <c r="CIK68" s="468"/>
      <c r="CIL68" s="468"/>
      <c r="CIM68" s="468"/>
      <c r="CIN68" s="468"/>
      <c r="CIO68" s="468"/>
      <c r="CIP68" s="468"/>
      <c r="CIQ68" s="468"/>
      <c r="CIR68" s="469"/>
      <c r="CIS68" s="467"/>
      <c r="CIT68" s="468"/>
      <c r="CIU68" s="468"/>
      <c r="CIV68" s="468"/>
      <c r="CIW68" s="468"/>
      <c r="CIX68" s="468"/>
      <c r="CIY68" s="468"/>
      <c r="CIZ68" s="468"/>
      <c r="CJA68" s="468"/>
      <c r="CJB68" s="468"/>
      <c r="CJC68" s="468"/>
      <c r="CJD68" s="468"/>
      <c r="CJE68" s="468"/>
      <c r="CJF68" s="468"/>
      <c r="CJG68" s="468"/>
      <c r="CJH68" s="468"/>
      <c r="CJI68" s="468"/>
      <c r="CJJ68" s="468"/>
      <c r="CJK68" s="468"/>
      <c r="CJL68" s="468"/>
      <c r="CJM68" s="468"/>
      <c r="CJN68" s="468"/>
      <c r="CJO68" s="468"/>
      <c r="CJP68" s="468"/>
      <c r="CJQ68" s="468"/>
      <c r="CJR68" s="468"/>
      <c r="CJS68" s="468"/>
      <c r="CJT68" s="468"/>
      <c r="CJU68" s="468"/>
      <c r="CJV68" s="469"/>
      <c r="CJW68" s="467"/>
      <c r="CJX68" s="468"/>
      <c r="CJY68" s="468"/>
      <c r="CJZ68" s="468"/>
      <c r="CKA68" s="468"/>
      <c r="CKB68" s="468"/>
      <c r="CKC68" s="468"/>
      <c r="CKD68" s="468"/>
      <c r="CKE68" s="468"/>
      <c r="CKF68" s="468"/>
      <c r="CKG68" s="468"/>
      <c r="CKH68" s="468"/>
      <c r="CKI68" s="468"/>
      <c r="CKJ68" s="468"/>
      <c r="CKK68" s="468"/>
      <c r="CKL68" s="468"/>
      <c r="CKM68" s="468"/>
      <c r="CKN68" s="468"/>
      <c r="CKO68" s="468"/>
      <c r="CKP68" s="468"/>
      <c r="CKQ68" s="468"/>
      <c r="CKR68" s="468"/>
      <c r="CKS68" s="468"/>
      <c r="CKT68" s="468"/>
      <c r="CKU68" s="468"/>
      <c r="CKV68" s="468"/>
      <c r="CKW68" s="468"/>
      <c r="CKX68" s="468"/>
      <c r="CKY68" s="468"/>
      <c r="CKZ68" s="469"/>
      <c r="CLA68" s="467"/>
      <c r="CLB68" s="468"/>
      <c r="CLC68" s="468"/>
      <c r="CLD68" s="468"/>
      <c r="CLE68" s="468"/>
      <c r="CLF68" s="468"/>
      <c r="CLG68" s="468"/>
      <c r="CLH68" s="468"/>
      <c r="CLI68" s="468"/>
      <c r="CLJ68" s="468"/>
      <c r="CLK68" s="468"/>
      <c r="CLL68" s="468"/>
      <c r="CLM68" s="468"/>
      <c r="CLN68" s="468"/>
      <c r="CLO68" s="468"/>
      <c r="CLP68" s="468"/>
      <c r="CLQ68" s="468"/>
      <c r="CLR68" s="468"/>
      <c r="CLS68" s="468"/>
      <c r="CLT68" s="468"/>
      <c r="CLU68" s="468"/>
      <c r="CLV68" s="468"/>
      <c r="CLW68" s="468"/>
      <c r="CLX68" s="468"/>
      <c r="CLY68" s="468"/>
      <c r="CLZ68" s="468"/>
      <c r="CMA68" s="468"/>
      <c r="CMB68" s="468"/>
      <c r="CMC68" s="468"/>
      <c r="CMD68" s="469"/>
      <c r="CME68" s="467"/>
      <c r="CMF68" s="468"/>
      <c r="CMG68" s="468"/>
      <c r="CMH68" s="468"/>
      <c r="CMI68" s="468"/>
      <c r="CMJ68" s="468"/>
      <c r="CMK68" s="468"/>
      <c r="CML68" s="468"/>
      <c r="CMM68" s="468"/>
      <c r="CMN68" s="468"/>
      <c r="CMO68" s="468"/>
      <c r="CMP68" s="468"/>
      <c r="CMQ68" s="468"/>
      <c r="CMR68" s="468"/>
      <c r="CMS68" s="468"/>
      <c r="CMT68" s="468"/>
      <c r="CMU68" s="468"/>
      <c r="CMV68" s="468"/>
      <c r="CMW68" s="468"/>
      <c r="CMX68" s="468"/>
      <c r="CMY68" s="468"/>
      <c r="CMZ68" s="468"/>
      <c r="CNA68" s="468"/>
      <c r="CNB68" s="468"/>
      <c r="CNC68" s="468"/>
      <c r="CND68" s="468"/>
      <c r="CNE68" s="468"/>
      <c r="CNF68" s="468"/>
      <c r="CNG68" s="468"/>
      <c r="CNH68" s="469"/>
      <c r="CNI68" s="467"/>
      <c r="CNJ68" s="468"/>
      <c r="CNK68" s="468"/>
      <c r="CNL68" s="468"/>
      <c r="CNM68" s="468"/>
      <c r="CNN68" s="468"/>
      <c r="CNO68" s="468"/>
      <c r="CNP68" s="468"/>
      <c r="CNQ68" s="468"/>
      <c r="CNR68" s="468"/>
      <c r="CNS68" s="468"/>
      <c r="CNT68" s="468"/>
      <c r="CNU68" s="468"/>
      <c r="CNV68" s="468"/>
      <c r="CNW68" s="468"/>
      <c r="CNX68" s="468"/>
      <c r="CNY68" s="468"/>
      <c r="CNZ68" s="468"/>
      <c r="COA68" s="468"/>
      <c r="COB68" s="468"/>
      <c r="COC68" s="468"/>
      <c r="COD68" s="468"/>
      <c r="COE68" s="468"/>
      <c r="COF68" s="468"/>
      <c r="COG68" s="468"/>
      <c r="COH68" s="468"/>
      <c r="COI68" s="468"/>
      <c r="COJ68" s="468"/>
      <c r="COK68" s="468"/>
      <c r="COL68" s="469"/>
      <c r="COM68" s="467"/>
      <c r="CON68" s="468"/>
      <c r="COO68" s="468"/>
      <c r="COP68" s="468"/>
      <c r="COQ68" s="468"/>
      <c r="COR68" s="468"/>
      <c r="COS68" s="468"/>
      <c r="COT68" s="468"/>
      <c r="COU68" s="468"/>
      <c r="COV68" s="468"/>
      <c r="COW68" s="468"/>
      <c r="COX68" s="468"/>
      <c r="COY68" s="468"/>
      <c r="COZ68" s="468"/>
      <c r="CPA68" s="468"/>
      <c r="CPB68" s="468"/>
      <c r="CPC68" s="468"/>
      <c r="CPD68" s="468"/>
      <c r="CPE68" s="468"/>
      <c r="CPF68" s="468"/>
      <c r="CPG68" s="468"/>
      <c r="CPH68" s="468"/>
      <c r="CPI68" s="468"/>
      <c r="CPJ68" s="468"/>
      <c r="CPK68" s="468"/>
      <c r="CPL68" s="468"/>
      <c r="CPM68" s="468"/>
      <c r="CPN68" s="468"/>
      <c r="CPO68" s="468"/>
      <c r="CPP68" s="469"/>
      <c r="CPQ68" s="467"/>
      <c r="CPR68" s="468"/>
      <c r="CPS68" s="468"/>
      <c r="CPT68" s="468"/>
      <c r="CPU68" s="468"/>
      <c r="CPV68" s="468"/>
      <c r="CPW68" s="468"/>
      <c r="CPX68" s="468"/>
      <c r="CPY68" s="468"/>
      <c r="CPZ68" s="468"/>
      <c r="CQA68" s="468"/>
      <c r="CQB68" s="468"/>
      <c r="CQC68" s="468"/>
      <c r="CQD68" s="468"/>
      <c r="CQE68" s="468"/>
      <c r="CQF68" s="468"/>
      <c r="CQG68" s="468"/>
      <c r="CQH68" s="468"/>
      <c r="CQI68" s="468"/>
      <c r="CQJ68" s="468"/>
      <c r="CQK68" s="468"/>
      <c r="CQL68" s="468"/>
      <c r="CQM68" s="468"/>
      <c r="CQN68" s="468"/>
      <c r="CQO68" s="468"/>
      <c r="CQP68" s="468"/>
      <c r="CQQ68" s="468"/>
      <c r="CQR68" s="468"/>
      <c r="CQS68" s="468"/>
      <c r="CQT68" s="469"/>
      <c r="CQU68" s="467"/>
      <c r="CQV68" s="468"/>
      <c r="CQW68" s="468"/>
      <c r="CQX68" s="468"/>
      <c r="CQY68" s="468"/>
      <c r="CQZ68" s="468"/>
      <c r="CRA68" s="468"/>
      <c r="CRB68" s="468"/>
      <c r="CRC68" s="468"/>
      <c r="CRD68" s="468"/>
      <c r="CRE68" s="468"/>
      <c r="CRF68" s="468"/>
      <c r="CRG68" s="468"/>
      <c r="CRH68" s="468"/>
      <c r="CRI68" s="468"/>
      <c r="CRJ68" s="468"/>
      <c r="CRK68" s="468"/>
      <c r="CRL68" s="468"/>
      <c r="CRM68" s="468"/>
      <c r="CRN68" s="468"/>
      <c r="CRO68" s="468"/>
      <c r="CRP68" s="468"/>
      <c r="CRQ68" s="468"/>
      <c r="CRR68" s="468"/>
      <c r="CRS68" s="468"/>
      <c r="CRT68" s="468"/>
      <c r="CRU68" s="468"/>
      <c r="CRV68" s="468"/>
      <c r="CRW68" s="468"/>
      <c r="CRX68" s="469"/>
      <c r="CRY68" s="467"/>
      <c r="CRZ68" s="468"/>
      <c r="CSA68" s="468"/>
      <c r="CSB68" s="468"/>
      <c r="CSC68" s="468"/>
      <c r="CSD68" s="468"/>
      <c r="CSE68" s="468"/>
      <c r="CSF68" s="468"/>
      <c r="CSG68" s="468"/>
      <c r="CSH68" s="468"/>
      <c r="CSI68" s="468"/>
      <c r="CSJ68" s="468"/>
      <c r="CSK68" s="468"/>
      <c r="CSL68" s="468"/>
      <c r="CSM68" s="468"/>
      <c r="CSN68" s="468"/>
      <c r="CSO68" s="468"/>
      <c r="CSP68" s="468"/>
      <c r="CSQ68" s="468"/>
      <c r="CSR68" s="468"/>
      <c r="CSS68" s="468"/>
      <c r="CST68" s="468"/>
      <c r="CSU68" s="468"/>
      <c r="CSV68" s="468"/>
      <c r="CSW68" s="468"/>
      <c r="CSX68" s="468"/>
      <c r="CSY68" s="468"/>
      <c r="CSZ68" s="468"/>
      <c r="CTA68" s="468"/>
      <c r="CTB68" s="469"/>
      <c r="CTC68" s="467"/>
      <c r="CTD68" s="468"/>
      <c r="CTE68" s="468"/>
      <c r="CTF68" s="468"/>
      <c r="CTG68" s="468"/>
      <c r="CTH68" s="468"/>
      <c r="CTI68" s="468"/>
      <c r="CTJ68" s="468"/>
      <c r="CTK68" s="468"/>
      <c r="CTL68" s="468"/>
      <c r="CTM68" s="468"/>
      <c r="CTN68" s="468"/>
      <c r="CTO68" s="468"/>
      <c r="CTP68" s="468"/>
      <c r="CTQ68" s="468"/>
      <c r="CTR68" s="468"/>
      <c r="CTS68" s="468"/>
      <c r="CTT68" s="468"/>
      <c r="CTU68" s="468"/>
      <c r="CTV68" s="468"/>
      <c r="CTW68" s="468"/>
      <c r="CTX68" s="468"/>
      <c r="CTY68" s="468"/>
      <c r="CTZ68" s="468"/>
      <c r="CUA68" s="468"/>
      <c r="CUB68" s="468"/>
      <c r="CUC68" s="468"/>
      <c r="CUD68" s="468"/>
      <c r="CUE68" s="468"/>
      <c r="CUF68" s="469"/>
      <c r="CUG68" s="467"/>
      <c r="CUH68" s="468"/>
      <c r="CUI68" s="468"/>
      <c r="CUJ68" s="468"/>
      <c r="CUK68" s="468"/>
      <c r="CUL68" s="468"/>
      <c r="CUM68" s="468"/>
      <c r="CUN68" s="468"/>
      <c r="CUO68" s="468"/>
      <c r="CUP68" s="468"/>
      <c r="CUQ68" s="468"/>
      <c r="CUR68" s="468"/>
      <c r="CUS68" s="468"/>
      <c r="CUT68" s="468"/>
      <c r="CUU68" s="468"/>
      <c r="CUV68" s="468"/>
      <c r="CUW68" s="468"/>
      <c r="CUX68" s="468"/>
      <c r="CUY68" s="468"/>
      <c r="CUZ68" s="468"/>
      <c r="CVA68" s="468"/>
      <c r="CVB68" s="468"/>
      <c r="CVC68" s="468"/>
      <c r="CVD68" s="468"/>
      <c r="CVE68" s="468"/>
      <c r="CVF68" s="468"/>
      <c r="CVG68" s="468"/>
      <c r="CVH68" s="468"/>
      <c r="CVI68" s="468"/>
      <c r="CVJ68" s="469"/>
      <c r="CVK68" s="467"/>
      <c r="CVL68" s="468"/>
      <c r="CVM68" s="468"/>
      <c r="CVN68" s="468"/>
      <c r="CVO68" s="468"/>
      <c r="CVP68" s="468"/>
      <c r="CVQ68" s="468"/>
      <c r="CVR68" s="468"/>
      <c r="CVS68" s="468"/>
      <c r="CVT68" s="468"/>
      <c r="CVU68" s="468"/>
      <c r="CVV68" s="468"/>
      <c r="CVW68" s="468"/>
      <c r="CVX68" s="468"/>
      <c r="CVY68" s="468"/>
      <c r="CVZ68" s="468"/>
      <c r="CWA68" s="468"/>
      <c r="CWB68" s="468"/>
      <c r="CWC68" s="468"/>
      <c r="CWD68" s="468"/>
      <c r="CWE68" s="468"/>
      <c r="CWF68" s="468"/>
      <c r="CWG68" s="468"/>
      <c r="CWH68" s="468"/>
      <c r="CWI68" s="468"/>
      <c r="CWJ68" s="468"/>
      <c r="CWK68" s="468"/>
      <c r="CWL68" s="468"/>
      <c r="CWM68" s="468"/>
      <c r="CWN68" s="469"/>
      <c r="CWO68" s="467"/>
      <c r="CWP68" s="468"/>
      <c r="CWQ68" s="468"/>
      <c r="CWR68" s="468"/>
      <c r="CWS68" s="468"/>
      <c r="CWT68" s="468"/>
      <c r="CWU68" s="468"/>
      <c r="CWV68" s="468"/>
      <c r="CWW68" s="468"/>
      <c r="CWX68" s="468"/>
      <c r="CWY68" s="468"/>
      <c r="CWZ68" s="468"/>
      <c r="CXA68" s="468"/>
      <c r="CXB68" s="468"/>
      <c r="CXC68" s="468"/>
      <c r="CXD68" s="468"/>
      <c r="CXE68" s="468"/>
      <c r="CXF68" s="468"/>
      <c r="CXG68" s="468"/>
      <c r="CXH68" s="468"/>
      <c r="CXI68" s="468"/>
      <c r="CXJ68" s="468"/>
      <c r="CXK68" s="468"/>
      <c r="CXL68" s="468"/>
      <c r="CXM68" s="468"/>
      <c r="CXN68" s="468"/>
      <c r="CXO68" s="468"/>
      <c r="CXP68" s="468"/>
      <c r="CXQ68" s="468"/>
      <c r="CXR68" s="469"/>
      <c r="CXS68" s="467"/>
      <c r="CXT68" s="468"/>
      <c r="CXU68" s="468"/>
      <c r="CXV68" s="468"/>
      <c r="CXW68" s="468"/>
      <c r="CXX68" s="468"/>
      <c r="CXY68" s="468"/>
      <c r="CXZ68" s="468"/>
      <c r="CYA68" s="468"/>
      <c r="CYB68" s="468"/>
      <c r="CYC68" s="468"/>
      <c r="CYD68" s="468"/>
      <c r="CYE68" s="468"/>
      <c r="CYF68" s="468"/>
      <c r="CYG68" s="468"/>
      <c r="CYH68" s="468"/>
      <c r="CYI68" s="468"/>
      <c r="CYJ68" s="468"/>
      <c r="CYK68" s="468"/>
      <c r="CYL68" s="468"/>
      <c r="CYM68" s="468"/>
      <c r="CYN68" s="468"/>
      <c r="CYO68" s="468"/>
      <c r="CYP68" s="468"/>
      <c r="CYQ68" s="468"/>
      <c r="CYR68" s="468"/>
      <c r="CYS68" s="468"/>
      <c r="CYT68" s="468"/>
      <c r="CYU68" s="468"/>
      <c r="CYV68" s="469"/>
      <c r="CYW68" s="467"/>
      <c r="CYX68" s="468"/>
      <c r="CYY68" s="468"/>
      <c r="CYZ68" s="468"/>
      <c r="CZA68" s="468"/>
      <c r="CZB68" s="468"/>
      <c r="CZC68" s="468"/>
      <c r="CZD68" s="468"/>
      <c r="CZE68" s="468"/>
      <c r="CZF68" s="468"/>
      <c r="CZG68" s="468"/>
      <c r="CZH68" s="468"/>
      <c r="CZI68" s="468"/>
      <c r="CZJ68" s="468"/>
      <c r="CZK68" s="468"/>
      <c r="CZL68" s="468"/>
      <c r="CZM68" s="468"/>
      <c r="CZN68" s="468"/>
      <c r="CZO68" s="468"/>
      <c r="CZP68" s="468"/>
      <c r="CZQ68" s="468"/>
      <c r="CZR68" s="468"/>
      <c r="CZS68" s="468"/>
      <c r="CZT68" s="468"/>
      <c r="CZU68" s="468"/>
      <c r="CZV68" s="468"/>
      <c r="CZW68" s="468"/>
      <c r="CZX68" s="468"/>
      <c r="CZY68" s="468"/>
      <c r="CZZ68" s="469"/>
      <c r="DAA68" s="467"/>
      <c r="DAB68" s="468"/>
      <c r="DAC68" s="468"/>
      <c r="DAD68" s="468"/>
      <c r="DAE68" s="468"/>
      <c r="DAF68" s="468"/>
      <c r="DAG68" s="468"/>
      <c r="DAH68" s="468"/>
      <c r="DAI68" s="468"/>
      <c r="DAJ68" s="468"/>
      <c r="DAK68" s="468"/>
      <c r="DAL68" s="468"/>
      <c r="DAM68" s="468"/>
      <c r="DAN68" s="468"/>
      <c r="DAO68" s="468"/>
      <c r="DAP68" s="468"/>
      <c r="DAQ68" s="468"/>
      <c r="DAR68" s="468"/>
      <c r="DAS68" s="468"/>
      <c r="DAT68" s="468"/>
      <c r="DAU68" s="468"/>
      <c r="DAV68" s="468"/>
      <c r="DAW68" s="468"/>
      <c r="DAX68" s="468"/>
      <c r="DAY68" s="468"/>
      <c r="DAZ68" s="468"/>
      <c r="DBA68" s="468"/>
      <c r="DBB68" s="468"/>
      <c r="DBC68" s="468"/>
      <c r="DBD68" s="469"/>
      <c r="DBE68" s="467"/>
      <c r="DBF68" s="468"/>
      <c r="DBG68" s="468"/>
      <c r="DBH68" s="468"/>
      <c r="DBI68" s="468"/>
      <c r="DBJ68" s="468"/>
      <c r="DBK68" s="468"/>
      <c r="DBL68" s="468"/>
      <c r="DBM68" s="468"/>
      <c r="DBN68" s="468"/>
      <c r="DBO68" s="468"/>
      <c r="DBP68" s="468"/>
      <c r="DBQ68" s="468"/>
      <c r="DBR68" s="468"/>
      <c r="DBS68" s="468"/>
      <c r="DBT68" s="468"/>
      <c r="DBU68" s="468"/>
      <c r="DBV68" s="468"/>
      <c r="DBW68" s="468"/>
      <c r="DBX68" s="468"/>
      <c r="DBY68" s="468"/>
      <c r="DBZ68" s="468"/>
      <c r="DCA68" s="468"/>
      <c r="DCB68" s="468"/>
      <c r="DCC68" s="468"/>
      <c r="DCD68" s="468"/>
      <c r="DCE68" s="468"/>
      <c r="DCF68" s="468"/>
      <c r="DCG68" s="468"/>
      <c r="DCH68" s="469"/>
      <c r="DCI68" s="467"/>
      <c r="DCJ68" s="468"/>
      <c r="DCK68" s="468"/>
      <c r="DCL68" s="468"/>
      <c r="DCM68" s="468"/>
      <c r="DCN68" s="468"/>
      <c r="DCO68" s="468"/>
      <c r="DCP68" s="468"/>
      <c r="DCQ68" s="468"/>
      <c r="DCR68" s="468"/>
      <c r="DCS68" s="468"/>
      <c r="DCT68" s="468"/>
      <c r="DCU68" s="468"/>
      <c r="DCV68" s="468"/>
      <c r="DCW68" s="468"/>
      <c r="DCX68" s="468"/>
      <c r="DCY68" s="468"/>
      <c r="DCZ68" s="468"/>
      <c r="DDA68" s="468"/>
      <c r="DDB68" s="468"/>
      <c r="DDC68" s="468"/>
      <c r="DDD68" s="468"/>
      <c r="DDE68" s="468"/>
      <c r="DDF68" s="468"/>
      <c r="DDG68" s="468"/>
      <c r="DDH68" s="468"/>
      <c r="DDI68" s="468"/>
      <c r="DDJ68" s="468"/>
      <c r="DDK68" s="468"/>
      <c r="DDL68" s="469"/>
      <c r="DDM68" s="467"/>
      <c r="DDN68" s="468"/>
      <c r="DDO68" s="468"/>
      <c r="DDP68" s="468"/>
      <c r="DDQ68" s="468"/>
      <c r="DDR68" s="468"/>
      <c r="DDS68" s="468"/>
      <c r="DDT68" s="468"/>
      <c r="DDU68" s="468"/>
      <c r="DDV68" s="468"/>
      <c r="DDW68" s="468"/>
      <c r="DDX68" s="468"/>
      <c r="DDY68" s="468"/>
      <c r="DDZ68" s="468"/>
      <c r="DEA68" s="468"/>
      <c r="DEB68" s="468"/>
      <c r="DEC68" s="468"/>
      <c r="DED68" s="468"/>
      <c r="DEE68" s="468"/>
      <c r="DEF68" s="468"/>
      <c r="DEG68" s="468"/>
      <c r="DEH68" s="468"/>
      <c r="DEI68" s="468"/>
      <c r="DEJ68" s="468"/>
      <c r="DEK68" s="468"/>
      <c r="DEL68" s="468"/>
      <c r="DEM68" s="468"/>
      <c r="DEN68" s="468"/>
      <c r="DEO68" s="468"/>
      <c r="DEP68" s="469"/>
      <c r="DEQ68" s="467"/>
      <c r="DER68" s="468"/>
      <c r="DES68" s="468"/>
      <c r="DET68" s="468"/>
      <c r="DEU68" s="468"/>
      <c r="DEV68" s="468"/>
      <c r="DEW68" s="468"/>
      <c r="DEX68" s="468"/>
      <c r="DEY68" s="468"/>
      <c r="DEZ68" s="468"/>
      <c r="DFA68" s="468"/>
      <c r="DFB68" s="468"/>
      <c r="DFC68" s="468"/>
      <c r="DFD68" s="468"/>
      <c r="DFE68" s="468"/>
      <c r="DFF68" s="468"/>
      <c r="DFG68" s="468"/>
      <c r="DFH68" s="468"/>
      <c r="DFI68" s="468"/>
      <c r="DFJ68" s="468"/>
      <c r="DFK68" s="468"/>
      <c r="DFL68" s="468"/>
      <c r="DFM68" s="468"/>
      <c r="DFN68" s="468"/>
      <c r="DFO68" s="468"/>
      <c r="DFP68" s="468"/>
      <c r="DFQ68" s="468"/>
      <c r="DFR68" s="468"/>
      <c r="DFS68" s="468"/>
      <c r="DFT68" s="469"/>
      <c r="DFU68" s="467"/>
      <c r="DFV68" s="468"/>
      <c r="DFW68" s="468"/>
      <c r="DFX68" s="468"/>
      <c r="DFY68" s="468"/>
      <c r="DFZ68" s="468"/>
      <c r="DGA68" s="468"/>
      <c r="DGB68" s="468"/>
      <c r="DGC68" s="468"/>
      <c r="DGD68" s="468"/>
      <c r="DGE68" s="468"/>
      <c r="DGF68" s="468"/>
      <c r="DGG68" s="468"/>
      <c r="DGH68" s="468"/>
      <c r="DGI68" s="468"/>
      <c r="DGJ68" s="468"/>
      <c r="DGK68" s="468"/>
      <c r="DGL68" s="468"/>
      <c r="DGM68" s="468"/>
      <c r="DGN68" s="468"/>
      <c r="DGO68" s="468"/>
      <c r="DGP68" s="468"/>
      <c r="DGQ68" s="468"/>
      <c r="DGR68" s="468"/>
      <c r="DGS68" s="468"/>
      <c r="DGT68" s="468"/>
      <c r="DGU68" s="468"/>
      <c r="DGV68" s="468"/>
      <c r="DGW68" s="468"/>
      <c r="DGX68" s="469"/>
      <c r="DGY68" s="467"/>
      <c r="DGZ68" s="468"/>
      <c r="DHA68" s="468"/>
      <c r="DHB68" s="468"/>
      <c r="DHC68" s="468"/>
      <c r="DHD68" s="468"/>
      <c r="DHE68" s="468"/>
      <c r="DHF68" s="468"/>
      <c r="DHG68" s="468"/>
      <c r="DHH68" s="468"/>
      <c r="DHI68" s="468"/>
      <c r="DHJ68" s="468"/>
      <c r="DHK68" s="468"/>
      <c r="DHL68" s="468"/>
      <c r="DHM68" s="468"/>
      <c r="DHN68" s="468"/>
      <c r="DHO68" s="468"/>
      <c r="DHP68" s="468"/>
      <c r="DHQ68" s="468"/>
      <c r="DHR68" s="468"/>
      <c r="DHS68" s="468"/>
      <c r="DHT68" s="468"/>
      <c r="DHU68" s="468"/>
      <c r="DHV68" s="468"/>
      <c r="DHW68" s="468"/>
      <c r="DHX68" s="468"/>
      <c r="DHY68" s="468"/>
      <c r="DHZ68" s="468"/>
      <c r="DIA68" s="468"/>
      <c r="DIB68" s="469"/>
      <c r="DIC68" s="467"/>
      <c r="DID68" s="468"/>
      <c r="DIE68" s="468"/>
      <c r="DIF68" s="468"/>
      <c r="DIG68" s="468"/>
      <c r="DIH68" s="468"/>
      <c r="DII68" s="468"/>
      <c r="DIJ68" s="468"/>
      <c r="DIK68" s="468"/>
      <c r="DIL68" s="468"/>
      <c r="DIM68" s="468"/>
      <c r="DIN68" s="468"/>
      <c r="DIO68" s="468"/>
      <c r="DIP68" s="468"/>
      <c r="DIQ68" s="468"/>
      <c r="DIR68" s="468"/>
      <c r="DIS68" s="468"/>
      <c r="DIT68" s="468"/>
      <c r="DIU68" s="468"/>
      <c r="DIV68" s="468"/>
      <c r="DIW68" s="468"/>
      <c r="DIX68" s="468"/>
      <c r="DIY68" s="468"/>
      <c r="DIZ68" s="468"/>
      <c r="DJA68" s="468"/>
      <c r="DJB68" s="468"/>
      <c r="DJC68" s="468"/>
      <c r="DJD68" s="468"/>
      <c r="DJE68" s="468"/>
      <c r="DJF68" s="469"/>
      <c r="DJG68" s="467"/>
      <c r="DJH68" s="468"/>
      <c r="DJI68" s="468"/>
      <c r="DJJ68" s="468"/>
      <c r="DJK68" s="468"/>
      <c r="DJL68" s="468"/>
      <c r="DJM68" s="468"/>
      <c r="DJN68" s="468"/>
      <c r="DJO68" s="468"/>
      <c r="DJP68" s="468"/>
      <c r="DJQ68" s="468"/>
      <c r="DJR68" s="468"/>
      <c r="DJS68" s="468"/>
      <c r="DJT68" s="468"/>
      <c r="DJU68" s="468"/>
      <c r="DJV68" s="468"/>
      <c r="DJW68" s="468"/>
      <c r="DJX68" s="468"/>
      <c r="DJY68" s="468"/>
      <c r="DJZ68" s="468"/>
      <c r="DKA68" s="468"/>
      <c r="DKB68" s="468"/>
      <c r="DKC68" s="468"/>
      <c r="DKD68" s="468"/>
      <c r="DKE68" s="468"/>
      <c r="DKF68" s="468"/>
      <c r="DKG68" s="468"/>
      <c r="DKH68" s="468"/>
      <c r="DKI68" s="468"/>
      <c r="DKJ68" s="469"/>
      <c r="DKK68" s="467"/>
      <c r="DKL68" s="468"/>
      <c r="DKM68" s="468"/>
      <c r="DKN68" s="468"/>
      <c r="DKO68" s="468"/>
      <c r="DKP68" s="468"/>
      <c r="DKQ68" s="468"/>
      <c r="DKR68" s="468"/>
      <c r="DKS68" s="468"/>
      <c r="DKT68" s="468"/>
      <c r="DKU68" s="468"/>
      <c r="DKV68" s="468"/>
      <c r="DKW68" s="468"/>
      <c r="DKX68" s="468"/>
      <c r="DKY68" s="468"/>
      <c r="DKZ68" s="468"/>
      <c r="DLA68" s="468"/>
      <c r="DLB68" s="468"/>
      <c r="DLC68" s="468"/>
      <c r="DLD68" s="468"/>
      <c r="DLE68" s="468"/>
      <c r="DLF68" s="468"/>
      <c r="DLG68" s="468"/>
      <c r="DLH68" s="468"/>
      <c r="DLI68" s="468"/>
      <c r="DLJ68" s="468"/>
      <c r="DLK68" s="468"/>
      <c r="DLL68" s="468"/>
      <c r="DLM68" s="468"/>
      <c r="DLN68" s="469"/>
      <c r="DLO68" s="467"/>
      <c r="DLP68" s="468"/>
      <c r="DLQ68" s="468"/>
      <c r="DLR68" s="468"/>
      <c r="DLS68" s="468"/>
      <c r="DLT68" s="468"/>
      <c r="DLU68" s="468"/>
      <c r="DLV68" s="468"/>
      <c r="DLW68" s="468"/>
      <c r="DLX68" s="468"/>
      <c r="DLY68" s="468"/>
      <c r="DLZ68" s="468"/>
      <c r="DMA68" s="468"/>
      <c r="DMB68" s="468"/>
      <c r="DMC68" s="468"/>
      <c r="DMD68" s="468"/>
      <c r="DME68" s="468"/>
      <c r="DMF68" s="468"/>
      <c r="DMG68" s="468"/>
      <c r="DMH68" s="468"/>
      <c r="DMI68" s="468"/>
      <c r="DMJ68" s="468"/>
      <c r="DMK68" s="468"/>
      <c r="DML68" s="468"/>
      <c r="DMM68" s="468"/>
      <c r="DMN68" s="468"/>
      <c r="DMO68" s="468"/>
      <c r="DMP68" s="468"/>
      <c r="DMQ68" s="468"/>
      <c r="DMR68" s="469"/>
      <c r="DMS68" s="467"/>
      <c r="DMT68" s="468"/>
      <c r="DMU68" s="468"/>
      <c r="DMV68" s="468"/>
      <c r="DMW68" s="468"/>
      <c r="DMX68" s="468"/>
      <c r="DMY68" s="468"/>
      <c r="DMZ68" s="468"/>
      <c r="DNA68" s="468"/>
      <c r="DNB68" s="468"/>
      <c r="DNC68" s="468"/>
      <c r="DND68" s="468"/>
      <c r="DNE68" s="468"/>
      <c r="DNF68" s="468"/>
      <c r="DNG68" s="468"/>
      <c r="DNH68" s="468"/>
      <c r="DNI68" s="468"/>
      <c r="DNJ68" s="468"/>
      <c r="DNK68" s="468"/>
      <c r="DNL68" s="468"/>
      <c r="DNM68" s="468"/>
      <c r="DNN68" s="468"/>
      <c r="DNO68" s="468"/>
      <c r="DNP68" s="468"/>
      <c r="DNQ68" s="468"/>
      <c r="DNR68" s="468"/>
      <c r="DNS68" s="468"/>
      <c r="DNT68" s="468"/>
      <c r="DNU68" s="468"/>
      <c r="DNV68" s="469"/>
      <c r="DNW68" s="467"/>
      <c r="DNX68" s="468"/>
      <c r="DNY68" s="468"/>
      <c r="DNZ68" s="468"/>
      <c r="DOA68" s="468"/>
      <c r="DOB68" s="468"/>
      <c r="DOC68" s="468"/>
      <c r="DOD68" s="468"/>
      <c r="DOE68" s="468"/>
      <c r="DOF68" s="468"/>
      <c r="DOG68" s="468"/>
      <c r="DOH68" s="468"/>
      <c r="DOI68" s="468"/>
      <c r="DOJ68" s="468"/>
      <c r="DOK68" s="468"/>
      <c r="DOL68" s="468"/>
      <c r="DOM68" s="468"/>
      <c r="DON68" s="468"/>
      <c r="DOO68" s="468"/>
      <c r="DOP68" s="468"/>
      <c r="DOQ68" s="468"/>
      <c r="DOR68" s="468"/>
      <c r="DOS68" s="468"/>
      <c r="DOT68" s="468"/>
      <c r="DOU68" s="468"/>
      <c r="DOV68" s="468"/>
      <c r="DOW68" s="468"/>
      <c r="DOX68" s="468"/>
      <c r="DOY68" s="468"/>
      <c r="DOZ68" s="469"/>
      <c r="DPA68" s="467"/>
      <c r="DPB68" s="468"/>
      <c r="DPC68" s="468"/>
      <c r="DPD68" s="468"/>
      <c r="DPE68" s="468"/>
      <c r="DPF68" s="468"/>
      <c r="DPG68" s="468"/>
      <c r="DPH68" s="468"/>
      <c r="DPI68" s="468"/>
      <c r="DPJ68" s="468"/>
      <c r="DPK68" s="468"/>
      <c r="DPL68" s="468"/>
      <c r="DPM68" s="468"/>
      <c r="DPN68" s="468"/>
      <c r="DPO68" s="468"/>
      <c r="DPP68" s="468"/>
      <c r="DPQ68" s="468"/>
      <c r="DPR68" s="468"/>
      <c r="DPS68" s="468"/>
      <c r="DPT68" s="468"/>
      <c r="DPU68" s="468"/>
      <c r="DPV68" s="468"/>
      <c r="DPW68" s="468"/>
      <c r="DPX68" s="468"/>
      <c r="DPY68" s="468"/>
      <c r="DPZ68" s="468"/>
      <c r="DQA68" s="468"/>
      <c r="DQB68" s="468"/>
      <c r="DQC68" s="468"/>
      <c r="DQD68" s="469"/>
      <c r="DQE68" s="467"/>
      <c r="DQF68" s="468"/>
      <c r="DQG68" s="468"/>
      <c r="DQH68" s="468"/>
      <c r="DQI68" s="468"/>
      <c r="DQJ68" s="468"/>
      <c r="DQK68" s="468"/>
      <c r="DQL68" s="468"/>
      <c r="DQM68" s="468"/>
      <c r="DQN68" s="468"/>
      <c r="DQO68" s="468"/>
      <c r="DQP68" s="468"/>
      <c r="DQQ68" s="468"/>
      <c r="DQR68" s="468"/>
      <c r="DQS68" s="468"/>
      <c r="DQT68" s="468"/>
      <c r="DQU68" s="468"/>
      <c r="DQV68" s="468"/>
      <c r="DQW68" s="468"/>
      <c r="DQX68" s="468"/>
      <c r="DQY68" s="468"/>
      <c r="DQZ68" s="468"/>
      <c r="DRA68" s="468"/>
      <c r="DRB68" s="468"/>
      <c r="DRC68" s="468"/>
      <c r="DRD68" s="468"/>
      <c r="DRE68" s="468"/>
      <c r="DRF68" s="468"/>
      <c r="DRG68" s="468"/>
      <c r="DRH68" s="469"/>
      <c r="DRI68" s="467"/>
      <c r="DRJ68" s="468"/>
      <c r="DRK68" s="468"/>
      <c r="DRL68" s="468"/>
      <c r="DRM68" s="468"/>
      <c r="DRN68" s="468"/>
      <c r="DRO68" s="468"/>
      <c r="DRP68" s="468"/>
      <c r="DRQ68" s="468"/>
      <c r="DRR68" s="468"/>
      <c r="DRS68" s="468"/>
      <c r="DRT68" s="468"/>
      <c r="DRU68" s="468"/>
      <c r="DRV68" s="468"/>
      <c r="DRW68" s="468"/>
      <c r="DRX68" s="468"/>
      <c r="DRY68" s="468"/>
      <c r="DRZ68" s="468"/>
      <c r="DSA68" s="468"/>
      <c r="DSB68" s="468"/>
      <c r="DSC68" s="468"/>
      <c r="DSD68" s="468"/>
      <c r="DSE68" s="468"/>
      <c r="DSF68" s="468"/>
      <c r="DSG68" s="468"/>
      <c r="DSH68" s="468"/>
      <c r="DSI68" s="468"/>
      <c r="DSJ68" s="468"/>
      <c r="DSK68" s="468"/>
      <c r="DSL68" s="469"/>
      <c r="DSM68" s="467"/>
      <c r="DSN68" s="468"/>
      <c r="DSO68" s="468"/>
      <c r="DSP68" s="468"/>
      <c r="DSQ68" s="468"/>
      <c r="DSR68" s="468"/>
      <c r="DSS68" s="468"/>
      <c r="DST68" s="468"/>
      <c r="DSU68" s="468"/>
      <c r="DSV68" s="468"/>
      <c r="DSW68" s="468"/>
      <c r="DSX68" s="468"/>
      <c r="DSY68" s="468"/>
      <c r="DSZ68" s="468"/>
      <c r="DTA68" s="468"/>
      <c r="DTB68" s="468"/>
      <c r="DTC68" s="468"/>
      <c r="DTD68" s="468"/>
      <c r="DTE68" s="468"/>
      <c r="DTF68" s="468"/>
      <c r="DTG68" s="468"/>
      <c r="DTH68" s="468"/>
      <c r="DTI68" s="468"/>
      <c r="DTJ68" s="468"/>
      <c r="DTK68" s="468"/>
      <c r="DTL68" s="468"/>
      <c r="DTM68" s="468"/>
      <c r="DTN68" s="468"/>
      <c r="DTO68" s="468"/>
      <c r="DTP68" s="469"/>
      <c r="DTQ68" s="467"/>
      <c r="DTR68" s="468"/>
      <c r="DTS68" s="468"/>
      <c r="DTT68" s="468"/>
      <c r="DTU68" s="468"/>
      <c r="DTV68" s="468"/>
      <c r="DTW68" s="468"/>
      <c r="DTX68" s="468"/>
      <c r="DTY68" s="468"/>
      <c r="DTZ68" s="468"/>
      <c r="DUA68" s="468"/>
      <c r="DUB68" s="468"/>
      <c r="DUC68" s="468"/>
      <c r="DUD68" s="468"/>
      <c r="DUE68" s="468"/>
      <c r="DUF68" s="468"/>
      <c r="DUG68" s="468"/>
      <c r="DUH68" s="468"/>
      <c r="DUI68" s="468"/>
      <c r="DUJ68" s="468"/>
      <c r="DUK68" s="468"/>
      <c r="DUL68" s="468"/>
      <c r="DUM68" s="468"/>
      <c r="DUN68" s="468"/>
      <c r="DUO68" s="468"/>
      <c r="DUP68" s="468"/>
      <c r="DUQ68" s="468"/>
      <c r="DUR68" s="468"/>
      <c r="DUS68" s="468"/>
      <c r="DUT68" s="469"/>
      <c r="DUU68" s="467"/>
      <c r="DUV68" s="468"/>
      <c r="DUW68" s="468"/>
      <c r="DUX68" s="468"/>
      <c r="DUY68" s="468"/>
      <c r="DUZ68" s="468"/>
      <c r="DVA68" s="468"/>
      <c r="DVB68" s="468"/>
      <c r="DVC68" s="468"/>
      <c r="DVD68" s="468"/>
      <c r="DVE68" s="468"/>
      <c r="DVF68" s="468"/>
      <c r="DVG68" s="468"/>
      <c r="DVH68" s="468"/>
      <c r="DVI68" s="468"/>
      <c r="DVJ68" s="468"/>
      <c r="DVK68" s="468"/>
      <c r="DVL68" s="468"/>
      <c r="DVM68" s="468"/>
      <c r="DVN68" s="468"/>
      <c r="DVO68" s="468"/>
      <c r="DVP68" s="468"/>
      <c r="DVQ68" s="468"/>
      <c r="DVR68" s="468"/>
      <c r="DVS68" s="468"/>
      <c r="DVT68" s="468"/>
      <c r="DVU68" s="468"/>
      <c r="DVV68" s="468"/>
      <c r="DVW68" s="468"/>
      <c r="DVX68" s="469"/>
      <c r="DVY68" s="467"/>
      <c r="DVZ68" s="468"/>
      <c r="DWA68" s="468"/>
      <c r="DWB68" s="468"/>
      <c r="DWC68" s="468"/>
      <c r="DWD68" s="468"/>
      <c r="DWE68" s="468"/>
      <c r="DWF68" s="468"/>
      <c r="DWG68" s="468"/>
      <c r="DWH68" s="468"/>
      <c r="DWI68" s="468"/>
      <c r="DWJ68" s="468"/>
      <c r="DWK68" s="468"/>
      <c r="DWL68" s="468"/>
      <c r="DWM68" s="468"/>
      <c r="DWN68" s="468"/>
      <c r="DWO68" s="468"/>
      <c r="DWP68" s="468"/>
      <c r="DWQ68" s="468"/>
      <c r="DWR68" s="468"/>
      <c r="DWS68" s="468"/>
      <c r="DWT68" s="468"/>
      <c r="DWU68" s="468"/>
      <c r="DWV68" s="468"/>
      <c r="DWW68" s="468"/>
      <c r="DWX68" s="468"/>
      <c r="DWY68" s="468"/>
      <c r="DWZ68" s="468"/>
      <c r="DXA68" s="468"/>
      <c r="DXB68" s="469"/>
      <c r="DXC68" s="467"/>
      <c r="DXD68" s="468"/>
      <c r="DXE68" s="468"/>
      <c r="DXF68" s="468"/>
      <c r="DXG68" s="468"/>
      <c r="DXH68" s="468"/>
      <c r="DXI68" s="468"/>
      <c r="DXJ68" s="468"/>
      <c r="DXK68" s="468"/>
      <c r="DXL68" s="468"/>
      <c r="DXM68" s="468"/>
      <c r="DXN68" s="468"/>
      <c r="DXO68" s="468"/>
      <c r="DXP68" s="468"/>
      <c r="DXQ68" s="468"/>
      <c r="DXR68" s="468"/>
      <c r="DXS68" s="468"/>
      <c r="DXT68" s="468"/>
      <c r="DXU68" s="468"/>
      <c r="DXV68" s="468"/>
      <c r="DXW68" s="468"/>
      <c r="DXX68" s="468"/>
      <c r="DXY68" s="468"/>
      <c r="DXZ68" s="468"/>
      <c r="DYA68" s="468"/>
      <c r="DYB68" s="468"/>
      <c r="DYC68" s="468"/>
      <c r="DYD68" s="468"/>
      <c r="DYE68" s="468"/>
      <c r="DYF68" s="469"/>
      <c r="DYG68" s="467"/>
      <c r="DYH68" s="468"/>
      <c r="DYI68" s="468"/>
      <c r="DYJ68" s="468"/>
      <c r="DYK68" s="468"/>
      <c r="DYL68" s="468"/>
      <c r="DYM68" s="468"/>
      <c r="DYN68" s="468"/>
      <c r="DYO68" s="468"/>
      <c r="DYP68" s="468"/>
      <c r="DYQ68" s="468"/>
      <c r="DYR68" s="468"/>
      <c r="DYS68" s="468"/>
      <c r="DYT68" s="468"/>
      <c r="DYU68" s="468"/>
      <c r="DYV68" s="468"/>
      <c r="DYW68" s="468"/>
      <c r="DYX68" s="468"/>
      <c r="DYY68" s="468"/>
      <c r="DYZ68" s="468"/>
      <c r="DZA68" s="468"/>
      <c r="DZB68" s="468"/>
      <c r="DZC68" s="468"/>
      <c r="DZD68" s="468"/>
      <c r="DZE68" s="468"/>
      <c r="DZF68" s="468"/>
      <c r="DZG68" s="468"/>
      <c r="DZH68" s="468"/>
      <c r="DZI68" s="468"/>
      <c r="DZJ68" s="469"/>
      <c r="DZK68" s="467"/>
      <c r="DZL68" s="468"/>
      <c r="DZM68" s="468"/>
      <c r="DZN68" s="468"/>
      <c r="DZO68" s="468"/>
      <c r="DZP68" s="468"/>
      <c r="DZQ68" s="468"/>
      <c r="DZR68" s="468"/>
      <c r="DZS68" s="468"/>
      <c r="DZT68" s="468"/>
      <c r="DZU68" s="468"/>
      <c r="DZV68" s="468"/>
      <c r="DZW68" s="468"/>
      <c r="DZX68" s="468"/>
      <c r="DZY68" s="468"/>
      <c r="DZZ68" s="468"/>
      <c r="EAA68" s="468"/>
      <c r="EAB68" s="468"/>
      <c r="EAC68" s="468"/>
      <c r="EAD68" s="468"/>
      <c r="EAE68" s="468"/>
      <c r="EAF68" s="468"/>
      <c r="EAG68" s="468"/>
      <c r="EAH68" s="468"/>
      <c r="EAI68" s="468"/>
      <c r="EAJ68" s="468"/>
      <c r="EAK68" s="468"/>
      <c r="EAL68" s="468"/>
      <c r="EAM68" s="468"/>
      <c r="EAN68" s="469"/>
      <c r="EAO68" s="467"/>
      <c r="EAP68" s="468"/>
      <c r="EAQ68" s="468"/>
      <c r="EAR68" s="468"/>
      <c r="EAS68" s="468"/>
      <c r="EAT68" s="468"/>
      <c r="EAU68" s="468"/>
      <c r="EAV68" s="468"/>
      <c r="EAW68" s="468"/>
      <c r="EAX68" s="468"/>
      <c r="EAY68" s="468"/>
      <c r="EAZ68" s="468"/>
      <c r="EBA68" s="468"/>
      <c r="EBB68" s="468"/>
      <c r="EBC68" s="468"/>
      <c r="EBD68" s="468"/>
      <c r="EBE68" s="468"/>
      <c r="EBF68" s="468"/>
      <c r="EBG68" s="468"/>
      <c r="EBH68" s="468"/>
      <c r="EBI68" s="468"/>
      <c r="EBJ68" s="468"/>
      <c r="EBK68" s="468"/>
      <c r="EBL68" s="468"/>
      <c r="EBM68" s="468"/>
      <c r="EBN68" s="468"/>
      <c r="EBO68" s="468"/>
      <c r="EBP68" s="468"/>
      <c r="EBQ68" s="468"/>
      <c r="EBR68" s="469"/>
      <c r="EBS68" s="467"/>
      <c r="EBT68" s="468"/>
      <c r="EBU68" s="468"/>
      <c r="EBV68" s="468"/>
      <c r="EBW68" s="468"/>
      <c r="EBX68" s="468"/>
      <c r="EBY68" s="468"/>
      <c r="EBZ68" s="468"/>
      <c r="ECA68" s="468"/>
      <c r="ECB68" s="468"/>
      <c r="ECC68" s="468"/>
      <c r="ECD68" s="468"/>
      <c r="ECE68" s="468"/>
      <c r="ECF68" s="468"/>
      <c r="ECG68" s="468"/>
      <c r="ECH68" s="468"/>
      <c r="ECI68" s="468"/>
      <c r="ECJ68" s="468"/>
      <c r="ECK68" s="468"/>
      <c r="ECL68" s="468"/>
      <c r="ECM68" s="468"/>
      <c r="ECN68" s="468"/>
      <c r="ECO68" s="468"/>
      <c r="ECP68" s="468"/>
      <c r="ECQ68" s="468"/>
      <c r="ECR68" s="468"/>
      <c r="ECS68" s="468"/>
      <c r="ECT68" s="468"/>
      <c r="ECU68" s="468"/>
      <c r="ECV68" s="469"/>
      <c r="ECW68" s="467"/>
      <c r="ECX68" s="468"/>
      <c r="ECY68" s="468"/>
      <c r="ECZ68" s="468"/>
      <c r="EDA68" s="468"/>
      <c r="EDB68" s="468"/>
      <c r="EDC68" s="468"/>
      <c r="EDD68" s="468"/>
      <c r="EDE68" s="468"/>
      <c r="EDF68" s="468"/>
      <c r="EDG68" s="468"/>
      <c r="EDH68" s="468"/>
      <c r="EDI68" s="468"/>
      <c r="EDJ68" s="468"/>
      <c r="EDK68" s="468"/>
      <c r="EDL68" s="468"/>
      <c r="EDM68" s="468"/>
      <c r="EDN68" s="468"/>
      <c r="EDO68" s="468"/>
      <c r="EDP68" s="468"/>
      <c r="EDQ68" s="468"/>
      <c r="EDR68" s="468"/>
      <c r="EDS68" s="468"/>
      <c r="EDT68" s="468"/>
      <c r="EDU68" s="468"/>
      <c r="EDV68" s="468"/>
      <c r="EDW68" s="468"/>
      <c r="EDX68" s="468"/>
      <c r="EDY68" s="468"/>
      <c r="EDZ68" s="469"/>
      <c r="EEA68" s="467"/>
      <c r="EEB68" s="468"/>
      <c r="EEC68" s="468"/>
      <c r="EED68" s="468"/>
      <c r="EEE68" s="468"/>
      <c r="EEF68" s="468"/>
      <c r="EEG68" s="468"/>
      <c r="EEH68" s="468"/>
      <c r="EEI68" s="468"/>
      <c r="EEJ68" s="468"/>
      <c r="EEK68" s="468"/>
      <c r="EEL68" s="468"/>
      <c r="EEM68" s="468"/>
      <c r="EEN68" s="468"/>
      <c r="EEO68" s="468"/>
      <c r="EEP68" s="468"/>
      <c r="EEQ68" s="468"/>
      <c r="EER68" s="468"/>
      <c r="EES68" s="468"/>
      <c r="EET68" s="468"/>
      <c r="EEU68" s="468"/>
      <c r="EEV68" s="468"/>
      <c r="EEW68" s="468"/>
      <c r="EEX68" s="468"/>
      <c r="EEY68" s="468"/>
      <c r="EEZ68" s="468"/>
      <c r="EFA68" s="468"/>
      <c r="EFB68" s="468"/>
      <c r="EFC68" s="468"/>
      <c r="EFD68" s="469"/>
      <c r="EFE68" s="467"/>
      <c r="EFF68" s="468"/>
      <c r="EFG68" s="468"/>
      <c r="EFH68" s="468"/>
      <c r="EFI68" s="468"/>
      <c r="EFJ68" s="468"/>
      <c r="EFK68" s="468"/>
      <c r="EFL68" s="468"/>
      <c r="EFM68" s="468"/>
      <c r="EFN68" s="468"/>
      <c r="EFO68" s="468"/>
      <c r="EFP68" s="468"/>
      <c r="EFQ68" s="468"/>
      <c r="EFR68" s="468"/>
      <c r="EFS68" s="468"/>
      <c r="EFT68" s="468"/>
      <c r="EFU68" s="468"/>
      <c r="EFV68" s="468"/>
      <c r="EFW68" s="468"/>
      <c r="EFX68" s="468"/>
      <c r="EFY68" s="468"/>
      <c r="EFZ68" s="468"/>
      <c r="EGA68" s="468"/>
      <c r="EGB68" s="468"/>
      <c r="EGC68" s="468"/>
      <c r="EGD68" s="468"/>
      <c r="EGE68" s="468"/>
      <c r="EGF68" s="468"/>
      <c r="EGG68" s="468"/>
      <c r="EGH68" s="469"/>
      <c r="EGI68" s="467"/>
      <c r="EGJ68" s="468"/>
      <c r="EGK68" s="468"/>
      <c r="EGL68" s="468"/>
      <c r="EGM68" s="468"/>
      <c r="EGN68" s="468"/>
      <c r="EGO68" s="468"/>
      <c r="EGP68" s="468"/>
      <c r="EGQ68" s="468"/>
      <c r="EGR68" s="468"/>
      <c r="EGS68" s="468"/>
      <c r="EGT68" s="468"/>
      <c r="EGU68" s="468"/>
      <c r="EGV68" s="468"/>
      <c r="EGW68" s="468"/>
      <c r="EGX68" s="468"/>
      <c r="EGY68" s="468"/>
      <c r="EGZ68" s="468"/>
      <c r="EHA68" s="468"/>
      <c r="EHB68" s="468"/>
      <c r="EHC68" s="468"/>
      <c r="EHD68" s="468"/>
      <c r="EHE68" s="468"/>
      <c r="EHF68" s="468"/>
      <c r="EHG68" s="468"/>
      <c r="EHH68" s="468"/>
      <c r="EHI68" s="468"/>
      <c r="EHJ68" s="468"/>
      <c r="EHK68" s="468"/>
      <c r="EHL68" s="469"/>
      <c r="EHM68" s="467"/>
      <c r="EHN68" s="468"/>
      <c r="EHO68" s="468"/>
      <c r="EHP68" s="468"/>
      <c r="EHQ68" s="468"/>
      <c r="EHR68" s="468"/>
      <c r="EHS68" s="468"/>
      <c r="EHT68" s="468"/>
      <c r="EHU68" s="468"/>
      <c r="EHV68" s="468"/>
      <c r="EHW68" s="468"/>
      <c r="EHX68" s="468"/>
      <c r="EHY68" s="468"/>
      <c r="EHZ68" s="468"/>
      <c r="EIA68" s="468"/>
      <c r="EIB68" s="468"/>
      <c r="EIC68" s="468"/>
      <c r="EID68" s="468"/>
      <c r="EIE68" s="468"/>
      <c r="EIF68" s="468"/>
      <c r="EIG68" s="468"/>
      <c r="EIH68" s="468"/>
      <c r="EII68" s="468"/>
      <c r="EIJ68" s="468"/>
      <c r="EIK68" s="468"/>
      <c r="EIL68" s="468"/>
      <c r="EIM68" s="468"/>
      <c r="EIN68" s="468"/>
      <c r="EIO68" s="468"/>
      <c r="EIP68" s="469"/>
      <c r="EIQ68" s="467"/>
      <c r="EIR68" s="468"/>
      <c r="EIS68" s="468"/>
      <c r="EIT68" s="468"/>
      <c r="EIU68" s="468"/>
      <c r="EIV68" s="468"/>
      <c r="EIW68" s="468"/>
      <c r="EIX68" s="468"/>
      <c r="EIY68" s="468"/>
      <c r="EIZ68" s="468"/>
      <c r="EJA68" s="468"/>
      <c r="EJB68" s="468"/>
      <c r="EJC68" s="468"/>
      <c r="EJD68" s="468"/>
      <c r="EJE68" s="468"/>
      <c r="EJF68" s="468"/>
      <c r="EJG68" s="468"/>
      <c r="EJH68" s="468"/>
      <c r="EJI68" s="468"/>
      <c r="EJJ68" s="468"/>
      <c r="EJK68" s="468"/>
      <c r="EJL68" s="468"/>
      <c r="EJM68" s="468"/>
      <c r="EJN68" s="468"/>
      <c r="EJO68" s="468"/>
      <c r="EJP68" s="468"/>
      <c r="EJQ68" s="468"/>
      <c r="EJR68" s="468"/>
      <c r="EJS68" s="468"/>
      <c r="EJT68" s="469"/>
      <c r="EJU68" s="467"/>
      <c r="EJV68" s="468"/>
      <c r="EJW68" s="468"/>
      <c r="EJX68" s="468"/>
      <c r="EJY68" s="468"/>
      <c r="EJZ68" s="468"/>
      <c r="EKA68" s="468"/>
      <c r="EKB68" s="468"/>
      <c r="EKC68" s="468"/>
      <c r="EKD68" s="468"/>
      <c r="EKE68" s="468"/>
      <c r="EKF68" s="468"/>
      <c r="EKG68" s="468"/>
      <c r="EKH68" s="468"/>
      <c r="EKI68" s="468"/>
      <c r="EKJ68" s="468"/>
      <c r="EKK68" s="468"/>
      <c r="EKL68" s="468"/>
      <c r="EKM68" s="468"/>
      <c r="EKN68" s="468"/>
      <c r="EKO68" s="468"/>
      <c r="EKP68" s="468"/>
      <c r="EKQ68" s="468"/>
      <c r="EKR68" s="468"/>
      <c r="EKS68" s="468"/>
      <c r="EKT68" s="468"/>
      <c r="EKU68" s="468"/>
      <c r="EKV68" s="468"/>
      <c r="EKW68" s="468"/>
      <c r="EKX68" s="469"/>
      <c r="EKY68" s="467"/>
      <c r="EKZ68" s="468"/>
      <c r="ELA68" s="468"/>
      <c r="ELB68" s="468"/>
      <c r="ELC68" s="468"/>
      <c r="ELD68" s="468"/>
      <c r="ELE68" s="468"/>
      <c r="ELF68" s="468"/>
      <c r="ELG68" s="468"/>
      <c r="ELH68" s="468"/>
      <c r="ELI68" s="468"/>
      <c r="ELJ68" s="468"/>
      <c r="ELK68" s="468"/>
      <c r="ELL68" s="468"/>
      <c r="ELM68" s="468"/>
      <c r="ELN68" s="468"/>
      <c r="ELO68" s="468"/>
      <c r="ELP68" s="468"/>
      <c r="ELQ68" s="468"/>
      <c r="ELR68" s="468"/>
      <c r="ELS68" s="468"/>
      <c r="ELT68" s="468"/>
      <c r="ELU68" s="468"/>
      <c r="ELV68" s="468"/>
      <c r="ELW68" s="468"/>
      <c r="ELX68" s="468"/>
      <c r="ELY68" s="468"/>
      <c r="ELZ68" s="468"/>
      <c r="EMA68" s="468"/>
      <c r="EMB68" s="469"/>
      <c r="EMC68" s="467"/>
      <c r="EMD68" s="468"/>
      <c r="EME68" s="468"/>
      <c r="EMF68" s="468"/>
      <c r="EMG68" s="468"/>
      <c r="EMH68" s="468"/>
      <c r="EMI68" s="468"/>
      <c r="EMJ68" s="468"/>
      <c r="EMK68" s="468"/>
      <c r="EML68" s="468"/>
      <c r="EMM68" s="468"/>
      <c r="EMN68" s="468"/>
      <c r="EMO68" s="468"/>
      <c r="EMP68" s="468"/>
      <c r="EMQ68" s="468"/>
      <c r="EMR68" s="468"/>
      <c r="EMS68" s="468"/>
      <c r="EMT68" s="468"/>
      <c r="EMU68" s="468"/>
      <c r="EMV68" s="468"/>
      <c r="EMW68" s="468"/>
      <c r="EMX68" s="468"/>
      <c r="EMY68" s="468"/>
      <c r="EMZ68" s="468"/>
      <c r="ENA68" s="468"/>
      <c r="ENB68" s="468"/>
      <c r="ENC68" s="468"/>
      <c r="END68" s="468"/>
      <c r="ENE68" s="468"/>
      <c r="ENF68" s="469"/>
      <c r="ENG68" s="467"/>
      <c r="ENH68" s="468"/>
      <c r="ENI68" s="468"/>
      <c r="ENJ68" s="468"/>
      <c r="ENK68" s="468"/>
      <c r="ENL68" s="468"/>
      <c r="ENM68" s="468"/>
      <c r="ENN68" s="468"/>
      <c r="ENO68" s="468"/>
      <c r="ENP68" s="468"/>
      <c r="ENQ68" s="468"/>
      <c r="ENR68" s="468"/>
      <c r="ENS68" s="468"/>
      <c r="ENT68" s="468"/>
      <c r="ENU68" s="468"/>
      <c r="ENV68" s="468"/>
      <c r="ENW68" s="468"/>
      <c r="ENX68" s="468"/>
      <c r="ENY68" s="468"/>
      <c r="ENZ68" s="468"/>
      <c r="EOA68" s="468"/>
      <c r="EOB68" s="468"/>
      <c r="EOC68" s="468"/>
      <c r="EOD68" s="468"/>
      <c r="EOE68" s="468"/>
      <c r="EOF68" s="468"/>
      <c r="EOG68" s="468"/>
      <c r="EOH68" s="468"/>
      <c r="EOI68" s="468"/>
      <c r="EOJ68" s="469"/>
      <c r="EOK68" s="467"/>
      <c r="EOL68" s="468"/>
      <c r="EOM68" s="468"/>
      <c r="EON68" s="468"/>
      <c r="EOO68" s="468"/>
      <c r="EOP68" s="468"/>
      <c r="EOQ68" s="468"/>
      <c r="EOR68" s="468"/>
      <c r="EOS68" s="468"/>
      <c r="EOT68" s="468"/>
      <c r="EOU68" s="468"/>
      <c r="EOV68" s="468"/>
      <c r="EOW68" s="468"/>
      <c r="EOX68" s="468"/>
      <c r="EOY68" s="468"/>
      <c r="EOZ68" s="468"/>
      <c r="EPA68" s="468"/>
      <c r="EPB68" s="468"/>
      <c r="EPC68" s="468"/>
      <c r="EPD68" s="468"/>
      <c r="EPE68" s="468"/>
      <c r="EPF68" s="468"/>
      <c r="EPG68" s="468"/>
      <c r="EPH68" s="468"/>
      <c r="EPI68" s="468"/>
      <c r="EPJ68" s="468"/>
      <c r="EPK68" s="468"/>
      <c r="EPL68" s="468"/>
      <c r="EPM68" s="468"/>
      <c r="EPN68" s="469"/>
      <c r="EPO68" s="467"/>
      <c r="EPP68" s="468"/>
      <c r="EPQ68" s="468"/>
      <c r="EPR68" s="468"/>
      <c r="EPS68" s="468"/>
      <c r="EPT68" s="468"/>
      <c r="EPU68" s="468"/>
      <c r="EPV68" s="468"/>
      <c r="EPW68" s="468"/>
      <c r="EPX68" s="468"/>
      <c r="EPY68" s="468"/>
      <c r="EPZ68" s="468"/>
      <c r="EQA68" s="468"/>
      <c r="EQB68" s="468"/>
      <c r="EQC68" s="468"/>
      <c r="EQD68" s="468"/>
      <c r="EQE68" s="468"/>
      <c r="EQF68" s="468"/>
      <c r="EQG68" s="468"/>
      <c r="EQH68" s="468"/>
      <c r="EQI68" s="468"/>
      <c r="EQJ68" s="468"/>
      <c r="EQK68" s="468"/>
      <c r="EQL68" s="468"/>
      <c r="EQM68" s="468"/>
      <c r="EQN68" s="468"/>
      <c r="EQO68" s="468"/>
      <c r="EQP68" s="468"/>
      <c r="EQQ68" s="468"/>
      <c r="EQR68" s="469"/>
      <c r="EQS68" s="467"/>
      <c r="EQT68" s="468"/>
      <c r="EQU68" s="468"/>
      <c r="EQV68" s="468"/>
      <c r="EQW68" s="468"/>
      <c r="EQX68" s="468"/>
      <c r="EQY68" s="468"/>
      <c r="EQZ68" s="468"/>
      <c r="ERA68" s="468"/>
      <c r="ERB68" s="468"/>
      <c r="ERC68" s="468"/>
      <c r="ERD68" s="468"/>
      <c r="ERE68" s="468"/>
      <c r="ERF68" s="468"/>
      <c r="ERG68" s="468"/>
      <c r="ERH68" s="468"/>
      <c r="ERI68" s="468"/>
      <c r="ERJ68" s="468"/>
      <c r="ERK68" s="468"/>
      <c r="ERL68" s="468"/>
      <c r="ERM68" s="468"/>
      <c r="ERN68" s="468"/>
      <c r="ERO68" s="468"/>
      <c r="ERP68" s="468"/>
      <c r="ERQ68" s="468"/>
      <c r="ERR68" s="468"/>
      <c r="ERS68" s="468"/>
      <c r="ERT68" s="468"/>
      <c r="ERU68" s="468"/>
      <c r="ERV68" s="469"/>
      <c r="ERW68" s="467"/>
      <c r="ERX68" s="468"/>
      <c r="ERY68" s="468"/>
      <c r="ERZ68" s="468"/>
      <c r="ESA68" s="468"/>
      <c r="ESB68" s="468"/>
      <c r="ESC68" s="468"/>
      <c r="ESD68" s="468"/>
      <c r="ESE68" s="468"/>
      <c r="ESF68" s="468"/>
      <c r="ESG68" s="468"/>
      <c r="ESH68" s="468"/>
      <c r="ESI68" s="468"/>
      <c r="ESJ68" s="468"/>
      <c r="ESK68" s="468"/>
      <c r="ESL68" s="468"/>
      <c r="ESM68" s="468"/>
      <c r="ESN68" s="468"/>
      <c r="ESO68" s="468"/>
      <c r="ESP68" s="468"/>
      <c r="ESQ68" s="468"/>
      <c r="ESR68" s="468"/>
      <c r="ESS68" s="468"/>
      <c r="EST68" s="468"/>
      <c r="ESU68" s="468"/>
      <c r="ESV68" s="468"/>
      <c r="ESW68" s="468"/>
      <c r="ESX68" s="468"/>
      <c r="ESY68" s="468"/>
      <c r="ESZ68" s="469"/>
      <c r="ETA68" s="467"/>
      <c r="ETB68" s="468"/>
      <c r="ETC68" s="468"/>
      <c r="ETD68" s="468"/>
      <c r="ETE68" s="468"/>
      <c r="ETF68" s="468"/>
      <c r="ETG68" s="468"/>
      <c r="ETH68" s="468"/>
      <c r="ETI68" s="468"/>
      <c r="ETJ68" s="468"/>
      <c r="ETK68" s="468"/>
      <c r="ETL68" s="468"/>
      <c r="ETM68" s="468"/>
      <c r="ETN68" s="468"/>
      <c r="ETO68" s="468"/>
      <c r="ETP68" s="468"/>
      <c r="ETQ68" s="468"/>
      <c r="ETR68" s="468"/>
      <c r="ETS68" s="468"/>
      <c r="ETT68" s="468"/>
      <c r="ETU68" s="468"/>
      <c r="ETV68" s="468"/>
      <c r="ETW68" s="468"/>
      <c r="ETX68" s="468"/>
      <c r="ETY68" s="468"/>
      <c r="ETZ68" s="468"/>
      <c r="EUA68" s="468"/>
      <c r="EUB68" s="468"/>
      <c r="EUC68" s="468"/>
      <c r="EUD68" s="469"/>
      <c r="EUE68" s="467"/>
      <c r="EUF68" s="468"/>
      <c r="EUG68" s="468"/>
      <c r="EUH68" s="468"/>
      <c r="EUI68" s="468"/>
      <c r="EUJ68" s="468"/>
      <c r="EUK68" s="468"/>
      <c r="EUL68" s="468"/>
      <c r="EUM68" s="468"/>
      <c r="EUN68" s="468"/>
      <c r="EUO68" s="468"/>
      <c r="EUP68" s="468"/>
      <c r="EUQ68" s="468"/>
      <c r="EUR68" s="468"/>
      <c r="EUS68" s="468"/>
      <c r="EUT68" s="468"/>
      <c r="EUU68" s="468"/>
      <c r="EUV68" s="468"/>
      <c r="EUW68" s="468"/>
      <c r="EUX68" s="468"/>
      <c r="EUY68" s="468"/>
      <c r="EUZ68" s="468"/>
      <c r="EVA68" s="468"/>
      <c r="EVB68" s="468"/>
      <c r="EVC68" s="468"/>
      <c r="EVD68" s="468"/>
      <c r="EVE68" s="468"/>
      <c r="EVF68" s="468"/>
      <c r="EVG68" s="468"/>
      <c r="EVH68" s="469"/>
      <c r="EVI68" s="467"/>
      <c r="EVJ68" s="468"/>
      <c r="EVK68" s="468"/>
      <c r="EVL68" s="468"/>
      <c r="EVM68" s="468"/>
      <c r="EVN68" s="468"/>
      <c r="EVO68" s="468"/>
      <c r="EVP68" s="468"/>
      <c r="EVQ68" s="468"/>
      <c r="EVR68" s="468"/>
      <c r="EVS68" s="468"/>
      <c r="EVT68" s="468"/>
      <c r="EVU68" s="468"/>
      <c r="EVV68" s="468"/>
      <c r="EVW68" s="468"/>
      <c r="EVX68" s="468"/>
      <c r="EVY68" s="468"/>
      <c r="EVZ68" s="468"/>
      <c r="EWA68" s="468"/>
      <c r="EWB68" s="468"/>
      <c r="EWC68" s="468"/>
      <c r="EWD68" s="468"/>
      <c r="EWE68" s="468"/>
      <c r="EWF68" s="468"/>
      <c r="EWG68" s="468"/>
      <c r="EWH68" s="468"/>
      <c r="EWI68" s="468"/>
      <c r="EWJ68" s="468"/>
      <c r="EWK68" s="468"/>
      <c r="EWL68" s="469"/>
      <c r="EWM68" s="467"/>
      <c r="EWN68" s="468"/>
      <c r="EWO68" s="468"/>
      <c r="EWP68" s="468"/>
      <c r="EWQ68" s="468"/>
      <c r="EWR68" s="468"/>
      <c r="EWS68" s="468"/>
      <c r="EWT68" s="468"/>
      <c r="EWU68" s="468"/>
      <c r="EWV68" s="468"/>
      <c r="EWW68" s="468"/>
      <c r="EWX68" s="468"/>
      <c r="EWY68" s="468"/>
      <c r="EWZ68" s="468"/>
      <c r="EXA68" s="468"/>
      <c r="EXB68" s="468"/>
      <c r="EXC68" s="468"/>
      <c r="EXD68" s="468"/>
      <c r="EXE68" s="468"/>
      <c r="EXF68" s="468"/>
      <c r="EXG68" s="468"/>
      <c r="EXH68" s="468"/>
      <c r="EXI68" s="468"/>
      <c r="EXJ68" s="468"/>
      <c r="EXK68" s="468"/>
      <c r="EXL68" s="468"/>
      <c r="EXM68" s="468"/>
      <c r="EXN68" s="468"/>
      <c r="EXO68" s="468"/>
      <c r="EXP68" s="469"/>
      <c r="EXQ68" s="467"/>
      <c r="EXR68" s="468"/>
      <c r="EXS68" s="468"/>
      <c r="EXT68" s="468"/>
      <c r="EXU68" s="468"/>
      <c r="EXV68" s="468"/>
      <c r="EXW68" s="468"/>
      <c r="EXX68" s="468"/>
      <c r="EXY68" s="468"/>
      <c r="EXZ68" s="468"/>
      <c r="EYA68" s="468"/>
      <c r="EYB68" s="468"/>
      <c r="EYC68" s="468"/>
      <c r="EYD68" s="468"/>
      <c r="EYE68" s="468"/>
      <c r="EYF68" s="468"/>
      <c r="EYG68" s="468"/>
      <c r="EYH68" s="468"/>
      <c r="EYI68" s="468"/>
      <c r="EYJ68" s="468"/>
      <c r="EYK68" s="468"/>
      <c r="EYL68" s="468"/>
      <c r="EYM68" s="468"/>
      <c r="EYN68" s="468"/>
      <c r="EYO68" s="468"/>
      <c r="EYP68" s="468"/>
      <c r="EYQ68" s="468"/>
      <c r="EYR68" s="468"/>
      <c r="EYS68" s="468"/>
      <c r="EYT68" s="469"/>
      <c r="EYU68" s="467"/>
      <c r="EYV68" s="468"/>
      <c r="EYW68" s="468"/>
      <c r="EYX68" s="468"/>
      <c r="EYY68" s="468"/>
      <c r="EYZ68" s="468"/>
      <c r="EZA68" s="468"/>
      <c r="EZB68" s="468"/>
      <c r="EZC68" s="468"/>
      <c r="EZD68" s="468"/>
      <c r="EZE68" s="468"/>
      <c r="EZF68" s="468"/>
      <c r="EZG68" s="468"/>
      <c r="EZH68" s="468"/>
      <c r="EZI68" s="468"/>
      <c r="EZJ68" s="468"/>
      <c r="EZK68" s="468"/>
      <c r="EZL68" s="468"/>
      <c r="EZM68" s="468"/>
      <c r="EZN68" s="468"/>
      <c r="EZO68" s="468"/>
      <c r="EZP68" s="468"/>
      <c r="EZQ68" s="468"/>
      <c r="EZR68" s="468"/>
      <c r="EZS68" s="468"/>
      <c r="EZT68" s="468"/>
      <c r="EZU68" s="468"/>
      <c r="EZV68" s="468"/>
      <c r="EZW68" s="468"/>
      <c r="EZX68" s="469"/>
      <c r="EZY68" s="467"/>
      <c r="EZZ68" s="468"/>
      <c r="FAA68" s="468"/>
      <c r="FAB68" s="468"/>
      <c r="FAC68" s="468"/>
      <c r="FAD68" s="468"/>
      <c r="FAE68" s="468"/>
      <c r="FAF68" s="468"/>
      <c r="FAG68" s="468"/>
      <c r="FAH68" s="468"/>
      <c r="FAI68" s="468"/>
      <c r="FAJ68" s="468"/>
      <c r="FAK68" s="468"/>
      <c r="FAL68" s="468"/>
      <c r="FAM68" s="468"/>
      <c r="FAN68" s="468"/>
      <c r="FAO68" s="468"/>
      <c r="FAP68" s="468"/>
      <c r="FAQ68" s="468"/>
      <c r="FAR68" s="468"/>
      <c r="FAS68" s="468"/>
      <c r="FAT68" s="468"/>
      <c r="FAU68" s="468"/>
      <c r="FAV68" s="468"/>
      <c r="FAW68" s="468"/>
      <c r="FAX68" s="468"/>
      <c r="FAY68" s="468"/>
      <c r="FAZ68" s="468"/>
      <c r="FBA68" s="468"/>
      <c r="FBB68" s="469"/>
      <c r="FBC68" s="467"/>
      <c r="FBD68" s="468"/>
      <c r="FBE68" s="468"/>
      <c r="FBF68" s="468"/>
      <c r="FBG68" s="468"/>
      <c r="FBH68" s="468"/>
      <c r="FBI68" s="468"/>
      <c r="FBJ68" s="468"/>
      <c r="FBK68" s="468"/>
      <c r="FBL68" s="468"/>
      <c r="FBM68" s="468"/>
      <c r="FBN68" s="468"/>
      <c r="FBO68" s="468"/>
      <c r="FBP68" s="468"/>
      <c r="FBQ68" s="468"/>
      <c r="FBR68" s="468"/>
      <c r="FBS68" s="468"/>
      <c r="FBT68" s="468"/>
      <c r="FBU68" s="468"/>
      <c r="FBV68" s="468"/>
      <c r="FBW68" s="468"/>
      <c r="FBX68" s="468"/>
      <c r="FBY68" s="468"/>
      <c r="FBZ68" s="468"/>
      <c r="FCA68" s="468"/>
      <c r="FCB68" s="468"/>
      <c r="FCC68" s="468"/>
      <c r="FCD68" s="468"/>
      <c r="FCE68" s="468"/>
      <c r="FCF68" s="469"/>
      <c r="FCG68" s="467"/>
      <c r="FCH68" s="468"/>
      <c r="FCI68" s="468"/>
      <c r="FCJ68" s="468"/>
      <c r="FCK68" s="468"/>
      <c r="FCL68" s="468"/>
      <c r="FCM68" s="468"/>
      <c r="FCN68" s="468"/>
      <c r="FCO68" s="468"/>
      <c r="FCP68" s="468"/>
      <c r="FCQ68" s="468"/>
      <c r="FCR68" s="468"/>
      <c r="FCS68" s="468"/>
      <c r="FCT68" s="468"/>
      <c r="FCU68" s="468"/>
      <c r="FCV68" s="468"/>
      <c r="FCW68" s="468"/>
      <c r="FCX68" s="468"/>
      <c r="FCY68" s="468"/>
      <c r="FCZ68" s="468"/>
      <c r="FDA68" s="468"/>
      <c r="FDB68" s="468"/>
      <c r="FDC68" s="468"/>
      <c r="FDD68" s="468"/>
      <c r="FDE68" s="468"/>
      <c r="FDF68" s="468"/>
      <c r="FDG68" s="468"/>
      <c r="FDH68" s="468"/>
      <c r="FDI68" s="468"/>
      <c r="FDJ68" s="469"/>
      <c r="FDK68" s="467"/>
      <c r="FDL68" s="468"/>
      <c r="FDM68" s="468"/>
      <c r="FDN68" s="468"/>
      <c r="FDO68" s="468"/>
      <c r="FDP68" s="468"/>
      <c r="FDQ68" s="468"/>
      <c r="FDR68" s="468"/>
      <c r="FDS68" s="468"/>
      <c r="FDT68" s="468"/>
      <c r="FDU68" s="468"/>
      <c r="FDV68" s="468"/>
      <c r="FDW68" s="468"/>
      <c r="FDX68" s="468"/>
      <c r="FDY68" s="468"/>
      <c r="FDZ68" s="468"/>
      <c r="FEA68" s="468"/>
      <c r="FEB68" s="468"/>
      <c r="FEC68" s="468"/>
      <c r="FED68" s="468"/>
      <c r="FEE68" s="468"/>
      <c r="FEF68" s="468"/>
      <c r="FEG68" s="468"/>
      <c r="FEH68" s="468"/>
      <c r="FEI68" s="468"/>
      <c r="FEJ68" s="468"/>
      <c r="FEK68" s="468"/>
      <c r="FEL68" s="468"/>
      <c r="FEM68" s="468"/>
      <c r="FEN68" s="469"/>
      <c r="FEO68" s="467"/>
      <c r="FEP68" s="468"/>
      <c r="FEQ68" s="468"/>
      <c r="FER68" s="468"/>
      <c r="FES68" s="468"/>
      <c r="FET68" s="468"/>
      <c r="FEU68" s="468"/>
      <c r="FEV68" s="468"/>
      <c r="FEW68" s="468"/>
      <c r="FEX68" s="468"/>
      <c r="FEY68" s="468"/>
      <c r="FEZ68" s="468"/>
      <c r="FFA68" s="468"/>
      <c r="FFB68" s="468"/>
      <c r="FFC68" s="468"/>
      <c r="FFD68" s="468"/>
      <c r="FFE68" s="468"/>
      <c r="FFF68" s="468"/>
      <c r="FFG68" s="468"/>
      <c r="FFH68" s="468"/>
      <c r="FFI68" s="468"/>
      <c r="FFJ68" s="468"/>
      <c r="FFK68" s="468"/>
      <c r="FFL68" s="468"/>
      <c r="FFM68" s="468"/>
      <c r="FFN68" s="468"/>
      <c r="FFO68" s="468"/>
      <c r="FFP68" s="468"/>
      <c r="FFQ68" s="468"/>
      <c r="FFR68" s="469"/>
      <c r="FFS68" s="467"/>
      <c r="FFT68" s="468"/>
      <c r="FFU68" s="468"/>
      <c r="FFV68" s="468"/>
      <c r="FFW68" s="468"/>
      <c r="FFX68" s="468"/>
      <c r="FFY68" s="468"/>
      <c r="FFZ68" s="468"/>
      <c r="FGA68" s="468"/>
      <c r="FGB68" s="468"/>
      <c r="FGC68" s="468"/>
      <c r="FGD68" s="468"/>
      <c r="FGE68" s="468"/>
      <c r="FGF68" s="468"/>
      <c r="FGG68" s="468"/>
      <c r="FGH68" s="468"/>
      <c r="FGI68" s="468"/>
      <c r="FGJ68" s="468"/>
      <c r="FGK68" s="468"/>
      <c r="FGL68" s="468"/>
      <c r="FGM68" s="468"/>
      <c r="FGN68" s="468"/>
      <c r="FGO68" s="468"/>
      <c r="FGP68" s="468"/>
      <c r="FGQ68" s="468"/>
      <c r="FGR68" s="468"/>
      <c r="FGS68" s="468"/>
      <c r="FGT68" s="468"/>
      <c r="FGU68" s="468"/>
      <c r="FGV68" s="469"/>
      <c r="FGW68" s="467"/>
      <c r="FGX68" s="468"/>
      <c r="FGY68" s="468"/>
      <c r="FGZ68" s="468"/>
      <c r="FHA68" s="468"/>
      <c r="FHB68" s="468"/>
      <c r="FHC68" s="468"/>
      <c r="FHD68" s="468"/>
      <c r="FHE68" s="468"/>
      <c r="FHF68" s="468"/>
      <c r="FHG68" s="468"/>
      <c r="FHH68" s="468"/>
      <c r="FHI68" s="468"/>
      <c r="FHJ68" s="468"/>
      <c r="FHK68" s="468"/>
      <c r="FHL68" s="468"/>
      <c r="FHM68" s="468"/>
      <c r="FHN68" s="468"/>
      <c r="FHO68" s="468"/>
      <c r="FHP68" s="468"/>
      <c r="FHQ68" s="468"/>
      <c r="FHR68" s="468"/>
      <c r="FHS68" s="468"/>
      <c r="FHT68" s="468"/>
      <c r="FHU68" s="468"/>
      <c r="FHV68" s="468"/>
      <c r="FHW68" s="468"/>
      <c r="FHX68" s="468"/>
      <c r="FHY68" s="468"/>
      <c r="FHZ68" s="469"/>
      <c r="FIA68" s="467"/>
      <c r="FIB68" s="468"/>
      <c r="FIC68" s="468"/>
      <c r="FID68" s="468"/>
      <c r="FIE68" s="468"/>
      <c r="FIF68" s="468"/>
      <c r="FIG68" s="468"/>
      <c r="FIH68" s="468"/>
      <c r="FII68" s="468"/>
      <c r="FIJ68" s="468"/>
      <c r="FIK68" s="468"/>
      <c r="FIL68" s="468"/>
      <c r="FIM68" s="468"/>
      <c r="FIN68" s="468"/>
      <c r="FIO68" s="468"/>
      <c r="FIP68" s="468"/>
      <c r="FIQ68" s="468"/>
      <c r="FIR68" s="468"/>
      <c r="FIS68" s="468"/>
      <c r="FIT68" s="468"/>
      <c r="FIU68" s="468"/>
      <c r="FIV68" s="468"/>
      <c r="FIW68" s="468"/>
      <c r="FIX68" s="468"/>
      <c r="FIY68" s="468"/>
      <c r="FIZ68" s="468"/>
      <c r="FJA68" s="468"/>
      <c r="FJB68" s="468"/>
      <c r="FJC68" s="468"/>
      <c r="FJD68" s="469"/>
      <c r="FJE68" s="467"/>
      <c r="FJF68" s="468"/>
      <c r="FJG68" s="468"/>
      <c r="FJH68" s="468"/>
      <c r="FJI68" s="468"/>
      <c r="FJJ68" s="468"/>
      <c r="FJK68" s="468"/>
      <c r="FJL68" s="468"/>
      <c r="FJM68" s="468"/>
      <c r="FJN68" s="468"/>
      <c r="FJO68" s="468"/>
      <c r="FJP68" s="468"/>
      <c r="FJQ68" s="468"/>
      <c r="FJR68" s="468"/>
      <c r="FJS68" s="468"/>
      <c r="FJT68" s="468"/>
      <c r="FJU68" s="468"/>
      <c r="FJV68" s="468"/>
      <c r="FJW68" s="468"/>
      <c r="FJX68" s="468"/>
      <c r="FJY68" s="468"/>
      <c r="FJZ68" s="468"/>
      <c r="FKA68" s="468"/>
      <c r="FKB68" s="468"/>
      <c r="FKC68" s="468"/>
      <c r="FKD68" s="468"/>
      <c r="FKE68" s="468"/>
      <c r="FKF68" s="468"/>
      <c r="FKG68" s="468"/>
      <c r="FKH68" s="469"/>
      <c r="FKI68" s="467"/>
      <c r="FKJ68" s="468"/>
      <c r="FKK68" s="468"/>
      <c r="FKL68" s="468"/>
      <c r="FKM68" s="468"/>
      <c r="FKN68" s="468"/>
      <c r="FKO68" s="468"/>
      <c r="FKP68" s="468"/>
      <c r="FKQ68" s="468"/>
      <c r="FKR68" s="468"/>
      <c r="FKS68" s="468"/>
      <c r="FKT68" s="468"/>
      <c r="FKU68" s="468"/>
      <c r="FKV68" s="468"/>
      <c r="FKW68" s="468"/>
      <c r="FKX68" s="468"/>
      <c r="FKY68" s="468"/>
      <c r="FKZ68" s="468"/>
      <c r="FLA68" s="468"/>
      <c r="FLB68" s="468"/>
      <c r="FLC68" s="468"/>
      <c r="FLD68" s="468"/>
      <c r="FLE68" s="468"/>
      <c r="FLF68" s="468"/>
      <c r="FLG68" s="468"/>
      <c r="FLH68" s="468"/>
      <c r="FLI68" s="468"/>
      <c r="FLJ68" s="468"/>
      <c r="FLK68" s="468"/>
      <c r="FLL68" s="469"/>
      <c r="FLM68" s="467"/>
      <c r="FLN68" s="468"/>
      <c r="FLO68" s="468"/>
      <c r="FLP68" s="468"/>
      <c r="FLQ68" s="468"/>
      <c r="FLR68" s="468"/>
      <c r="FLS68" s="468"/>
      <c r="FLT68" s="468"/>
      <c r="FLU68" s="468"/>
      <c r="FLV68" s="468"/>
      <c r="FLW68" s="468"/>
      <c r="FLX68" s="468"/>
      <c r="FLY68" s="468"/>
      <c r="FLZ68" s="468"/>
      <c r="FMA68" s="468"/>
      <c r="FMB68" s="468"/>
      <c r="FMC68" s="468"/>
      <c r="FMD68" s="468"/>
      <c r="FME68" s="468"/>
      <c r="FMF68" s="468"/>
      <c r="FMG68" s="468"/>
      <c r="FMH68" s="468"/>
      <c r="FMI68" s="468"/>
      <c r="FMJ68" s="468"/>
      <c r="FMK68" s="468"/>
      <c r="FML68" s="468"/>
      <c r="FMM68" s="468"/>
      <c r="FMN68" s="468"/>
      <c r="FMO68" s="468"/>
      <c r="FMP68" s="469"/>
      <c r="FMQ68" s="467"/>
      <c r="FMR68" s="468"/>
      <c r="FMS68" s="468"/>
      <c r="FMT68" s="468"/>
      <c r="FMU68" s="468"/>
      <c r="FMV68" s="468"/>
      <c r="FMW68" s="468"/>
      <c r="FMX68" s="468"/>
      <c r="FMY68" s="468"/>
      <c r="FMZ68" s="468"/>
      <c r="FNA68" s="468"/>
      <c r="FNB68" s="468"/>
      <c r="FNC68" s="468"/>
      <c r="FND68" s="468"/>
      <c r="FNE68" s="468"/>
      <c r="FNF68" s="468"/>
      <c r="FNG68" s="468"/>
      <c r="FNH68" s="468"/>
      <c r="FNI68" s="468"/>
      <c r="FNJ68" s="468"/>
      <c r="FNK68" s="468"/>
      <c r="FNL68" s="468"/>
      <c r="FNM68" s="468"/>
      <c r="FNN68" s="468"/>
      <c r="FNO68" s="468"/>
      <c r="FNP68" s="468"/>
      <c r="FNQ68" s="468"/>
      <c r="FNR68" s="468"/>
      <c r="FNS68" s="468"/>
      <c r="FNT68" s="469"/>
      <c r="FNU68" s="467"/>
      <c r="FNV68" s="468"/>
      <c r="FNW68" s="468"/>
      <c r="FNX68" s="468"/>
      <c r="FNY68" s="468"/>
      <c r="FNZ68" s="468"/>
      <c r="FOA68" s="468"/>
      <c r="FOB68" s="468"/>
      <c r="FOC68" s="468"/>
      <c r="FOD68" s="468"/>
      <c r="FOE68" s="468"/>
      <c r="FOF68" s="468"/>
      <c r="FOG68" s="468"/>
      <c r="FOH68" s="468"/>
      <c r="FOI68" s="468"/>
      <c r="FOJ68" s="468"/>
      <c r="FOK68" s="468"/>
      <c r="FOL68" s="468"/>
      <c r="FOM68" s="468"/>
      <c r="FON68" s="468"/>
      <c r="FOO68" s="468"/>
      <c r="FOP68" s="468"/>
      <c r="FOQ68" s="468"/>
      <c r="FOR68" s="468"/>
      <c r="FOS68" s="468"/>
      <c r="FOT68" s="468"/>
      <c r="FOU68" s="468"/>
      <c r="FOV68" s="468"/>
      <c r="FOW68" s="468"/>
      <c r="FOX68" s="469"/>
      <c r="FOY68" s="467"/>
      <c r="FOZ68" s="468"/>
      <c r="FPA68" s="468"/>
      <c r="FPB68" s="468"/>
      <c r="FPC68" s="468"/>
      <c r="FPD68" s="468"/>
      <c r="FPE68" s="468"/>
      <c r="FPF68" s="468"/>
      <c r="FPG68" s="468"/>
      <c r="FPH68" s="468"/>
      <c r="FPI68" s="468"/>
      <c r="FPJ68" s="468"/>
      <c r="FPK68" s="468"/>
      <c r="FPL68" s="468"/>
      <c r="FPM68" s="468"/>
      <c r="FPN68" s="468"/>
      <c r="FPO68" s="468"/>
      <c r="FPP68" s="468"/>
      <c r="FPQ68" s="468"/>
      <c r="FPR68" s="468"/>
      <c r="FPS68" s="468"/>
      <c r="FPT68" s="468"/>
      <c r="FPU68" s="468"/>
      <c r="FPV68" s="468"/>
      <c r="FPW68" s="468"/>
      <c r="FPX68" s="468"/>
      <c r="FPY68" s="468"/>
      <c r="FPZ68" s="468"/>
      <c r="FQA68" s="468"/>
      <c r="FQB68" s="469"/>
      <c r="FQC68" s="467"/>
      <c r="FQD68" s="468"/>
      <c r="FQE68" s="468"/>
      <c r="FQF68" s="468"/>
      <c r="FQG68" s="468"/>
      <c r="FQH68" s="468"/>
      <c r="FQI68" s="468"/>
      <c r="FQJ68" s="468"/>
      <c r="FQK68" s="468"/>
      <c r="FQL68" s="468"/>
      <c r="FQM68" s="468"/>
      <c r="FQN68" s="468"/>
      <c r="FQO68" s="468"/>
      <c r="FQP68" s="468"/>
      <c r="FQQ68" s="468"/>
      <c r="FQR68" s="468"/>
      <c r="FQS68" s="468"/>
      <c r="FQT68" s="468"/>
      <c r="FQU68" s="468"/>
      <c r="FQV68" s="468"/>
      <c r="FQW68" s="468"/>
      <c r="FQX68" s="468"/>
      <c r="FQY68" s="468"/>
      <c r="FQZ68" s="468"/>
      <c r="FRA68" s="468"/>
      <c r="FRB68" s="468"/>
      <c r="FRC68" s="468"/>
      <c r="FRD68" s="468"/>
      <c r="FRE68" s="468"/>
      <c r="FRF68" s="469"/>
      <c r="FRG68" s="467"/>
      <c r="FRH68" s="468"/>
      <c r="FRI68" s="468"/>
      <c r="FRJ68" s="468"/>
      <c r="FRK68" s="468"/>
      <c r="FRL68" s="468"/>
      <c r="FRM68" s="468"/>
      <c r="FRN68" s="468"/>
      <c r="FRO68" s="468"/>
      <c r="FRP68" s="468"/>
      <c r="FRQ68" s="468"/>
      <c r="FRR68" s="468"/>
      <c r="FRS68" s="468"/>
      <c r="FRT68" s="468"/>
      <c r="FRU68" s="468"/>
      <c r="FRV68" s="468"/>
      <c r="FRW68" s="468"/>
      <c r="FRX68" s="468"/>
      <c r="FRY68" s="468"/>
      <c r="FRZ68" s="468"/>
      <c r="FSA68" s="468"/>
      <c r="FSB68" s="468"/>
      <c r="FSC68" s="468"/>
      <c r="FSD68" s="468"/>
      <c r="FSE68" s="468"/>
      <c r="FSF68" s="468"/>
      <c r="FSG68" s="468"/>
      <c r="FSH68" s="468"/>
      <c r="FSI68" s="468"/>
      <c r="FSJ68" s="469"/>
      <c r="FSK68" s="467"/>
      <c r="FSL68" s="468"/>
      <c r="FSM68" s="468"/>
      <c r="FSN68" s="468"/>
      <c r="FSO68" s="468"/>
      <c r="FSP68" s="468"/>
      <c r="FSQ68" s="468"/>
      <c r="FSR68" s="468"/>
      <c r="FSS68" s="468"/>
      <c r="FST68" s="468"/>
      <c r="FSU68" s="468"/>
      <c r="FSV68" s="468"/>
      <c r="FSW68" s="468"/>
      <c r="FSX68" s="468"/>
      <c r="FSY68" s="468"/>
      <c r="FSZ68" s="468"/>
      <c r="FTA68" s="468"/>
      <c r="FTB68" s="468"/>
      <c r="FTC68" s="468"/>
      <c r="FTD68" s="468"/>
      <c r="FTE68" s="468"/>
      <c r="FTF68" s="468"/>
      <c r="FTG68" s="468"/>
      <c r="FTH68" s="468"/>
      <c r="FTI68" s="468"/>
      <c r="FTJ68" s="468"/>
      <c r="FTK68" s="468"/>
      <c r="FTL68" s="468"/>
      <c r="FTM68" s="468"/>
      <c r="FTN68" s="469"/>
      <c r="FTO68" s="467"/>
      <c r="FTP68" s="468"/>
      <c r="FTQ68" s="468"/>
      <c r="FTR68" s="468"/>
      <c r="FTS68" s="468"/>
      <c r="FTT68" s="468"/>
      <c r="FTU68" s="468"/>
      <c r="FTV68" s="468"/>
      <c r="FTW68" s="468"/>
      <c r="FTX68" s="468"/>
      <c r="FTY68" s="468"/>
      <c r="FTZ68" s="468"/>
      <c r="FUA68" s="468"/>
      <c r="FUB68" s="468"/>
      <c r="FUC68" s="468"/>
      <c r="FUD68" s="468"/>
      <c r="FUE68" s="468"/>
      <c r="FUF68" s="468"/>
      <c r="FUG68" s="468"/>
      <c r="FUH68" s="468"/>
      <c r="FUI68" s="468"/>
      <c r="FUJ68" s="468"/>
      <c r="FUK68" s="468"/>
      <c r="FUL68" s="468"/>
      <c r="FUM68" s="468"/>
      <c r="FUN68" s="468"/>
      <c r="FUO68" s="468"/>
      <c r="FUP68" s="468"/>
      <c r="FUQ68" s="468"/>
      <c r="FUR68" s="469"/>
      <c r="FUS68" s="467"/>
      <c r="FUT68" s="468"/>
      <c r="FUU68" s="468"/>
      <c r="FUV68" s="468"/>
      <c r="FUW68" s="468"/>
      <c r="FUX68" s="468"/>
      <c r="FUY68" s="468"/>
      <c r="FUZ68" s="468"/>
      <c r="FVA68" s="468"/>
      <c r="FVB68" s="468"/>
      <c r="FVC68" s="468"/>
      <c r="FVD68" s="468"/>
      <c r="FVE68" s="468"/>
      <c r="FVF68" s="468"/>
      <c r="FVG68" s="468"/>
      <c r="FVH68" s="468"/>
      <c r="FVI68" s="468"/>
      <c r="FVJ68" s="468"/>
      <c r="FVK68" s="468"/>
      <c r="FVL68" s="468"/>
      <c r="FVM68" s="468"/>
      <c r="FVN68" s="468"/>
      <c r="FVO68" s="468"/>
      <c r="FVP68" s="468"/>
      <c r="FVQ68" s="468"/>
      <c r="FVR68" s="468"/>
      <c r="FVS68" s="468"/>
      <c r="FVT68" s="468"/>
      <c r="FVU68" s="468"/>
      <c r="FVV68" s="469"/>
      <c r="FVW68" s="467"/>
      <c r="FVX68" s="468"/>
      <c r="FVY68" s="468"/>
      <c r="FVZ68" s="468"/>
      <c r="FWA68" s="468"/>
      <c r="FWB68" s="468"/>
      <c r="FWC68" s="468"/>
      <c r="FWD68" s="468"/>
      <c r="FWE68" s="468"/>
      <c r="FWF68" s="468"/>
      <c r="FWG68" s="468"/>
      <c r="FWH68" s="468"/>
      <c r="FWI68" s="468"/>
      <c r="FWJ68" s="468"/>
      <c r="FWK68" s="468"/>
      <c r="FWL68" s="468"/>
      <c r="FWM68" s="468"/>
      <c r="FWN68" s="468"/>
      <c r="FWO68" s="468"/>
      <c r="FWP68" s="468"/>
      <c r="FWQ68" s="468"/>
      <c r="FWR68" s="468"/>
      <c r="FWS68" s="468"/>
      <c r="FWT68" s="468"/>
      <c r="FWU68" s="468"/>
      <c r="FWV68" s="468"/>
      <c r="FWW68" s="468"/>
      <c r="FWX68" s="468"/>
      <c r="FWY68" s="468"/>
      <c r="FWZ68" s="469"/>
      <c r="FXA68" s="467"/>
      <c r="FXB68" s="468"/>
      <c r="FXC68" s="468"/>
      <c r="FXD68" s="468"/>
      <c r="FXE68" s="468"/>
      <c r="FXF68" s="468"/>
      <c r="FXG68" s="468"/>
      <c r="FXH68" s="468"/>
      <c r="FXI68" s="468"/>
      <c r="FXJ68" s="468"/>
      <c r="FXK68" s="468"/>
      <c r="FXL68" s="468"/>
      <c r="FXM68" s="468"/>
      <c r="FXN68" s="468"/>
      <c r="FXO68" s="468"/>
      <c r="FXP68" s="468"/>
      <c r="FXQ68" s="468"/>
      <c r="FXR68" s="468"/>
      <c r="FXS68" s="468"/>
      <c r="FXT68" s="468"/>
      <c r="FXU68" s="468"/>
      <c r="FXV68" s="468"/>
      <c r="FXW68" s="468"/>
      <c r="FXX68" s="468"/>
      <c r="FXY68" s="468"/>
      <c r="FXZ68" s="468"/>
      <c r="FYA68" s="468"/>
      <c r="FYB68" s="468"/>
      <c r="FYC68" s="468"/>
      <c r="FYD68" s="469"/>
      <c r="FYE68" s="467"/>
      <c r="FYF68" s="468"/>
      <c r="FYG68" s="468"/>
      <c r="FYH68" s="468"/>
      <c r="FYI68" s="468"/>
      <c r="FYJ68" s="468"/>
      <c r="FYK68" s="468"/>
      <c r="FYL68" s="468"/>
      <c r="FYM68" s="468"/>
      <c r="FYN68" s="468"/>
      <c r="FYO68" s="468"/>
      <c r="FYP68" s="468"/>
      <c r="FYQ68" s="468"/>
      <c r="FYR68" s="468"/>
      <c r="FYS68" s="468"/>
      <c r="FYT68" s="468"/>
      <c r="FYU68" s="468"/>
      <c r="FYV68" s="468"/>
      <c r="FYW68" s="468"/>
      <c r="FYX68" s="468"/>
      <c r="FYY68" s="468"/>
      <c r="FYZ68" s="468"/>
      <c r="FZA68" s="468"/>
      <c r="FZB68" s="468"/>
      <c r="FZC68" s="468"/>
      <c r="FZD68" s="468"/>
      <c r="FZE68" s="468"/>
      <c r="FZF68" s="468"/>
      <c r="FZG68" s="468"/>
      <c r="FZH68" s="469"/>
      <c r="FZI68" s="467"/>
      <c r="FZJ68" s="468"/>
      <c r="FZK68" s="468"/>
      <c r="FZL68" s="468"/>
      <c r="FZM68" s="468"/>
      <c r="FZN68" s="468"/>
      <c r="FZO68" s="468"/>
      <c r="FZP68" s="468"/>
      <c r="FZQ68" s="468"/>
      <c r="FZR68" s="468"/>
      <c r="FZS68" s="468"/>
      <c r="FZT68" s="468"/>
      <c r="FZU68" s="468"/>
      <c r="FZV68" s="468"/>
      <c r="FZW68" s="468"/>
      <c r="FZX68" s="468"/>
      <c r="FZY68" s="468"/>
      <c r="FZZ68" s="468"/>
      <c r="GAA68" s="468"/>
      <c r="GAB68" s="468"/>
      <c r="GAC68" s="468"/>
      <c r="GAD68" s="468"/>
      <c r="GAE68" s="468"/>
      <c r="GAF68" s="468"/>
      <c r="GAG68" s="468"/>
      <c r="GAH68" s="468"/>
      <c r="GAI68" s="468"/>
      <c r="GAJ68" s="468"/>
      <c r="GAK68" s="468"/>
      <c r="GAL68" s="469"/>
      <c r="GAM68" s="467"/>
      <c r="GAN68" s="468"/>
      <c r="GAO68" s="468"/>
      <c r="GAP68" s="468"/>
      <c r="GAQ68" s="468"/>
      <c r="GAR68" s="468"/>
      <c r="GAS68" s="468"/>
      <c r="GAT68" s="468"/>
      <c r="GAU68" s="468"/>
      <c r="GAV68" s="468"/>
      <c r="GAW68" s="468"/>
      <c r="GAX68" s="468"/>
      <c r="GAY68" s="468"/>
      <c r="GAZ68" s="468"/>
      <c r="GBA68" s="468"/>
      <c r="GBB68" s="468"/>
      <c r="GBC68" s="468"/>
      <c r="GBD68" s="468"/>
      <c r="GBE68" s="468"/>
      <c r="GBF68" s="468"/>
      <c r="GBG68" s="468"/>
      <c r="GBH68" s="468"/>
      <c r="GBI68" s="468"/>
      <c r="GBJ68" s="468"/>
      <c r="GBK68" s="468"/>
      <c r="GBL68" s="468"/>
      <c r="GBM68" s="468"/>
      <c r="GBN68" s="468"/>
      <c r="GBO68" s="468"/>
      <c r="GBP68" s="469"/>
      <c r="GBQ68" s="467"/>
      <c r="GBR68" s="468"/>
      <c r="GBS68" s="468"/>
      <c r="GBT68" s="468"/>
      <c r="GBU68" s="468"/>
      <c r="GBV68" s="468"/>
      <c r="GBW68" s="468"/>
      <c r="GBX68" s="468"/>
      <c r="GBY68" s="468"/>
      <c r="GBZ68" s="468"/>
      <c r="GCA68" s="468"/>
      <c r="GCB68" s="468"/>
      <c r="GCC68" s="468"/>
      <c r="GCD68" s="468"/>
      <c r="GCE68" s="468"/>
      <c r="GCF68" s="468"/>
      <c r="GCG68" s="468"/>
      <c r="GCH68" s="468"/>
      <c r="GCI68" s="468"/>
      <c r="GCJ68" s="468"/>
      <c r="GCK68" s="468"/>
      <c r="GCL68" s="468"/>
      <c r="GCM68" s="468"/>
      <c r="GCN68" s="468"/>
      <c r="GCO68" s="468"/>
      <c r="GCP68" s="468"/>
      <c r="GCQ68" s="468"/>
      <c r="GCR68" s="468"/>
      <c r="GCS68" s="468"/>
      <c r="GCT68" s="469"/>
      <c r="GCU68" s="467"/>
      <c r="GCV68" s="468"/>
      <c r="GCW68" s="468"/>
      <c r="GCX68" s="468"/>
      <c r="GCY68" s="468"/>
      <c r="GCZ68" s="468"/>
      <c r="GDA68" s="468"/>
      <c r="GDB68" s="468"/>
      <c r="GDC68" s="468"/>
      <c r="GDD68" s="468"/>
      <c r="GDE68" s="468"/>
      <c r="GDF68" s="468"/>
      <c r="GDG68" s="468"/>
      <c r="GDH68" s="468"/>
      <c r="GDI68" s="468"/>
      <c r="GDJ68" s="468"/>
      <c r="GDK68" s="468"/>
      <c r="GDL68" s="468"/>
      <c r="GDM68" s="468"/>
      <c r="GDN68" s="468"/>
      <c r="GDO68" s="468"/>
      <c r="GDP68" s="468"/>
      <c r="GDQ68" s="468"/>
      <c r="GDR68" s="468"/>
      <c r="GDS68" s="468"/>
      <c r="GDT68" s="468"/>
      <c r="GDU68" s="468"/>
      <c r="GDV68" s="468"/>
      <c r="GDW68" s="468"/>
      <c r="GDX68" s="469"/>
      <c r="GDY68" s="467"/>
      <c r="GDZ68" s="468"/>
      <c r="GEA68" s="468"/>
      <c r="GEB68" s="468"/>
      <c r="GEC68" s="468"/>
      <c r="GED68" s="468"/>
      <c r="GEE68" s="468"/>
      <c r="GEF68" s="468"/>
      <c r="GEG68" s="468"/>
      <c r="GEH68" s="468"/>
      <c r="GEI68" s="468"/>
      <c r="GEJ68" s="468"/>
      <c r="GEK68" s="468"/>
      <c r="GEL68" s="468"/>
      <c r="GEM68" s="468"/>
      <c r="GEN68" s="468"/>
      <c r="GEO68" s="468"/>
      <c r="GEP68" s="468"/>
      <c r="GEQ68" s="468"/>
      <c r="GER68" s="468"/>
      <c r="GES68" s="468"/>
      <c r="GET68" s="468"/>
      <c r="GEU68" s="468"/>
      <c r="GEV68" s="468"/>
      <c r="GEW68" s="468"/>
      <c r="GEX68" s="468"/>
      <c r="GEY68" s="468"/>
      <c r="GEZ68" s="468"/>
      <c r="GFA68" s="468"/>
      <c r="GFB68" s="469"/>
      <c r="GFC68" s="467"/>
      <c r="GFD68" s="468"/>
      <c r="GFE68" s="468"/>
      <c r="GFF68" s="468"/>
      <c r="GFG68" s="468"/>
      <c r="GFH68" s="468"/>
      <c r="GFI68" s="468"/>
      <c r="GFJ68" s="468"/>
      <c r="GFK68" s="468"/>
      <c r="GFL68" s="468"/>
      <c r="GFM68" s="468"/>
      <c r="GFN68" s="468"/>
      <c r="GFO68" s="468"/>
      <c r="GFP68" s="468"/>
      <c r="GFQ68" s="468"/>
      <c r="GFR68" s="468"/>
      <c r="GFS68" s="468"/>
      <c r="GFT68" s="468"/>
      <c r="GFU68" s="468"/>
      <c r="GFV68" s="468"/>
      <c r="GFW68" s="468"/>
      <c r="GFX68" s="468"/>
      <c r="GFY68" s="468"/>
      <c r="GFZ68" s="468"/>
      <c r="GGA68" s="468"/>
      <c r="GGB68" s="468"/>
      <c r="GGC68" s="468"/>
      <c r="GGD68" s="468"/>
      <c r="GGE68" s="468"/>
      <c r="GGF68" s="469"/>
      <c r="GGG68" s="467"/>
      <c r="GGH68" s="468"/>
      <c r="GGI68" s="468"/>
      <c r="GGJ68" s="468"/>
      <c r="GGK68" s="468"/>
      <c r="GGL68" s="468"/>
      <c r="GGM68" s="468"/>
      <c r="GGN68" s="468"/>
      <c r="GGO68" s="468"/>
      <c r="GGP68" s="468"/>
      <c r="GGQ68" s="468"/>
      <c r="GGR68" s="468"/>
      <c r="GGS68" s="468"/>
      <c r="GGT68" s="468"/>
      <c r="GGU68" s="468"/>
      <c r="GGV68" s="468"/>
      <c r="GGW68" s="468"/>
      <c r="GGX68" s="468"/>
      <c r="GGY68" s="468"/>
      <c r="GGZ68" s="468"/>
      <c r="GHA68" s="468"/>
      <c r="GHB68" s="468"/>
      <c r="GHC68" s="468"/>
      <c r="GHD68" s="468"/>
      <c r="GHE68" s="468"/>
      <c r="GHF68" s="468"/>
      <c r="GHG68" s="468"/>
      <c r="GHH68" s="468"/>
      <c r="GHI68" s="468"/>
      <c r="GHJ68" s="469"/>
      <c r="GHK68" s="467"/>
      <c r="GHL68" s="468"/>
      <c r="GHM68" s="468"/>
      <c r="GHN68" s="468"/>
      <c r="GHO68" s="468"/>
      <c r="GHP68" s="468"/>
      <c r="GHQ68" s="468"/>
      <c r="GHR68" s="468"/>
      <c r="GHS68" s="468"/>
      <c r="GHT68" s="468"/>
      <c r="GHU68" s="468"/>
      <c r="GHV68" s="468"/>
      <c r="GHW68" s="468"/>
      <c r="GHX68" s="468"/>
      <c r="GHY68" s="468"/>
      <c r="GHZ68" s="468"/>
      <c r="GIA68" s="468"/>
      <c r="GIB68" s="468"/>
      <c r="GIC68" s="468"/>
      <c r="GID68" s="468"/>
      <c r="GIE68" s="468"/>
      <c r="GIF68" s="468"/>
      <c r="GIG68" s="468"/>
      <c r="GIH68" s="468"/>
      <c r="GII68" s="468"/>
      <c r="GIJ68" s="468"/>
      <c r="GIK68" s="468"/>
      <c r="GIL68" s="468"/>
      <c r="GIM68" s="468"/>
      <c r="GIN68" s="469"/>
      <c r="GIO68" s="467"/>
      <c r="GIP68" s="468"/>
      <c r="GIQ68" s="468"/>
      <c r="GIR68" s="468"/>
      <c r="GIS68" s="468"/>
      <c r="GIT68" s="468"/>
      <c r="GIU68" s="468"/>
      <c r="GIV68" s="468"/>
      <c r="GIW68" s="468"/>
      <c r="GIX68" s="468"/>
      <c r="GIY68" s="468"/>
      <c r="GIZ68" s="468"/>
      <c r="GJA68" s="468"/>
      <c r="GJB68" s="468"/>
      <c r="GJC68" s="468"/>
      <c r="GJD68" s="468"/>
      <c r="GJE68" s="468"/>
      <c r="GJF68" s="468"/>
      <c r="GJG68" s="468"/>
      <c r="GJH68" s="468"/>
      <c r="GJI68" s="468"/>
      <c r="GJJ68" s="468"/>
      <c r="GJK68" s="468"/>
      <c r="GJL68" s="468"/>
      <c r="GJM68" s="468"/>
      <c r="GJN68" s="468"/>
      <c r="GJO68" s="468"/>
      <c r="GJP68" s="468"/>
      <c r="GJQ68" s="468"/>
      <c r="GJR68" s="469"/>
      <c r="GJS68" s="467"/>
      <c r="GJT68" s="468"/>
      <c r="GJU68" s="468"/>
      <c r="GJV68" s="468"/>
      <c r="GJW68" s="468"/>
      <c r="GJX68" s="468"/>
      <c r="GJY68" s="468"/>
      <c r="GJZ68" s="468"/>
      <c r="GKA68" s="468"/>
      <c r="GKB68" s="468"/>
      <c r="GKC68" s="468"/>
      <c r="GKD68" s="468"/>
      <c r="GKE68" s="468"/>
      <c r="GKF68" s="468"/>
      <c r="GKG68" s="468"/>
      <c r="GKH68" s="468"/>
      <c r="GKI68" s="468"/>
      <c r="GKJ68" s="468"/>
      <c r="GKK68" s="468"/>
      <c r="GKL68" s="468"/>
      <c r="GKM68" s="468"/>
      <c r="GKN68" s="468"/>
      <c r="GKO68" s="468"/>
      <c r="GKP68" s="468"/>
      <c r="GKQ68" s="468"/>
      <c r="GKR68" s="468"/>
      <c r="GKS68" s="468"/>
      <c r="GKT68" s="468"/>
      <c r="GKU68" s="468"/>
      <c r="GKV68" s="469"/>
      <c r="GKW68" s="467"/>
      <c r="GKX68" s="468"/>
      <c r="GKY68" s="468"/>
      <c r="GKZ68" s="468"/>
      <c r="GLA68" s="468"/>
      <c r="GLB68" s="468"/>
      <c r="GLC68" s="468"/>
      <c r="GLD68" s="468"/>
      <c r="GLE68" s="468"/>
      <c r="GLF68" s="468"/>
      <c r="GLG68" s="468"/>
      <c r="GLH68" s="468"/>
      <c r="GLI68" s="468"/>
      <c r="GLJ68" s="468"/>
      <c r="GLK68" s="468"/>
      <c r="GLL68" s="468"/>
      <c r="GLM68" s="468"/>
      <c r="GLN68" s="468"/>
      <c r="GLO68" s="468"/>
      <c r="GLP68" s="468"/>
      <c r="GLQ68" s="468"/>
      <c r="GLR68" s="468"/>
      <c r="GLS68" s="468"/>
      <c r="GLT68" s="468"/>
      <c r="GLU68" s="468"/>
      <c r="GLV68" s="468"/>
      <c r="GLW68" s="468"/>
      <c r="GLX68" s="468"/>
      <c r="GLY68" s="468"/>
      <c r="GLZ68" s="469"/>
      <c r="GMA68" s="467"/>
      <c r="GMB68" s="468"/>
      <c r="GMC68" s="468"/>
      <c r="GMD68" s="468"/>
      <c r="GME68" s="468"/>
      <c r="GMF68" s="468"/>
      <c r="GMG68" s="468"/>
      <c r="GMH68" s="468"/>
      <c r="GMI68" s="468"/>
      <c r="GMJ68" s="468"/>
      <c r="GMK68" s="468"/>
      <c r="GML68" s="468"/>
      <c r="GMM68" s="468"/>
      <c r="GMN68" s="468"/>
      <c r="GMO68" s="468"/>
      <c r="GMP68" s="468"/>
      <c r="GMQ68" s="468"/>
      <c r="GMR68" s="468"/>
      <c r="GMS68" s="468"/>
      <c r="GMT68" s="468"/>
      <c r="GMU68" s="468"/>
      <c r="GMV68" s="468"/>
      <c r="GMW68" s="468"/>
      <c r="GMX68" s="468"/>
      <c r="GMY68" s="468"/>
      <c r="GMZ68" s="468"/>
      <c r="GNA68" s="468"/>
      <c r="GNB68" s="468"/>
      <c r="GNC68" s="468"/>
      <c r="GND68" s="469"/>
      <c r="GNE68" s="467"/>
      <c r="GNF68" s="468"/>
      <c r="GNG68" s="468"/>
      <c r="GNH68" s="468"/>
      <c r="GNI68" s="468"/>
      <c r="GNJ68" s="468"/>
      <c r="GNK68" s="468"/>
      <c r="GNL68" s="468"/>
      <c r="GNM68" s="468"/>
      <c r="GNN68" s="468"/>
      <c r="GNO68" s="468"/>
      <c r="GNP68" s="468"/>
      <c r="GNQ68" s="468"/>
      <c r="GNR68" s="468"/>
      <c r="GNS68" s="468"/>
      <c r="GNT68" s="468"/>
      <c r="GNU68" s="468"/>
      <c r="GNV68" s="468"/>
      <c r="GNW68" s="468"/>
      <c r="GNX68" s="468"/>
      <c r="GNY68" s="468"/>
      <c r="GNZ68" s="468"/>
      <c r="GOA68" s="468"/>
      <c r="GOB68" s="468"/>
      <c r="GOC68" s="468"/>
      <c r="GOD68" s="468"/>
      <c r="GOE68" s="468"/>
      <c r="GOF68" s="468"/>
      <c r="GOG68" s="468"/>
      <c r="GOH68" s="469"/>
      <c r="GOI68" s="467"/>
      <c r="GOJ68" s="468"/>
      <c r="GOK68" s="468"/>
      <c r="GOL68" s="468"/>
      <c r="GOM68" s="468"/>
      <c r="GON68" s="468"/>
      <c r="GOO68" s="468"/>
      <c r="GOP68" s="468"/>
      <c r="GOQ68" s="468"/>
      <c r="GOR68" s="468"/>
      <c r="GOS68" s="468"/>
      <c r="GOT68" s="468"/>
      <c r="GOU68" s="468"/>
      <c r="GOV68" s="468"/>
      <c r="GOW68" s="468"/>
      <c r="GOX68" s="468"/>
      <c r="GOY68" s="468"/>
      <c r="GOZ68" s="468"/>
      <c r="GPA68" s="468"/>
      <c r="GPB68" s="468"/>
      <c r="GPC68" s="468"/>
      <c r="GPD68" s="468"/>
      <c r="GPE68" s="468"/>
      <c r="GPF68" s="468"/>
      <c r="GPG68" s="468"/>
      <c r="GPH68" s="468"/>
      <c r="GPI68" s="468"/>
      <c r="GPJ68" s="468"/>
      <c r="GPK68" s="468"/>
      <c r="GPL68" s="469"/>
      <c r="GPM68" s="467"/>
      <c r="GPN68" s="468"/>
      <c r="GPO68" s="468"/>
      <c r="GPP68" s="468"/>
      <c r="GPQ68" s="468"/>
      <c r="GPR68" s="468"/>
      <c r="GPS68" s="468"/>
      <c r="GPT68" s="468"/>
      <c r="GPU68" s="468"/>
      <c r="GPV68" s="468"/>
      <c r="GPW68" s="468"/>
      <c r="GPX68" s="468"/>
      <c r="GPY68" s="468"/>
      <c r="GPZ68" s="468"/>
      <c r="GQA68" s="468"/>
      <c r="GQB68" s="468"/>
      <c r="GQC68" s="468"/>
      <c r="GQD68" s="468"/>
      <c r="GQE68" s="468"/>
      <c r="GQF68" s="468"/>
      <c r="GQG68" s="468"/>
      <c r="GQH68" s="468"/>
      <c r="GQI68" s="468"/>
      <c r="GQJ68" s="468"/>
      <c r="GQK68" s="468"/>
      <c r="GQL68" s="468"/>
      <c r="GQM68" s="468"/>
      <c r="GQN68" s="468"/>
      <c r="GQO68" s="468"/>
      <c r="GQP68" s="469"/>
      <c r="GQQ68" s="467"/>
      <c r="GQR68" s="468"/>
      <c r="GQS68" s="468"/>
      <c r="GQT68" s="468"/>
      <c r="GQU68" s="468"/>
      <c r="GQV68" s="468"/>
      <c r="GQW68" s="468"/>
      <c r="GQX68" s="468"/>
      <c r="GQY68" s="468"/>
      <c r="GQZ68" s="468"/>
      <c r="GRA68" s="468"/>
      <c r="GRB68" s="468"/>
      <c r="GRC68" s="468"/>
      <c r="GRD68" s="468"/>
      <c r="GRE68" s="468"/>
      <c r="GRF68" s="468"/>
      <c r="GRG68" s="468"/>
      <c r="GRH68" s="468"/>
      <c r="GRI68" s="468"/>
      <c r="GRJ68" s="468"/>
      <c r="GRK68" s="468"/>
      <c r="GRL68" s="468"/>
      <c r="GRM68" s="468"/>
      <c r="GRN68" s="468"/>
      <c r="GRO68" s="468"/>
      <c r="GRP68" s="468"/>
      <c r="GRQ68" s="468"/>
      <c r="GRR68" s="468"/>
      <c r="GRS68" s="468"/>
      <c r="GRT68" s="469"/>
      <c r="GRU68" s="467"/>
      <c r="GRV68" s="468"/>
      <c r="GRW68" s="468"/>
      <c r="GRX68" s="468"/>
      <c r="GRY68" s="468"/>
      <c r="GRZ68" s="468"/>
      <c r="GSA68" s="468"/>
      <c r="GSB68" s="468"/>
      <c r="GSC68" s="468"/>
      <c r="GSD68" s="468"/>
      <c r="GSE68" s="468"/>
      <c r="GSF68" s="468"/>
      <c r="GSG68" s="468"/>
      <c r="GSH68" s="468"/>
      <c r="GSI68" s="468"/>
      <c r="GSJ68" s="468"/>
      <c r="GSK68" s="468"/>
      <c r="GSL68" s="468"/>
      <c r="GSM68" s="468"/>
      <c r="GSN68" s="468"/>
      <c r="GSO68" s="468"/>
      <c r="GSP68" s="468"/>
      <c r="GSQ68" s="468"/>
      <c r="GSR68" s="468"/>
      <c r="GSS68" s="468"/>
      <c r="GST68" s="468"/>
      <c r="GSU68" s="468"/>
      <c r="GSV68" s="468"/>
      <c r="GSW68" s="468"/>
      <c r="GSX68" s="469"/>
      <c r="GSY68" s="467"/>
      <c r="GSZ68" s="468"/>
      <c r="GTA68" s="468"/>
      <c r="GTB68" s="468"/>
      <c r="GTC68" s="468"/>
      <c r="GTD68" s="468"/>
      <c r="GTE68" s="468"/>
      <c r="GTF68" s="468"/>
      <c r="GTG68" s="468"/>
      <c r="GTH68" s="468"/>
      <c r="GTI68" s="468"/>
      <c r="GTJ68" s="468"/>
      <c r="GTK68" s="468"/>
      <c r="GTL68" s="468"/>
      <c r="GTM68" s="468"/>
      <c r="GTN68" s="468"/>
      <c r="GTO68" s="468"/>
      <c r="GTP68" s="468"/>
      <c r="GTQ68" s="468"/>
      <c r="GTR68" s="468"/>
      <c r="GTS68" s="468"/>
      <c r="GTT68" s="468"/>
      <c r="GTU68" s="468"/>
      <c r="GTV68" s="468"/>
      <c r="GTW68" s="468"/>
      <c r="GTX68" s="468"/>
      <c r="GTY68" s="468"/>
      <c r="GTZ68" s="468"/>
      <c r="GUA68" s="468"/>
      <c r="GUB68" s="469"/>
      <c r="GUC68" s="467"/>
      <c r="GUD68" s="468"/>
      <c r="GUE68" s="468"/>
      <c r="GUF68" s="468"/>
      <c r="GUG68" s="468"/>
      <c r="GUH68" s="468"/>
      <c r="GUI68" s="468"/>
      <c r="GUJ68" s="468"/>
      <c r="GUK68" s="468"/>
      <c r="GUL68" s="468"/>
      <c r="GUM68" s="468"/>
      <c r="GUN68" s="468"/>
      <c r="GUO68" s="468"/>
      <c r="GUP68" s="468"/>
      <c r="GUQ68" s="468"/>
      <c r="GUR68" s="468"/>
      <c r="GUS68" s="468"/>
      <c r="GUT68" s="468"/>
      <c r="GUU68" s="468"/>
      <c r="GUV68" s="468"/>
      <c r="GUW68" s="468"/>
      <c r="GUX68" s="468"/>
      <c r="GUY68" s="468"/>
      <c r="GUZ68" s="468"/>
      <c r="GVA68" s="468"/>
      <c r="GVB68" s="468"/>
      <c r="GVC68" s="468"/>
      <c r="GVD68" s="468"/>
      <c r="GVE68" s="468"/>
      <c r="GVF68" s="469"/>
      <c r="GVG68" s="467"/>
      <c r="GVH68" s="468"/>
      <c r="GVI68" s="468"/>
      <c r="GVJ68" s="468"/>
      <c r="GVK68" s="468"/>
      <c r="GVL68" s="468"/>
      <c r="GVM68" s="468"/>
      <c r="GVN68" s="468"/>
      <c r="GVO68" s="468"/>
      <c r="GVP68" s="468"/>
      <c r="GVQ68" s="468"/>
      <c r="GVR68" s="468"/>
      <c r="GVS68" s="468"/>
      <c r="GVT68" s="468"/>
      <c r="GVU68" s="468"/>
      <c r="GVV68" s="468"/>
      <c r="GVW68" s="468"/>
      <c r="GVX68" s="468"/>
      <c r="GVY68" s="468"/>
      <c r="GVZ68" s="468"/>
      <c r="GWA68" s="468"/>
      <c r="GWB68" s="468"/>
      <c r="GWC68" s="468"/>
      <c r="GWD68" s="468"/>
      <c r="GWE68" s="468"/>
      <c r="GWF68" s="468"/>
      <c r="GWG68" s="468"/>
      <c r="GWH68" s="468"/>
      <c r="GWI68" s="468"/>
      <c r="GWJ68" s="469"/>
      <c r="GWK68" s="467"/>
      <c r="GWL68" s="468"/>
      <c r="GWM68" s="468"/>
      <c r="GWN68" s="468"/>
      <c r="GWO68" s="468"/>
      <c r="GWP68" s="468"/>
      <c r="GWQ68" s="468"/>
      <c r="GWR68" s="468"/>
      <c r="GWS68" s="468"/>
      <c r="GWT68" s="468"/>
      <c r="GWU68" s="468"/>
      <c r="GWV68" s="468"/>
      <c r="GWW68" s="468"/>
      <c r="GWX68" s="468"/>
      <c r="GWY68" s="468"/>
      <c r="GWZ68" s="468"/>
      <c r="GXA68" s="468"/>
      <c r="GXB68" s="468"/>
      <c r="GXC68" s="468"/>
      <c r="GXD68" s="468"/>
      <c r="GXE68" s="468"/>
      <c r="GXF68" s="468"/>
      <c r="GXG68" s="468"/>
      <c r="GXH68" s="468"/>
      <c r="GXI68" s="468"/>
      <c r="GXJ68" s="468"/>
      <c r="GXK68" s="468"/>
      <c r="GXL68" s="468"/>
      <c r="GXM68" s="468"/>
      <c r="GXN68" s="469"/>
      <c r="GXO68" s="467"/>
      <c r="GXP68" s="468"/>
      <c r="GXQ68" s="468"/>
      <c r="GXR68" s="468"/>
      <c r="GXS68" s="468"/>
      <c r="GXT68" s="468"/>
      <c r="GXU68" s="468"/>
      <c r="GXV68" s="468"/>
      <c r="GXW68" s="468"/>
      <c r="GXX68" s="468"/>
      <c r="GXY68" s="468"/>
      <c r="GXZ68" s="468"/>
      <c r="GYA68" s="468"/>
      <c r="GYB68" s="468"/>
      <c r="GYC68" s="468"/>
      <c r="GYD68" s="468"/>
      <c r="GYE68" s="468"/>
      <c r="GYF68" s="468"/>
      <c r="GYG68" s="468"/>
      <c r="GYH68" s="468"/>
      <c r="GYI68" s="468"/>
      <c r="GYJ68" s="468"/>
      <c r="GYK68" s="468"/>
      <c r="GYL68" s="468"/>
      <c r="GYM68" s="468"/>
      <c r="GYN68" s="468"/>
      <c r="GYO68" s="468"/>
      <c r="GYP68" s="468"/>
      <c r="GYQ68" s="468"/>
      <c r="GYR68" s="469"/>
      <c r="GYS68" s="467"/>
      <c r="GYT68" s="468"/>
      <c r="GYU68" s="468"/>
      <c r="GYV68" s="468"/>
      <c r="GYW68" s="468"/>
      <c r="GYX68" s="468"/>
      <c r="GYY68" s="468"/>
      <c r="GYZ68" s="468"/>
      <c r="GZA68" s="468"/>
      <c r="GZB68" s="468"/>
      <c r="GZC68" s="468"/>
      <c r="GZD68" s="468"/>
      <c r="GZE68" s="468"/>
      <c r="GZF68" s="468"/>
      <c r="GZG68" s="468"/>
      <c r="GZH68" s="468"/>
      <c r="GZI68" s="468"/>
      <c r="GZJ68" s="468"/>
      <c r="GZK68" s="468"/>
      <c r="GZL68" s="468"/>
      <c r="GZM68" s="468"/>
      <c r="GZN68" s="468"/>
      <c r="GZO68" s="468"/>
      <c r="GZP68" s="468"/>
      <c r="GZQ68" s="468"/>
      <c r="GZR68" s="468"/>
      <c r="GZS68" s="468"/>
      <c r="GZT68" s="468"/>
      <c r="GZU68" s="468"/>
      <c r="GZV68" s="469"/>
      <c r="GZW68" s="467"/>
      <c r="GZX68" s="468"/>
      <c r="GZY68" s="468"/>
      <c r="GZZ68" s="468"/>
      <c r="HAA68" s="468"/>
      <c r="HAB68" s="468"/>
      <c r="HAC68" s="468"/>
      <c r="HAD68" s="468"/>
      <c r="HAE68" s="468"/>
      <c r="HAF68" s="468"/>
      <c r="HAG68" s="468"/>
      <c r="HAH68" s="468"/>
      <c r="HAI68" s="468"/>
      <c r="HAJ68" s="468"/>
      <c r="HAK68" s="468"/>
      <c r="HAL68" s="468"/>
      <c r="HAM68" s="468"/>
      <c r="HAN68" s="468"/>
      <c r="HAO68" s="468"/>
      <c r="HAP68" s="468"/>
      <c r="HAQ68" s="468"/>
      <c r="HAR68" s="468"/>
      <c r="HAS68" s="468"/>
      <c r="HAT68" s="468"/>
      <c r="HAU68" s="468"/>
      <c r="HAV68" s="468"/>
      <c r="HAW68" s="468"/>
      <c r="HAX68" s="468"/>
      <c r="HAY68" s="468"/>
      <c r="HAZ68" s="469"/>
      <c r="HBA68" s="467"/>
      <c r="HBB68" s="468"/>
      <c r="HBC68" s="468"/>
      <c r="HBD68" s="468"/>
      <c r="HBE68" s="468"/>
      <c r="HBF68" s="468"/>
      <c r="HBG68" s="468"/>
      <c r="HBH68" s="468"/>
      <c r="HBI68" s="468"/>
      <c r="HBJ68" s="468"/>
      <c r="HBK68" s="468"/>
      <c r="HBL68" s="468"/>
      <c r="HBM68" s="468"/>
      <c r="HBN68" s="468"/>
      <c r="HBO68" s="468"/>
      <c r="HBP68" s="468"/>
      <c r="HBQ68" s="468"/>
      <c r="HBR68" s="468"/>
      <c r="HBS68" s="468"/>
      <c r="HBT68" s="468"/>
      <c r="HBU68" s="468"/>
      <c r="HBV68" s="468"/>
      <c r="HBW68" s="468"/>
      <c r="HBX68" s="468"/>
      <c r="HBY68" s="468"/>
      <c r="HBZ68" s="468"/>
      <c r="HCA68" s="468"/>
      <c r="HCB68" s="468"/>
      <c r="HCC68" s="468"/>
      <c r="HCD68" s="469"/>
      <c r="HCE68" s="467"/>
      <c r="HCF68" s="468"/>
      <c r="HCG68" s="468"/>
      <c r="HCH68" s="468"/>
      <c r="HCI68" s="468"/>
      <c r="HCJ68" s="468"/>
      <c r="HCK68" s="468"/>
      <c r="HCL68" s="468"/>
      <c r="HCM68" s="468"/>
      <c r="HCN68" s="468"/>
      <c r="HCO68" s="468"/>
      <c r="HCP68" s="468"/>
      <c r="HCQ68" s="468"/>
      <c r="HCR68" s="468"/>
      <c r="HCS68" s="468"/>
      <c r="HCT68" s="468"/>
      <c r="HCU68" s="468"/>
      <c r="HCV68" s="468"/>
      <c r="HCW68" s="468"/>
      <c r="HCX68" s="468"/>
      <c r="HCY68" s="468"/>
      <c r="HCZ68" s="468"/>
      <c r="HDA68" s="468"/>
      <c r="HDB68" s="468"/>
      <c r="HDC68" s="468"/>
      <c r="HDD68" s="468"/>
      <c r="HDE68" s="468"/>
      <c r="HDF68" s="468"/>
      <c r="HDG68" s="468"/>
      <c r="HDH68" s="469"/>
      <c r="HDI68" s="467"/>
      <c r="HDJ68" s="468"/>
      <c r="HDK68" s="468"/>
      <c r="HDL68" s="468"/>
      <c r="HDM68" s="468"/>
      <c r="HDN68" s="468"/>
      <c r="HDO68" s="468"/>
      <c r="HDP68" s="468"/>
      <c r="HDQ68" s="468"/>
      <c r="HDR68" s="468"/>
      <c r="HDS68" s="468"/>
      <c r="HDT68" s="468"/>
      <c r="HDU68" s="468"/>
      <c r="HDV68" s="468"/>
      <c r="HDW68" s="468"/>
      <c r="HDX68" s="468"/>
      <c r="HDY68" s="468"/>
      <c r="HDZ68" s="468"/>
      <c r="HEA68" s="468"/>
      <c r="HEB68" s="468"/>
      <c r="HEC68" s="468"/>
      <c r="HED68" s="468"/>
      <c r="HEE68" s="468"/>
      <c r="HEF68" s="468"/>
      <c r="HEG68" s="468"/>
      <c r="HEH68" s="468"/>
      <c r="HEI68" s="468"/>
      <c r="HEJ68" s="468"/>
      <c r="HEK68" s="468"/>
      <c r="HEL68" s="469"/>
      <c r="HEM68" s="467"/>
      <c r="HEN68" s="468"/>
      <c r="HEO68" s="468"/>
      <c r="HEP68" s="468"/>
      <c r="HEQ68" s="468"/>
      <c r="HER68" s="468"/>
      <c r="HES68" s="468"/>
      <c r="HET68" s="468"/>
      <c r="HEU68" s="468"/>
      <c r="HEV68" s="468"/>
      <c r="HEW68" s="468"/>
      <c r="HEX68" s="468"/>
      <c r="HEY68" s="468"/>
      <c r="HEZ68" s="468"/>
      <c r="HFA68" s="468"/>
      <c r="HFB68" s="468"/>
      <c r="HFC68" s="468"/>
      <c r="HFD68" s="468"/>
      <c r="HFE68" s="468"/>
      <c r="HFF68" s="468"/>
      <c r="HFG68" s="468"/>
      <c r="HFH68" s="468"/>
      <c r="HFI68" s="468"/>
      <c r="HFJ68" s="468"/>
      <c r="HFK68" s="468"/>
      <c r="HFL68" s="468"/>
      <c r="HFM68" s="468"/>
      <c r="HFN68" s="468"/>
      <c r="HFO68" s="468"/>
      <c r="HFP68" s="469"/>
      <c r="HFQ68" s="467"/>
      <c r="HFR68" s="468"/>
      <c r="HFS68" s="468"/>
      <c r="HFT68" s="468"/>
      <c r="HFU68" s="468"/>
      <c r="HFV68" s="468"/>
      <c r="HFW68" s="468"/>
      <c r="HFX68" s="468"/>
      <c r="HFY68" s="468"/>
      <c r="HFZ68" s="468"/>
      <c r="HGA68" s="468"/>
      <c r="HGB68" s="468"/>
      <c r="HGC68" s="468"/>
      <c r="HGD68" s="468"/>
      <c r="HGE68" s="468"/>
      <c r="HGF68" s="468"/>
      <c r="HGG68" s="468"/>
      <c r="HGH68" s="468"/>
      <c r="HGI68" s="468"/>
      <c r="HGJ68" s="468"/>
      <c r="HGK68" s="468"/>
      <c r="HGL68" s="468"/>
      <c r="HGM68" s="468"/>
      <c r="HGN68" s="468"/>
      <c r="HGO68" s="468"/>
      <c r="HGP68" s="468"/>
      <c r="HGQ68" s="468"/>
      <c r="HGR68" s="468"/>
      <c r="HGS68" s="468"/>
      <c r="HGT68" s="469"/>
      <c r="HGU68" s="467"/>
      <c r="HGV68" s="468"/>
      <c r="HGW68" s="468"/>
      <c r="HGX68" s="468"/>
      <c r="HGY68" s="468"/>
      <c r="HGZ68" s="468"/>
      <c r="HHA68" s="468"/>
      <c r="HHB68" s="468"/>
      <c r="HHC68" s="468"/>
      <c r="HHD68" s="468"/>
      <c r="HHE68" s="468"/>
      <c r="HHF68" s="468"/>
      <c r="HHG68" s="468"/>
      <c r="HHH68" s="468"/>
      <c r="HHI68" s="468"/>
      <c r="HHJ68" s="468"/>
      <c r="HHK68" s="468"/>
      <c r="HHL68" s="468"/>
      <c r="HHM68" s="468"/>
      <c r="HHN68" s="468"/>
      <c r="HHO68" s="468"/>
      <c r="HHP68" s="468"/>
      <c r="HHQ68" s="468"/>
      <c r="HHR68" s="468"/>
      <c r="HHS68" s="468"/>
      <c r="HHT68" s="468"/>
      <c r="HHU68" s="468"/>
      <c r="HHV68" s="468"/>
      <c r="HHW68" s="468"/>
      <c r="HHX68" s="469"/>
      <c r="HHY68" s="467"/>
      <c r="HHZ68" s="468"/>
      <c r="HIA68" s="468"/>
      <c r="HIB68" s="468"/>
      <c r="HIC68" s="468"/>
      <c r="HID68" s="468"/>
      <c r="HIE68" s="468"/>
      <c r="HIF68" s="468"/>
      <c r="HIG68" s="468"/>
      <c r="HIH68" s="468"/>
      <c r="HII68" s="468"/>
      <c r="HIJ68" s="468"/>
      <c r="HIK68" s="468"/>
      <c r="HIL68" s="468"/>
      <c r="HIM68" s="468"/>
      <c r="HIN68" s="468"/>
      <c r="HIO68" s="468"/>
      <c r="HIP68" s="468"/>
      <c r="HIQ68" s="468"/>
      <c r="HIR68" s="468"/>
      <c r="HIS68" s="468"/>
      <c r="HIT68" s="468"/>
      <c r="HIU68" s="468"/>
      <c r="HIV68" s="468"/>
      <c r="HIW68" s="468"/>
      <c r="HIX68" s="468"/>
      <c r="HIY68" s="468"/>
      <c r="HIZ68" s="468"/>
      <c r="HJA68" s="468"/>
      <c r="HJB68" s="469"/>
      <c r="HJC68" s="467"/>
      <c r="HJD68" s="468"/>
      <c r="HJE68" s="468"/>
      <c r="HJF68" s="468"/>
      <c r="HJG68" s="468"/>
      <c r="HJH68" s="468"/>
      <c r="HJI68" s="468"/>
      <c r="HJJ68" s="468"/>
      <c r="HJK68" s="468"/>
      <c r="HJL68" s="468"/>
      <c r="HJM68" s="468"/>
      <c r="HJN68" s="468"/>
      <c r="HJO68" s="468"/>
      <c r="HJP68" s="468"/>
      <c r="HJQ68" s="468"/>
      <c r="HJR68" s="468"/>
      <c r="HJS68" s="468"/>
      <c r="HJT68" s="468"/>
      <c r="HJU68" s="468"/>
      <c r="HJV68" s="468"/>
      <c r="HJW68" s="468"/>
      <c r="HJX68" s="468"/>
      <c r="HJY68" s="468"/>
      <c r="HJZ68" s="468"/>
      <c r="HKA68" s="468"/>
      <c r="HKB68" s="468"/>
      <c r="HKC68" s="468"/>
      <c r="HKD68" s="468"/>
      <c r="HKE68" s="468"/>
      <c r="HKF68" s="469"/>
      <c r="HKG68" s="467"/>
      <c r="HKH68" s="468"/>
      <c r="HKI68" s="468"/>
      <c r="HKJ68" s="468"/>
      <c r="HKK68" s="468"/>
      <c r="HKL68" s="468"/>
      <c r="HKM68" s="468"/>
      <c r="HKN68" s="468"/>
      <c r="HKO68" s="468"/>
      <c r="HKP68" s="468"/>
      <c r="HKQ68" s="468"/>
      <c r="HKR68" s="468"/>
      <c r="HKS68" s="468"/>
      <c r="HKT68" s="468"/>
      <c r="HKU68" s="468"/>
      <c r="HKV68" s="468"/>
      <c r="HKW68" s="468"/>
      <c r="HKX68" s="468"/>
      <c r="HKY68" s="468"/>
      <c r="HKZ68" s="468"/>
      <c r="HLA68" s="468"/>
      <c r="HLB68" s="468"/>
      <c r="HLC68" s="468"/>
      <c r="HLD68" s="468"/>
      <c r="HLE68" s="468"/>
      <c r="HLF68" s="468"/>
      <c r="HLG68" s="468"/>
      <c r="HLH68" s="468"/>
      <c r="HLI68" s="468"/>
      <c r="HLJ68" s="469"/>
      <c r="HLK68" s="467"/>
      <c r="HLL68" s="468"/>
      <c r="HLM68" s="468"/>
      <c r="HLN68" s="468"/>
      <c r="HLO68" s="468"/>
      <c r="HLP68" s="468"/>
      <c r="HLQ68" s="468"/>
      <c r="HLR68" s="468"/>
      <c r="HLS68" s="468"/>
      <c r="HLT68" s="468"/>
      <c r="HLU68" s="468"/>
      <c r="HLV68" s="468"/>
      <c r="HLW68" s="468"/>
      <c r="HLX68" s="468"/>
      <c r="HLY68" s="468"/>
      <c r="HLZ68" s="468"/>
      <c r="HMA68" s="468"/>
      <c r="HMB68" s="468"/>
      <c r="HMC68" s="468"/>
      <c r="HMD68" s="468"/>
      <c r="HME68" s="468"/>
      <c r="HMF68" s="468"/>
      <c r="HMG68" s="468"/>
      <c r="HMH68" s="468"/>
      <c r="HMI68" s="468"/>
      <c r="HMJ68" s="468"/>
      <c r="HMK68" s="468"/>
      <c r="HML68" s="468"/>
      <c r="HMM68" s="468"/>
      <c r="HMN68" s="469"/>
      <c r="HMO68" s="467"/>
      <c r="HMP68" s="468"/>
      <c r="HMQ68" s="468"/>
      <c r="HMR68" s="468"/>
      <c r="HMS68" s="468"/>
      <c r="HMT68" s="468"/>
      <c r="HMU68" s="468"/>
      <c r="HMV68" s="468"/>
      <c r="HMW68" s="468"/>
      <c r="HMX68" s="468"/>
      <c r="HMY68" s="468"/>
      <c r="HMZ68" s="468"/>
      <c r="HNA68" s="468"/>
      <c r="HNB68" s="468"/>
      <c r="HNC68" s="468"/>
      <c r="HND68" s="468"/>
      <c r="HNE68" s="468"/>
      <c r="HNF68" s="468"/>
      <c r="HNG68" s="468"/>
      <c r="HNH68" s="468"/>
      <c r="HNI68" s="468"/>
      <c r="HNJ68" s="468"/>
      <c r="HNK68" s="468"/>
      <c r="HNL68" s="468"/>
      <c r="HNM68" s="468"/>
      <c r="HNN68" s="468"/>
      <c r="HNO68" s="468"/>
      <c r="HNP68" s="468"/>
      <c r="HNQ68" s="468"/>
      <c r="HNR68" s="469"/>
      <c r="HNS68" s="467"/>
      <c r="HNT68" s="468"/>
      <c r="HNU68" s="468"/>
      <c r="HNV68" s="468"/>
      <c r="HNW68" s="468"/>
      <c r="HNX68" s="468"/>
      <c r="HNY68" s="468"/>
      <c r="HNZ68" s="468"/>
      <c r="HOA68" s="468"/>
      <c r="HOB68" s="468"/>
      <c r="HOC68" s="468"/>
      <c r="HOD68" s="468"/>
      <c r="HOE68" s="468"/>
      <c r="HOF68" s="468"/>
      <c r="HOG68" s="468"/>
      <c r="HOH68" s="468"/>
      <c r="HOI68" s="468"/>
      <c r="HOJ68" s="468"/>
      <c r="HOK68" s="468"/>
      <c r="HOL68" s="468"/>
      <c r="HOM68" s="468"/>
      <c r="HON68" s="468"/>
      <c r="HOO68" s="468"/>
      <c r="HOP68" s="468"/>
      <c r="HOQ68" s="468"/>
      <c r="HOR68" s="468"/>
      <c r="HOS68" s="468"/>
      <c r="HOT68" s="468"/>
      <c r="HOU68" s="468"/>
      <c r="HOV68" s="469"/>
      <c r="HOW68" s="467"/>
      <c r="HOX68" s="468"/>
      <c r="HOY68" s="468"/>
      <c r="HOZ68" s="468"/>
      <c r="HPA68" s="468"/>
      <c r="HPB68" s="468"/>
      <c r="HPC68" s="468"/>
      <c r="HPD68" s="468"/>
      <c r="HPE68" s="468"/>
      <c r="HPF68" s="468"/>
      <c r="HPG68" s="468"/>
      <c r="HPH68" s="468"/>
      <c r="HPI68" s="468"/>
      <c r="HPJ68" s="468"/>
      <c r="HPK68" s="468"/>
      <c r="HPL68" s="468"/>
      <c r="HPM68" s="468"/>
      <c r="HPN68" s="468"/>
      <c r="HPO68" s="468"/>
      <c r="HPP68" s="468"/>
      <c r="HPQ68" s="468"/>
      <c r="HPR68" s="468"/>
      <c r="HPS68" s="468"/>
      <c r="HPT68" s="468"/>
      <c r="HPU68" s="468"/>
      <c r="HPV68" s="468"/>
      <c r="HPW68" s="468"/>
      <c r="HPX68" s="468"/>
      <c r="HPY68" s="468"/>
      <c r="HPZ68" s="469"/>
      <c r="HQA68" s="467"/>
      <c r="HQB68" s="468"/>
      <c r="HQC68" s="468"/>
      <c r="HQD68" s="468"/>
      <c r="HQE68" s="468"/>
      <c r="HQF68" s="468"/>
      <c r="HQG68" s="468"/>
      <c r="HQH68" s="468"/>
      <c r="HQI68" s="468"/>
      <c r="HQJ68" s="468"/>
      <c r="HQK68" s="468"/>
      <c r="HQL68" s="468"/>
      <c r="HQM68" s="468"/>
      <c r="HQN68" s="468"/>
      <c r="HQO68" s="468"/>
      <c r="HQP68" s="468"/>
      <c r="HQQ68" s="468"/>
      <c r="HQR68" s="468"/>
      <c r="HQS68" s="468"/>
      <c r="HQT68" s="468"/>
      <c r="HQU68" s="468"/>
      <c r="HQV68" s="468"/>
      <c r="HQW68" s="468"/>
      <c r="HQX68" s="468"/>
      <c r="HQY68" s="468"/>
      <c r="HQZ68" s="468"/>
      <c r="HRA68" s="468"/>
      <c r="HRB68" s="468"/>
      <c r="HRC68" s="468"/>
      <c r="HRD68" s="469"/>
      <c r="HRE68" s="467"/>
      <c r="HRF68" s="468"/>
      <c r="HRG68" s="468"/>
      <c r="HRH68" s="468"/>
      <c r="HRI68" s="468"/>
      <c r="HRJ68" s="468"/>
      <c r="HRK68" s="468"/>
      <c r="HRL68" s="468"/>
      <c r="HRM68" s="468"/>
      <c r="HRN68" s="468"/>
      <c r="HRO68" s="468"/>
      <c r="HRP68" s="468"/>
      <c r="HRQ68" s="468"/>
      <c r="HRR68" s="468"/>
      <c r="HRS68" s="468"/>
      <c r="HRT68" s="468"/>
      <c r="HRU68" s="468"/>
      <c r="HRV68" s="468"/>
      <c r="HRW68" s="468"/>
      <c r="HRX68" s="468"/>
      <c r="HRY68" s="468"/>
      <c r="HRZ68" s="468"/>
      <c r="HSA68" s="468"/>
      <c r="HSB68" s="468"/>
      <c r="HSC68" s="468"/>
      <c r="HSD68" s="468"/>
      <c r="HSE68" s="468"/>
      <c r="HSF68" s="468"/>
      <c r="HSG68" s="468"/>
      <c r="HSH68" s="469"/>
      <c r="HSI68" s="467"/>
      <c r="HSJ68" s="468"/>
      <c r="HSK68" s="468"/>
      <c r="HSL68" s="468"/>
      <c r="HSM68" s="468"/>
      <c r="HSN68" s="468"/>
      <c r="HSO68" s="468"/>
      <c r="HSP68" s="468"/>
      <c r="HSQ68" s="468"/>
      <c r="HSR68" s="468"/>
      <c r="HSS68" s="468"/>
      <c r="HST68" s="468"/>
      <c r="HSU68" s="468"/>
      <c r="HSV68" s="468"/>
      <c r="HSW68" s="468"/>
      <c r="HSX68" s="468"/>
      <c r="HSY68" s="468"/>
      <c r="HSZ68" s="468"/>
      <c r="HTA68" s="468"/>
      <c r="HTB68" s="468"/>
      <c r="HTC68" s="468"/>
      <c r="HTD68" s="468"/>
      <c r="HTE68" s="468"/>
      <c r="HTF68" s="468"/>
      <c r="HTG68" s="468"/>
      <c r="HTH68" s="468"/>
      <c r="HTI68" s="468"/>
      <c r="HTJ68" s="468"/>
      <c r="HTK68" s="468"/>
      <c r="HTL68" s="469"/>
      <c r="HTM68" s="467"/>
      <c r="HTN68" s="468"/>
      <c r="HTO68" s="468"/>
      <c r="HTP68" s="468"/>
      <c r="HTQ68" s="468"/>
      <c r="HTR68" s="468"/>
      <c r="HTS68" s="468"/>
      <c r="HTT68" s="468"/>
      <c r="HTU68" s="468"/>
      <c r="HTV68" s="468"/>
      <c r="HTW68" s="468"/>
      <c r="HTX68" s="468"/>
      <c r="HTY68" s="468"/>
      <c r="HTZ68" s="468"/>
      <c r="HUA68" s="468"/>
      <c r="HUB68" s="468"/>
      <c r="HUC68" s="468"/>
      <c r="HUD68" s="468"/>
      <c r="HUE68" s="468"/>
      <c r="HUF68" s="468"/>
      <c r="HUG68" s="468"/>
      <c r="HUH68" s="468"/>
      <c r="HUI68" s="468"/>
      <c r="HUJ68" s="468"/>
      <c r="HUK68" s="468"/>
      <c r="HUL68" s="468"/>
      <c r="HUM68" s="468"/>
      <c r="HUN68" s="468"/>
      <c r="HUO68" s="468"/>
      <c r="HUP68" s="469"/>
      <c r="HUQ68" s="467"/>
      <c r="HUR68" s="468"/>
      <c r="HUS68" s="468"/>
      <c r="HUT68" s="468"/>
      <c r="HUU68" s="468"/>
      <c r="HUV68" s="468"/>
      <c r="HUW68" s="468"/>
      <c r="HUX68" s="468"/>
      <c r="HUY68" s="468"/>
      <c r="HUZ68" s="468"/>
      <c r="HVA68" s="468"/>
      <c r="HVB68" s="468"/>
      <c r="HVC68" s="468"/>
      <c r="HVD68" s="468"/>
      <c r="HVE68" s="468"/>
      <c r="HVF68" s="468"/>
      <c r="HVG68" s="468"/>
      <c r="HVH68" s="468"/>
      <c r="HVI68" s="468"/>
      <c r="HVJ68" s="468"/>
      <c r="HVK68" s="468"/>
      <c r="HVL68" s="468"/>
      <c r="HVM68" s="468"/>
      <c r="HVN68" s="468"/>
      <c r="HVO68" s="468"/>
      <c r="HVP68" s="468"/>
      <c r="HVQ68" s="468"/>
      <c r="HVR68" s="468"/>
      <c r="HVS68" s="468"/>
      <c r="HVT68" s="469"/>
      <c r="HVU68" s="467"/>
      <c r="HVV68" s="468"/>
      <c r="HVW68" s="468"/>
      <c r="HVX68" s="468"/>
      <c r="HVY68" s="468"/>
      <c r="HVZ68" s="468"/>
      <c r="HWA68" s="468"/>
      <c r="HWB68" s="468"/>
      <c r="HWC68" s="468"/>
      <c r="HWD68" s="468"/>
      <c r="HWE68" s="468"/>
      <c r="HWF68" s="468"/>
      <c r="HWG68" s="468"/>
      <c r="HWH68" s="468"/>
      <c r="HWI68" s="468"/>
      <c r="HWJ68" s="468"/>
      <c r="HWK68" s="468"/>
      <c r="HWL68" s="468"/>
      <c r="HWM68" s="468"/>
      <c r="HWN68" s="468"/>
      <c r="HWO68" s="468"/>
      <c r="HWP68" s="468"/>
      <c r="HWQ68" s="468"/>
      <c r="HWR68" s="468"/>
      <c r="HWS68" s="468"/>
      <c r="HWT68" s="468"/>
      <c r="HWU68" s="468"/>
      <c r="HWV68" s="468"/>
      <c r="HWW68" s="468"/>
      <c r="HWX68" s="469"/>
      <c r="HWY68" s="467"/>
      <c r="HWZ68" s="468"/>
      <c r="HXA68" s="468"/>
      <c r="HXB68" s="468"/>
      <c r="HXC68" s="468"/>
      <c r="HXD68" s="468"/>
      <c r="HXE68" s="468"/>
      <c r="HXF68" s="468"/>
      <c r="HXG68" s="468"/>
      <c r="HXH68" s="468"/>
      <c r="HXI68" s="468"/>
      <c r="HXJ68" s="468"/>
      <c r="HXK68" s="468"/>
      <c r="HXL68" s="468"/>
      <c r="HXM68" s="468"/>
      <c r="HXN68" s="468"/>
      <c r="HXO68" s="468"/>
      <c r="HXP68" s="468"/>
      <c r="HXQ68" s="468"/>
      <c r="HXR68" s="468"/>
      <c r="HXS68" s="468"/>
      <c r="HXT68" s="468"/>
      <c r="HXU68" s="468"/>
      <c r="HXV68" s="468"/>
      <c r="HXW68" s="468"/>
      <c r="HXX68" s="468"/>
      <c r="HXY68" s="468"/>
      <c r="HXZ68" s="468"/>
      <c r="HYA68" s="468"/>
      <c r="HYB68" s="469"/>
      <c r="HYC68" s="467"/>
      <c r="HYD68" s="468"/>
      <c r="HYE68" s="468"/>
      <c r="HYF68" s="468"/>
      <c r="HYG68" s="468"/>
      <c r="HYH68" s="468"/>
      <c r="HYI68" s="468"/>
      <c r="HYJ68" s="468"/>
      <c r="HYK68" s="468"/>
      <c r="HYL68" s="468"/>
      <c r="HYM68" s="468"/>
      <c r="HYN68" s="468"/>
      <c r="HYO68" s="468"/>
      <c r="HYP68" s="468"/>
      <c r="HYQ68" s="468"/>
      <c r="HYR68" s="468"/>
      <c r="HYS68" s="468"/>
      <c r="HYT68" s="468"/>
      <c r="HYU68" s="468"/>
      <c r="HYV68" s="468"/>
      <c r="HYW68" s="468"/>
      <c r="HYX68" s="468"/>
      <c r="HYY68" s="468"/>
      <c r="HYZ68" s="468"/>
      <c r="HZA68" s="468"/>
      <c r="HZB68" s="468"/>
      <c r="HZC68" s="468"/>
      <c r="HZD68" s="468"/>
      <c r="HZE68" s="468"/>
      <c r="HZF68" s="469"/>
      <c r="HZG68" s="467"/>
      <c r="HZH68" s="468"/>
      <c r="HZI68" s="468"/>
      <c r="HZJ68" s="468"/>
      <c r="HZK68" s="468"/>
      <c r="HZL68" s="468"/>
      <c r="HZM68" s="468"/>
      <c r="HZN68" s="468"/>
      <c r="HZO68" s="468"/>
      <c r="HZP68" s="468"/>
      <c r="HZQ68" s="468"/>
      <c r="HZR68" s="468"/>
      <c r="HZS68" s="468"/>
      <c r="HZT68" s="468"/>
      <c r="HZU68" s="468"/>
      <c r="HZV68" s="468"/>
      <c r="HZW68" s="468"/>
      <c r="HZX68" s="468"/>
      <c r="HZY68" s="468"/>
      <c r="HZZ68" s="468"/>
      <c r="IAA68" s="468"/>
      <c r="IAB68" s="468"/>
      <c r="IAC68" s="468"/>
      <c r="IAD68" s="468"/>
      <c r="IAE68" s="468"/>
      <c r="IAF68" s="468"/>
      <c r="IAG68" s="468"/>
      <c r="IAH68" s="468"/>
      <c r="IAI68" s="468"/>
      <c r="IAJ68" s="469"/>
      <c r="IAK68" s="467"/>
      <c r="IAL68" s="468"/>
      <c r="IAM68" s="468"/>
      <c r="IAN68" s="468"/>
      <c r="IAO68" s="468"/>
      <c r="IAP68" s="468"/>
      <c r="IAQ68" s="468"/>
      <c r="IAR68" s="468"/>
      <c r="IAS68" s="468"/>
      <c r="IAT68" s="468"/>
      <c r="IAU68" s="468"/>
      <c r="IAV68" s="468"/>
      <c r="IAW68" s="468"/>
      <c r="IAX68" s="468"/>
      <c r="IAY68" s="468"/>
      <c r="IAZ68" s="468"/>
      <c r="IBA68" s="468"/>
      <c r="IBB68" s="468"/>
      <c r="IBC68" s="468"/>
      <c r="IBD68" s="468"/>
      <c r="IBE68" s="468"/>
      <c r="IBF68" s="468"/>
      <c r="IBG68" s="468"/>
      <c r="IBH68" s="468"/>
      <c r="IBI68" s="468"/>
      <c r="IBJ68" s="468"/>
      <c r="IBK68" s="468"/>
      <c r="IBL68" s="468"/>
      <c r="IBM68" s="468"/>
      <c r="IBN68" s="469"/>
      <c r="IBO68" s="467"/>
      <c r="IBP68" s="468"/>
      <c r="IBQ68" s="468"/>
      <c r="IBR68" s="468"/>
      <c r="IBS68" s="468"/>
      <c r="IBT68" s="468"/>
      <c r="IBU68" s="468"/>
      <c r="IBV68" s="468"/>
      <c r="IBW68" s="468"/>
      <c r="IBX68" s="468"/>
      <c r="IBY68" s="468"/>
      <c r="IBZ68" s="468"/>
      <c r="ICA68" s="468"/>
      <c r="ICB68" s="468"/>
      <c r="ICC68" s="468"/>
      <c r="ICD68" s="468"/>
      <c r="ICE68" s="468"/>
      <c r="ICF68" s="468"/>
      <c r="ICG68" s="468"/>
      <c r="ICH68" s="468"/>
      <c r="ICI68" s="468"/>
      <c r="ICJ68" s="468"/>
      <c r="ICK68" s="468"/>
      <c r="ICL68" s="468"/>
      <c r="ICM68" s="468"/>
      <c r="ICN68" s="468"/>
      <c r="ICO68" s="468"/>
      <c r="ICP68" s="468"/>
      <c r="ICQ68" s="468"/>
      <c r="ICR68" s="469"/>
      <c r="ICS68" s="467"/>
      <c r="ICT68" s="468"/>
      <c r="ICU68" s="468"/>
      <c r="ICV68" s="468"/>
      <c r="ICW68" s="468"/>
      <c r="ICX68" s="468"/>
      <c r="ICY68" s="468"/>
      <c r="ICZ68" s="468"/>
      <c r="IDA68" s="468"/>
      <c r="IDB68" s="468"/>
      <c r="IDC68" s="468"/>
      <c r="IDD68" s="468"/>
      <c r="IDE68" s="468"/>
      <c r="IDF68" s="468"/>
      <c r="IDG68" s="468"/>
      <c r="IDH68" s="468"/>
      <c r="IDI68" s="468"/>
      <c r="IDJ68" s="468"/>
      <c r="IDK68" s="468"/>
      <c r="IDL68" s="468"/>
      <c r="IDM68" s="468"/>
      <c r="IDN68" s="468"/>
      <c r="IDO68" s="468"/>
      <c r="IDP68" s="468"/>
      <c r="IDQ68" s="468"/>
      <c r="IDR68" s="468"/>
      <c r="IDS68" s="468"/>
      <c r="IDT68" s="468"/>
      <c r="IDU68" s="468"/>
      <c r="IDV68" s="469"/>
      <c r="IDW68" s="467"/>
      <c r="IDX68" s="468"/>
      <c r="IDY68" s="468"/>
      <c r="IDZ68" s="468"/>
      <c r="IEA68" s="468"/>
      <c r="IEB68" s="468"/>
      <c r="IEC68" s="468"/>
      <c r="IED68" s="468"/>
      <c r="IEE68" s="468"/>
      <c r="IEF68" s="468"/>
      <c r="IEG68" s="468"/>
      <c r="IEH68" s="468"/>
      <c r="IEI68" s="468"/>
      <c r="IEJ68" s="468"/>
      <c r="IEK68" s="468"/>
      <c r="IEL68" s="468"/>
      <c r="IEM68" s="468"/>
      <c r="IEN68" s="468"/>
      <c r="IEO68" s="468"/>
      <c r="IEP68" s="468"/>
      <c r="IEQ68" s="468"/>
      <c r="IER68" s="468"/>
      <c r="IES68" s="468"/>
      <c r="IET68" s="468"/>
      <c r="IEU68" s="468"/>
      <c r="IEV68" s="468"/>
      <c r="IEW68" s="468"/>
      <c r="IEX68" s="468"/>
      <c r="IEY68" s="468"/>
      <c r="IEZ68" s="469"/>
      <c r="IFA68" s="467"/>
      <c r="IFB68" s="468"/>
      <c r="IFC68" s="468"/>
      <c r="IFD68" s="468"/>
      <c r="IFE68" s="468"/>
      <c r="IFF68" s="468"/>
      <c r="IFG68" s="468"/>
      <c r="IFH68" s="468"/>
      <c r="IFI68" s="468"/>
      <c r="IFJ68" s="468"/>
      <c r="IFK68" s="468"/>
      <c r="IFL68" s="468"/>
      <c r="IFM68" s="468"/>
      <c r="IFN68" s="468"/>
      <c r="IFO68" s="468"/>
      <c r="IFP68" s="468"/>
      <c r="IFQ68" s="468"/>
      <c r="IFR68" s="468"/>
      <c r="IFS68" s="468"/>
      <c r="IFT68" s="468"/>
      <c r="IFU68" s="468"/>
      <c r="IFV68" s="468"/>
      <c r="IFW68" s="468"/>
      <c r="IFX68" s="468"/>
      <c r="IFY68" s="468"/>
      <c r="IFZ68" s="468"/>
      <c r="IGA68" s="468"/>
      <c r="IGB68" s="468"/>
      <c r="IGC68" s="468"/>
      <c r="IGD68" s="469"/>
      <c r="IGE68" s="467"/>
      <c r="IGF68" s="468"/>
      <c r="IGG68" s="468"/>
      <c r="IGH68" s="468"/>
      <c r="IGI68" s="468"/>
      <c r="IGJ68" s="468"/>
      <c r="IGK68" s="468"/>
      <c r="IGL68" s="468"/>
      <c r="IGM68" s="468"/>
      <c r="IGN68" s="468"/>
      <c r="IGO68" s="468"/>
      <c r="IGP68" s="468"/>
      <c r="IGQ68" s="468"/>
      <c r="IGR68" s="468"/>
      <c r="IGS68" s="468"/>
      <c r="IGT68" s="468"/>
      <c r="IGU68" s="468"/>
      <c r="IGV68" s="468"/>
      <c r="IGW68" s="468"/>
      <c r="IGX68" s="468"/>
      <c r="IGY68" s="468"/>
      <c r="IGZ68" s="468"/>
      <c r="IHA68" s="468"/>
      <c r="IHB68" s="468"/>
      <c r="IHC68" s="468"/>
      <c r="IHD68" s="468"/>
      <c r="IHE68" s="468"/>
      <c r="IHF68" s="468"/>
      <c r="IHG68" s="468"/>
      <c r="IHH68" s="469"/>
      <c r="IHI68" s="467"/>
      <c r="IHJ68" s="468"/>
      <c r="IHK68" s="468"/>
      <c r="IHL68" s="468"/>
      <c r="IHM68" s="468"/>
      <c r="IHN68" s="468"/>
      <c r="IHO68" s="468"/>
      <c r="IHP68" s="468"/>
      <c r="IHQ68" s="468"/>
      <c r="IHR68" s="468"/>
      <c r="IHS68" s="468"/>
      <c r="IHT68" s="468"/>
      <c r="IHU68" s="468"/>
      <c r="IHV68" s="468"/>
      <c r="IHW68" s="468"/>
      <c r="IHX68" s="468"/>
      <c r="IHY68" s="468"/>
      <c r="IHZ68" s="468"/>
      <c r="IIA68" s="468"/>
      <c r="IIB68" s="468"/>
      <c r="IIC68" s="468"/>
      <c r="IID68" s="468"/>
      <c r="IIE68" s="468"/>
      <c r="IIF68" s="468"/>
      <c r="IIG68" s="468"/>
      <c r="IIH68" s="468"/>
      <c r="III68" s="468"/>
      <c r="IIJ68" s="468"/>
      <c r="IIK68" s="468"/>
      <c r="IIL68" s="469"/>
      <c r="IIM68" s="467"/>
      <c r="IIN68" s="468"/>
      <c r="IIO68" s="468"/>
      <c r="IIP68" s="468"/>
      <c r="IIQ68" s="468"/>
      <c r="IIR68" s="468"/>
      <c r="IIS68" s="468"/>
      <c r="IIT68" s="468"/>
      <c r="IIU68" s="468"/>
      <c r="IIV68" s="468"/>
      <c r="IIW68" s="468"/>
      <c r="IIX68" s="468"/>
      <c r="IIY68" s="468"/>
      <c r="IIZ68" s="468"/>
      <c r="IJA68" s="468"/>
      <c r="IJB68" s="468"/>
      <c r="IJC68" s="468"/>
      <c r="IJD68" s="468"/>
      <c r="IJE68" s="468"/>
      <c r="IJF68" s="468"/>
      <c r="IJG68" s="468"/>
      <c r="IJH68" s="468"/>
      <c r="IJI68" s="468"/>
      <c r="IJJ68" s="468"/>
      <c r="IJK68" s="468"/>
      <c r="IJL68" s="468"/>
      <c r="IJM68" s="468"/>
      <c r="IJN68" s="468"/>
      <c r="IJO68" s="468"/>
      <c r="IJP68" s="469"/>
      <c r="IJQ68" s="467"/>
      <c r="IJR68" s="468"/>
      <c r="IJS68" s="468"/>
      <c r="IJT68" s="468"/>
      <c r="IJU68" s="468"/>
      <c r="IJV68" s="468"/>
      <c r="IJW68" s="468"/>
      <c r="IJX68" s="468"/>
      <c r="IJY68" s="468"/>
      <c r="IJZ68" s="468"/>
      <c r="IKA68" s="468"/>
      <c r="IKB68" s="468"/>
      <c r="IKC68" s="468"/>
      <c r="IKD68" s="468"/>
      <c r="IKE68" s="468"/>
      <c r="IKF68" s="468"/>
      <c r="IKG68" s="468"/>
      <c r="IKH68" s="468"/>
      <c r="IKI68" s="468"/>
      <c r="IKJ68" s="468"/>
      <c r="IKK68" s="468"/>
      <c r="IKL68" s="468"/>
      <c r="IKM68" s="468"/>
      <c r="IKN68" s="468"/>
      <c r="IKO68" s="468"/>
      <c r="IKP68" s="468"/>
      <c r="IKQ68" s="468"/>
      <c r="IKR68" s="468"/>
      <c r="IKS68" s="468"/>
      <c r="IKT68" s="469"/>
      <c r="IKU68" s="467"/>
      <c r="IKV68" s="468"/>
      <c r="IKW68" s="468"/>
      <c r="IKX68" s="468"/>
      <c r="IKY68" s="468"/>
      <c r="IKZ68" s="468"/>
      <c r="ILA68" s="468"/>
      <c r="ILB68" s="468"/>
      <c r="ILC68" s="468"/>
      <c r="ILD68" s="468"/>
      <c r="ILE68" s="468"/>
      <c r="ILF68" s="468"/>
      <c r="ILG68" s="468"/>
      <c r="ILH68" s="468"/>
      <c r="ILI68" s="468"/>
      <c r="ILJ68" s="468"/>
      <c r="ILK68" s="468"/>
      <c r="ILL68" s="468"/>
      <c r="ILM68" s="468"/>
      <c r="ILN68" s="468"/>
      <c r="ILO68" s="468"/>
      <c r="ILP68" s="468"/>
      <c r="ILQ68" s="468"/>
      <c r="ILR68" s="468"/>
      <c r="ILS68" s="468"/>
      <c r="ILT68" s="468"/>
      <c r="ILU68" s="468"/>
      <c r="ILV68" s="468"/>
      <c r="ILW68" s="468"/>
      <c r="ILX68" s="469"/>
      <c r="ILY68" s="467"/>
      <c r="ILZ68" s="468"/>
      <c r="IMA68" s="468"/>
      <c r="IMB68" s="468"/>
      <c r="IMC68" s="468"/>
      <c r="IMD68" s="468"/>
      <c r="IME68" s="468"/>
      <c r="IMF68" s="468"/>
      <c r="IMG68" s="468"/>
      <c r="IMH68" s="468"/>
      <c r="IMI68" s="468"/>
      <c r="IMJ68" s="468"/>
      <c r="IMK68" s="468"/>
      <c r="IML68" s="468"/>
      <c r="IMM68" s="468"/>
      <c r="IMN68" s="468"/>
      <c r="IMO68" s="468"/>
      <c r="IMP68" s="468"/>
      <c r="IMQ68" s="468"/>
      <c r="IMR68" s="468"/>
      <c r="IMS68" s="468"/>
      <c r="IMT68" s="468"/>
      <c r="IMU68" s="468"/>
      <c r="IMV68" s="468"/>
      <c r="IMW68" s="468"/>
      <c r="IMX68" s="468"/>
      <c r="IMY68" s="468"/>
      <c r="IMZ68" s="468"/>
      <c r="INA68" s="468"/>
      <c r="INB68" s="469"/>
      <c r="INC68" s="467"/>
      <c r="IND68" s="468"/>
      <c r="INE68" s="468"/>
      <c r="INF68" s="468"/>
      <c r="ING68" s="468"/>
      <c r="INH68" s="468"/>
      <c r="INI68" s="468"/>
      <c r="INJ68" s="468"/>
      <c r="INK68" s="468"/>
      <c r="INL68" s="468"/>
      <c r="INM68" s="468"/>
      <c r="INN68" s="468"/>
      <c r="INO68" s="468"/>
      <c r="INP68" s="468"/>
      <c r="INQ68" s="468"/>
      <c r="INR68" s="468"/>
      <c r="INS68" s="468"/>
      <c r="INT68" s="468"/>
      <c r="INU68" s="468"/>
      <c r="INV68" s="468"/>
      <c r="INW68" s="468"/>
      <c r="INX68" s="468"/>
      <c r="INY68" s="468"/>
      <c r="INZ68" s="468"/>
      <c r="IOA68" s="468"/>
      <c r="IOB68" s="468"/>
      <c r="IOC68" s="468"/>
      <c r="IOD68" s="468"/>
      <c r="IOE68" s="468"/>
      <c r="IOF68" s="469"/>
      <c r="IOG68" s="467"/>
      <c r="IOH68" s="468"/>
      <c r="IOI68" s="468"/>
      <c r="IOJ68" s="468"/>
      <c r="IOK68" s="468"/>
      <c r="IOL68" s="468"/>
      <c r="IOM68" s="468"/>
      <c r="ION68" s="468"/>
      <c r="IOO68" s="468"/>
      <c r="IOP68" s="468"/>
      <c r="IOQ68" s="468"/>
      <c r="IOR68" s="468"/>
      <c r="IOS68" s="468"/>
      <c r="IOT68" s="468"/>
      <c r="IOU68" s="468"/>
      <c r="IOV68" s="468"/>
      <c r="IOW68" s="468"/>
      <c r="IOX68" s="468"/>
      <c r="IOY68" s="468"/>
      <c r="IOZ68" s="468"/>
      <c r="IPA68" s="468"/>
      <c r="IPB68" s="468"/>
      <c r="IPC68" s="468"/>
      <c r="IPD68" s="468"/>
      <c r="IPE68" s="468"/>
      <c r="IPF68" s="468"/>
      <c r="IPG68" s="468"/>
      <c r="IPH68" s="468"/>
      <c r="IPI68" s="468"/>
      <c r="IPJ68" s="469"/>
      <c r="IPK68" s="467"/>
      <c r="IPL68" s="468"/>
      <c r="IPM68" s="468"/>
      <c r="IPN68" s="468"/>
      <c r="IPO68" s="468"/>
      <c r="IPP68" s="468"/>
      <c r="IPQ68" s="468"/>
      <c r="IPR68" s="468"/>
      <c r="IPS68" s="468"/>
      <c r="IPT68" s="468"/>
      <c r="IPU68" s="468"/>
      <c r="IPV68" s="468"/>
      <c r="IPW68" s="468"/>
      <c r="IPX68" s="468"/>
      <c r="IPY68" s="468"/>
      <c r="IPZ68" s="468"/>
      <c r="IQA68" s="468"/>
      <c r="IQB68" s="468"/>
      <c r="IQC68" s="468"/>
      <c r="IQD68" s="468"/>
      <c r="IQE68" s="468"/>
      <c r="IQF68" s="468"/>
      <c r="IQG68" s="468"/>
      <c r="IQH68" s="468"/>
      <c r="IQI68" s="468"/>
      <c r="IQJ68" s="468"/>
      <c r="IQK68" s="468"/>
      <c r="IQL68" s="468"/>
      <c r="IQM68" s="468"/>
      <c r="IQN68" s="469"/>
      <c r="IQO68" s="467"/>
      <c r="IQP68" s="468"/>
      <c r="IQQ68" s="468"/>
      <c r="IQR68" s="468"/>
      <c r="IQS68" s="468"/>
      <c r="IQT68" s="468"/>
      <c r="IQU68" s="468"/>
      <c r="IQV68" s="468"/>
      <c r="IQW68" s="468"/>
      <c r="IQX68" s="468"/>
      <c r="IQY68" s="468"/>
      <c r="IQZ68" s="468"/>
      <c r="IRA68" s="468"/>
      <c r="IRB68" s="468"/>
      <c r="IRC68" s="468"/>
      <c r="IRD68" s="468"/>
      <c r="IRE68" s="468"/>
      <c r="IRF68" s="468"/>
      <c r="IRG68" s="468"/>
      <c r="IRH68" s="468"/>
      <c r="IRI68" s="468"/>
      <c r="IRJ68" s="468"/>
      <c r="IRK68" s="468"/>
      <c r="IRL68" s="468"/>
      <c r="IRM68" s="468"/>
      <c r="IRN68" s="468"/>
      <c r="IRO68" s="468"/>
      <c r="IRP68" s="468"/>
      <c r="IRQ68" s="468"/>
      <c r="IRR68" s="469"/>
      <c r="IRS68" s="467"/>
      <c r="IRT68" s="468"/>
      <c r="IRU68" s="468"/>
      <c r="IRV68" s="468"/>
      <c r="IRW68" s="468"/>
      <c r="IRX68" s="468"/>
      <c r="IRY68" s="468"/>
      <c r="IRZ68" s="468"/>
      <c r="ISA68" s="468"/>
      <c r="ISB68" s="468"/>
      <c r="ISC68" s="468"/>
      <c r="ISD68" s="468"/>
      <c r="ISE68" s="468"/>
      <c r="ISF68" s="468"/>
      <c r="ISG68" s="468"/>
      <c r="ISH68" s="468"/>
      <c r="ISI68" s="468"/>
      <c r="ISJ68" s="468"/>
      <c r="ISK68" s="468"/>
      <c r="ISL68" s="468"/>
      <c r="ISM68" s="468"/>
      <c r="ISN68" s="468"/>
      <c r="ISO68" s="468"/>
      <c r="ISP68" s="468"/>
      <c r="ISQ68" s="468"/>
      <c r="ISR68" s="468"/>
      <c r="ISS68" s="468"/>
      <c r="IST68" s="468"/>
      <c r="ISU68" s="468"/>
      <c r="ISV68" s="469"/>
      <c r="ISW68" s="467"/>
      <c r="ISX68" s="468"/>
      <c r="ISY68" s="468"/>
      <c r="ISZ68" s="468"/>
      <c r="ITA68" s="468"/>
      <c r="ITB68" s="468"/>
      <c r="ITC68" s="468"/>
      <c r="ITD68" s="468"/>
      <c r="ITE68" s="468"/>
      <c r="ITF68" s="468"/>
      <c r="ITG68" s="468"/>
      <c r="ITH68" s="468"/>
      <c r="ITI68" s="468"/>
      <c r="ITJ68" s="468"/>
      <c r="ITK68" s="468"/>
      <c r="ITL68" s="468"/>
      <c r="ITM68" s="468"/>
      <c r="ITN68" s="468"/>
      <c r="ITO68" s="468"/>
      <c r="ITP68" s="468"/>
      <c r="ITQ68" s="468"/>
      <c r="ITR68" s="468"/>
      <c r="ITS68" s="468"/>
      <c r="ITT68" s="468"/>
      <c r="ITU68" s="468"/>
      <c r="ITV68" s="468"/>
      <c r="ITW68" s="468"/>
      <c r="ITX68" s="468"/>
      <c r="ITY68" s="468"/>
      <c r="ITZ68" s="469"/>
      <c r="IUA68" s="467"/>
      <c r="IUB68" s="468"/>
      <c r="IUC68" s="468"/>
      <c r="IUD68" s="468"/>
      <c r="IUE68" s="468"/>
      <c r="IUF68" s="468"/>
      <c r="IUG68" s="468"/>
      <c r="IUH68" s="468"/>
      <c r="IUI68" s="468"/>
      <c r="IUJ68" s="468"/>
      <c r="IUK68" s="468"/>
      <c r="IUL68" s="468"/>
      <c r="IUM68" s="468"/>
      <c r="IUN68" s="468"/>
      <c r="IUO68" s="468"/>
      <c r="IUP68" s="468"/>
      <c r="IUQ68" s="468"/>
      <c r="IUR68" s="468"/>
      <c r="IUS68" s="468"/>
      <c r="IUT68" s="468"/>
      <c r="IUU68" s="468"/>
      <c r="IUV68" s="468"/>
      <c r="IUW68" s="468"/>
      <c r="IUX68" s="468"/>
      <c r="IUY68" s="468"/>
      <c r="IUZ68" s="468"/>
      <c r="IVA68" s="468"/>
      <c r="IVB68" s="468"/>
      <c r="IVC68" s="468"/>
      <c r="IVD68" s="469"/>
      <c r="IVE68" s="467"/>
      <c r="IVF68" s="468"/>
      <c r="IVG68" s="468"/>
      <c r="IVH68" s="468"/>
      <c r="IVI68" s="468"/>
      <c r="IVJ68" s="468"/>
      <c r="IVK68" s="468"/>
      <c r="IVL68" s="468"/>
      <c r="IVM68" s="468"/>
      <c r="IVN68" s="468"/>
      <c r="IVO68" s="468"/>
      <c r="IVP68" s="468"/>
      <c r="IVQ68" s="468"/>
      <c r="IVR68" s="468"/>
      <c r="IVS68" s="468"/>
      <c r="IVT68" s="468"/>
      <c r="IVU68" s="468"/>
      <c r="IVV68" s="468"/>
      <c r="IVW68" s="468"/>
      <c r="IVX68" s="468"/>
      <c r="IVY68" s="468"/>
      <c r="IVZ68" s="468"/>
      <c r="IWA68" s="468"/>
      <c r="IWB68" s="468"/>
      <c r="IWC68" s="468"/>
      <c r="IWD68" s="468"/>
      <c r="IWE68" s="468"/>
      <c r="IWF68" s="468"/>
      <c r="IWG68" s="468"/>
      <c r="IWH68" s="469"/>
      <c r="IWI68" s="467"/>
      <c r="IWJ68" s="468"/>
      <c r="IWK68" s="468"/>
      <c r="IWL68" s="468"/>
      <c r="IWM68" s="468"/>
      <c r="IWN68" s="468"/>
      <c r="IWO68" s="468"/>
      <c r="IWP68" s="468"/>
      <c r="IWQ68" s="468"/>
      <c r="IWR68" s="468"/>
      <c r="IWS68" s="468"/>
      <c r="IWT68" s="468"/>
      <c r="IWU68" s="468"/>
      <c r="IWV68" s="468"/>
      <c r="IWW68" s="468"/>
      <c r="IWX68" s="468"/>
      <c r="IWY68" s="468"/>
      <c r="IWZ68" s="468"/>
      <c r="IXA68" s="468"/>
      <c r="IXB68" s="468"/>
      <c r="IXC68" s="468"/>
      <c r="IXD68" s="468"/>
      <c r="IXE68" s="468"/>
      <c r="IXF68" s="468"/>
      <c r="IXG68" s="468"/>
      <c r="IXH68" s="468"/>
      <c r="IXI68" s="468"/>
      <c r="IXJ68" s="468"/>
      <c r="IXK68" s="468"/>
      <c r="IXL68" s="469"/>
      <c r="IXM68" s="467"/>
      <c r="IXN68" s="468"/>
      <c r="IXO68" s="468"/>
      <c r="IXP68" s="468"/>
      <c r="IXQ68" s="468"/>
      <c r="IXR68" s="468"/>
      <c r="IXS68" s="468"/>
      <c r="IXT68" s="468"/>
      <c r="IXU68" s="468"/>
      <c r="IXV68" s="468"/>
      <c r="IXW68" s="468"/>
      <c r="IXX68" s="468"/>
      <c r="IXY68" s="468"/>
      <c r="IXZ68" s="468"/>
      <c r="IYA68" s="468"/>
      <c r="IYB68" s="468"/>
      <c r="IYC68" s="468"/>
      <c r="IYD68" s="468"/>
      <c r="IYE68" s="468"/>
      <c r="IYF68" s="468"/>
      <c r="IYG68" s="468"/>
      <c r="IYH68" s="468"/>
      <c r="IYI68" s="468"/>
      <c r="IYJ68" s="468"/>
      <c r="IYK68" s="468"/>
      <c r="IYL68" s="468"/>
      <c r="IYM68" s="468"/>
      <c r="IYN68" s="468"/>
      <c r="IYO68" s="468"/>
      <c r="IYP68" s="469"/>
      <c r="IYQ68" s="467"/>
      <c r="IYR68" s="468"/>
      <c r="IYS68" s="468"/>
      <c r="IYT68" s="468"/>
      <c r="IYU68" s="468"/>
      <c r="IYV68" s="468"/>
      <c r="IYW68" s="468"/>
      <c r="IYX68" s="468"/>
      <c r="IYY68" s="468"/>
      <c r="IYZ68" s="468"/>
      <c r="IZA68" s="468"/>
      <c r="IZB68" s="468"/>
      <c r="IZC68" s="468"/>
      <c r="IZD68" s="468"/>
      <c r="IZE68" s="468"/>
      <c r="IZF68" s="468"/>
      <c r="IZG68" s="468"/>
      <c r="IZH68" s="468"/>
      <c r="IZI68" s="468"/>
      <c r="IZJ68" s="468"/>
      <c r="IZK68" s="468"/>
      <c r="IZL68" s="468"/>
      <c r="IZM68" s="468"/>
      <c r="IZN68" s="468"/>
      <c r="IZO68" s="468"/>
      <c r="IZP68" s="468"/>
      <c r="IZQ68" s="468"/>
      <c r="IZR68" s="468"/>
      <c r="IZS68" s="468"/>
      <c r="IZT68" s="469"/>
      <c r="IZU68" s="467"/>
      <c r="IZV68" s="468"/>
      <c r="IZW68" s="468"/>
      <c r="IZX68" s="468"/>
      <c r="IZY68" s="468"/>
      <c r="IZZ68" s="468"/>
      <c r="JAA68" s="468"/>
      <c r="JAB68" s="468"/>
      <c r="JAC68" s="468"/>
      <c r="JAD68" s="468"/>
      <c r="JAE68" s="468"/>
      <c r="JAF68" s="468"/>
      <c r="JAG68" s="468"/>
      <c r="JAH68" s="468"/>
      <c r="JAI68" s="468"/>
      <c r="JAJ68" s="468"/>
      <c r="JAK68" s="468"/>
      <c r="JAL68" s="468"/>
      <c r="JAM68" s="468"/>
      <c r="JAN68" s="468"/>
      <c r="JAO68" s="468"/>
      <c r="JAP68" s="468"/>
      <c r="JAQ68" s="468"/>
      <c r="JAR68" s="468"/>
      <c r="JAS68" s="468"/>
      <c r="JAT68" s="468"/>
      <c r="JAU68" s="468"/>
      <c r="JAV68" s="468"/>
      <c r="JAW68" s="468"/>
      <c r="JAX68" s="469"/>
      <c r="JAY68" s="467"/>
      <c r="JAZ68" s="468"/>
      <c r="JBA68" s="468"/>
      <c r="JBB68" s="468"/>
      <c r="JBC68" s="468"/>
      <c r="JBD68" s="468"/>
      <c r="JBE68" s="468"/>
      <c r="JBF68" s="468"/>
      <c r="JBG68" s="468"/>
      <c r="JBH68" s="468"/>
      <c r="JBI68" s="468"/>
      <c r="JBJ68" s="468"/>
      <c r="JBK68" s="468"/>
      <c r="JBL68" s="468"/>
      <c r="JBM68" s="468"/>
      <c r="JBN68" s="468"/>
      <c r="JBO68" s="468"/>
      <c r="JBP68" s="468"/>
      <c r="JBQ68" s="468"/>
      <c r="JBR68" s="468"/>
      <c r="JBS68" s="468"/>
      <c r="JBT68" s="468"/>
      <c r="JBU68" s="468"/>
      <c r="JBV68" s="468"/>
      <c r="JBW68" s="468"/>
      <c r="JBX68" s="468"/>
      <c r="JBY68" s="468"/>
      <c r="JBZ68" s="468"/>
      <c r="JCA68" s="468"/>
      <c r="JCB68" s="469"/>
      <c r="JCC68" s="467"/>
      <c r="JCD68" s="468"/>
      <c r="JCE68" s="468"/>
      <c r="JCF68" s="468"/>
      <c r="JCG68" s="468"/>
      <c r="JCH68" s="468"/>
      <c r="JCI68" s="468"/>
      <c r="JCJ68" s="468"/>
      <c r="JCK68" s="468"/>
      <c r="JCL68" s="468"/>
      <c r="JCM68" s="468"/>
      <c r="JCN68" s="468"/>
      <c r="JCO68" s="468"/>
      <c r="JCP68" s="468"/>
      <c r="JCQ68" s="468"/>
      <c r="JCR68" s="468"/>
      <c r="JCS68" s="468"/>
      <c r="JCT68" s="468"/>
      <c r="JCU68" s="468"/>
      <c r="JCV68" s="468"/>
      <c r="JCW68" s="468"/>
      <c r="JCX68" s="468"/>
      <c r="JCY68" s="468"/>
      <c r="JCZ68" s="468"/>
      <c r="JDA68" s="468"/>
      <c r="JDB68" s="468"/>
      <c r="JDC68" s="468"/>
      <c r="JDD68" s="468"/>
      <c r="JDE68" s="468"/>
      <c r="JDF68" s="469"/>
      <c r="JDG68" s="467"/>
      <c r="JDH68" s="468"/>
      <c r="JDI68" s="468"/>
      <c r="JDJ68" s="468"/>
      <c r="JDK68" s="468"/>
      <c r="JDL68" s="468"/>
      <c r="JDM68" s="468"/>
      <c r="JDN68" s="468"/>
      <c r="JDO68" s="468"/>
      <c r="JDP68" s="468"/>
      <c r="JDQ68" s="468"/>
      <c r="JDR68" s="468"/>
      <c r="JDS68" s="468"/>
      <c r="JDT68" s="468"/>
      <c r="JDU68" s="468"/>
      <c r="JDV68" s="468"/>
      <c r="JDW68" s="468"/>
      <c r="JDX68" s="468"/>
      <c r="JDY68" s="468"/>
      <c r="JDZ68" s="468"/>
      <c r="JEA68" s="468"/>
      <c r="JEB68" s="468"/>
      <c r="JEC68" s="468"/>
      <c r="JED68" s="468"/>
      <c r="JEE68" s="468"/>
      <c r="JEF68" s="468"/>
      <c r="JEG68" s="468"/>
      <c r="JEH68" s="468"/>
      <c r="JEI68" s="468"/>
      <c r="JEJ68" s="469"/>
      <c r="JEK68" s="467"/>
      <c r="JEL68" s="468"/>
      <c r="JEM68" s="468"/>
      <c r="JEN68" s="468"/>
      <c r="JEO68" s="468"/>
      <c r="JEP68" s="468"/>
      <c r="JEQ68" s="468"/>
      <c r="JER68" s="468"/>
      <c r="JES68" s="468"/>
      <c r="JET68" s="468"/>
      <c r="JEU68" s="468"/>
      <c r="JEV68" s="468"/>
      <c r="JEW68" s="468"/>
      <c r="JEX68" s="468"/>
      <c r="JEY68" s="468"/>
      <c r="JEZ68" s="468"/>
      <c r="JFA68" s="468"/>
      <c r="JFB68" s="468"/>
      <c r="JFC68" s="468"/>
      <c r="JFD68" s="468"/>
      <c r="JFE68" s="468"/>
      <c r="JFF68" s="468"/>
      <c r="JFG68" s="468"/>
      <c r="JFH68" s="468"/>
      <c r="JFI68" s="468"/>
      <c r="JFJ68" s="468"/>
      <c r="JFK68" s="468"/>
      <c r="JFL68" s="468"/>
      <c r="JFM68" s="468"/>
      <c r="JFN68" s="469"/>
      <c r="JFO68" s="467"/>
      <c r="JFP68" s="468"/>
      <c r="JFQ68" s="468"/>
      <c r="JFR68" s="468"/>
      <c r="JFS68" s="468"/>
      <c r="JFT68" s="468"/>
      <c r="JFU68" s="468"/>
      <c r="JFV68" s="468"/>
      <c r="JFW68" s="468"/>
      <c r="JFX68" s="468"/>
      <c r="JFY68" s="468"/>
      <c r="JFZ68" s="468"/>
      <c r="JGA68" s="468"/>
      <c r="JGB68" s="468"/>
      <c r="JGC68" s="468"/>
      <c r="JGD68" s="468"/>
      <c r="JGE68" s="468"/>
      <c r="JGF68" s="468"/>
      <c r="JGG68" s="468"/>
      <c r="JGH68" s="468"/>
      <c r="JGI68" s="468"/>
      <c r="JGJ68" s="468"/>
      <c r="JGK68" s="468"/>
      <c r="JGL68" s="468"/>
      <c r="JGM68" s="468"/>
      <c r="JGN68" s="468"/>
      <c r="JGO68" s="468"/>
      <c r="JGP68" s="468"/>
      <c r="JGQ68" s="468"/>
      <c r="JGR68" s="469"/>
      <c r="JGS68" s="467"/>
      <c r="JGT68" s="468"/>
      <c r="JGU68" s="468"/>
      <c r="JGV68" s="468"/>
      <c r="JGW68" s="468"/>
      <c r="JGX68" s="468"/>
      <c r="JGY68" s="468"/>
      <c r="JGZ68" s="468"/>
      <c r="JHA68" s="468"/>
      <c r="JHB68" s="468"/>
      <c r="JHC68" s="468"/>
      <c r="JHD68" s="468"/>
      <c r="JHE68" s="468"/>
      <c r="JHF68" s="468"/>
      <c r="JHG68" s="468"/>
      <c r="JHH68" s="468"/>
      <c r="JHI68" s="468"/>
      <c r="JHJ68" s="468"/>
      <c r="JHK68" s="468"/>
      <c r="JHL68" s="468"/>
      <c r="JHM68" s="468"/>
      <c r="JHN68" s="468"/>
      <c r="JHO68" s="468"/>
      <c r="JHP68" s="468"/>
      <c r="JHQ68" s="468"/>
      <c r="JHR68" s="468"/>
      <c r="JHS68" s="468"/>
      <c r="JHT68" s="468"/>
      <c r="JHU68" s="468"/>
      <c r="JHV68" s="469"/>
      <c r="JHW68" s="467"/>
      <c r="JHX68" s="468"/>
      <c r="JHY68" s="468"/>
      <c r="JHZ68" s="468"/>
      <c r="JIA68" s="468"/>
      <c r="JIB68" s="468"/>
      <c r="JIC68" s="468"/>
      <c r="JID68" s="468"/>
      <c r="JIE68" s="468"/>
      <c r="JIF68" s="468"/>
      <c r="JIG68" s="468"/>
      <c r="JIH68" s="468"/>
      <c r="JII68" s="468"/>
      <c r="JIJ68" s="468"/>
      <c r="JIK68" s="468"/>
      <c r="JIL68" s="468"/>
      <c r="JIM68" s="468"/>
      <c r="JIN68" s="468"/>
      <c r="JIO68" s="468"/>
      <c r="JIP68" s="468"/>
      <c r="JIQ68" s="468"/>
      <c r="JIR68" s="468"/>
      <c r="JIS68" s="468"/>
      <c r="JIT68" s="468"/>
      <c r="JIU68" s="468"/>
      <c r="JIV68" s="468"/>
      <c r="JIW68" s="468"/>
      <c r="JIX68" s="468"/>
      <c r="JIY68" s="468"/>
      <c r="JIZ68" s="469"/>
      <c r="JJA68" s="467"/>
      <c r="JJB68" s="468"/>
      <c r="JJC68" s="468"/>
      <c r="JJD68" s="468"/>
      <c r="JJE68" s="468"/>
      <c r="JJF68" s="468"/>
      <c r="JJG68" s="468"/>
      <c r="JJH68" s="468"/>
      <c r="JJI68" s="468"/>
      <c r="JJJ68" s="468"/>
      <c r="JJK68" s="468"/>
      <c r="JJL68" s="468"/>
      <c r="JJM68" s="468"/>
      <c r="JJN68" s="468"/>
      <c r="JJO68" s="468"/>
      <c r="JJP68" s="468"/>
      <c r="JJQ68" s="468"/>
      <c r="JJR68" s="468"/>
      <c r="JJS68" s="468"/>
      <c r="JJT68" s="468"/>
      <c r="JJU68" s="468"/>
      <c r="JJV68" s="468"/>
      <c r="JJW68" s="468"/>
      <c r="JJX68" s="468"/>
      <c r="JJY68" s="468"/>
      <c r="JJZ68" s="468"/>
      <c r="JKA68" s="468"/>
      <c r="JKB68" s="468"/>
      <c r="JKC68" s="468"/>
      <c r="JKD68" s="469"/>
      <c r="JKE68" s="467"/>
      <c r="JKF68" s="468"/>
      <c r="JKG68" s="468"/>
      <c r="JKH68" s="468"/>
      <c r="JKI68" s="468"/>
      <c r="JKJ68" s="468"/>
      <c r="JKK68" s="468"/>
      <c r="JKL68" s="468"/>
      <c r="JKM68" s="468"/>
      <c r="JKN68" s="468"/>
      <c r="JKO68" s="468"/>
      <c r="JKP68" s="468"/>
      <c r="JKQ68" s="468"/>
      <c r="JKR68" s="468"/>
      <c r="JKS68" s="468"/>
      <c r="JKT68" s="468"/>
      <c r="JKU68" s="468"/>
      <c r="JKV68" s="468"/>
      <c r="JKW68" s="468"/>
      <c r="JKX68" s="468"/>
      <c r="JKY68" s="468"/>
      <c r="JKZ68" s="468"/>
      <c r="JLA68" s="468"/>
      <c r="JLB68" s="468"/>
      <c r="JLC68" s="468"/>
      <c r="JLD68" s="468"/>
      <c r="JLE68" s="468"/>
      <c r="JLF68" s="468"/>
      <c r="JLG68" s="468"/>
      <c r="JLH68" s="469"/>
      <c r="JLI68" s="467"/>
      <c r="JLJ68" s="468"/>
      <c r="JLK68" s="468"/>
      <c r="JLL68" s="468"/>
      <c r="JLM68" s="468"/>
      <c r="JLN68" s="468"/>
      <c r="JLO68" s="468"/>
      <c r="JLP68" s="468"/>
      <c r="JLQ68" s="468"/>
      <c r="JLR68" s="468"/>
      <c r="JLS68" s="468"/>
      <c r="JLT68" s="468"/>
      <c r="JLU68" s="468"/>
      <c r="JLV68" s="468"/>
      <c r="JLW68" s="468"/>
      <c r="JLX68" s="468"/>
      <c r="JLY68" s="468"/>
      <c r="JLZ68" s="468"/>
      <c r="JMA68" s="468"/>
      <c r="JMB68" s="468"/>
      <c r="JMC68" s="468"/>
      <c r="JMD68" s="468"/>
      <c r="JME68" s="468"/>
      <c r="JMF68" s="468"/>
      <c r="JMG68" s="468"/>
      <c r="JMH68" s="468"/>
      <c r="JMI68" s="468"/>
      <c r="JMJ68" s="468"/>
      <c r="JMK68" s="468"/>
      <c r="JML68" s="469"/>
      <c r="JMM68" s="467"/>
      <c r="JMN68" s="468"/>
      <c r="JMO68" s="468"/>
      <c r="JMP68" s="468"/>
      <c r="JMQ68" s="468"/>
      <c r="JMR68" s="468"/>
      <c r="JMS68" s="468"/>
      <c r="JMT68" s="468"/>
      <c r="JMU68" s="468"/>
      <c r="JMV68" s="468"/>
      <c r="JMW68" s="468"/>
      <c r="JMX68" s="468"/>
      <c r="JMY68" s="468"/>
      <c r="JMZ68" s="468"/>
      <c r="JNA68" s="468"/>
      <c r="JNB68" s="468"/>
      <c r="JNC68" s="468"/>
      <c r="JND68" s="468"/>
      <c r="JNE68" s="468"/>
      <c r="JNF68" s="468"/>
      <c r="JNG68" s="468"/>
      <c r="JNH68" s="468"/>
      <c r="JNI68" s="468"/>
      <c r="JNJ68" s="468"/>
      <c r="JNK68" s="468"/>
      <c r="JNL68" s="468"/>
      <c r="JNM68" s="468"/>
      <c r="JNN68" s="468"/>
      <c r="JNO68" s="468"/>
      <c r="JNP68" s="469"/>
      <c r="JNQ68" s="467"/>
      <c r="JNR68" s="468"/>
      <c r="JNS68" s="468"/>
      <c r="JNT68" s="468"/>
      <c r="JNU68" s="468"/>
      <c r="JNV68" s="468"/>
      <c r="JNW68" s="468"/>
      <c r="JNX68" s="468"/>
      <c r="JNY68" s="468"/>
      <c r="JNZ68" s="468"/>
      <c r="JOA68" s="468"/>
      <c r="JOB68" s="468"/>
      <c r="JOC68" s="468"/>
      <c r="JOD68" s="468"/>
      <c r="JOE68" s="468"/>
      <c r="JOF68" s="468"/>
      <c r="JOG68" s="468"/>
      <c r="JOH68" s="468"/>
      <c r="JOI68" s="468"/>
      <c r="JOJ68" s="468"/>
      <c r="JOK68" s="468"/>
      <c r="JOL68" s="468"/>
      <c r="JOM68" s="468"/>
      <c r="JON68" s="468"/>
      <c r="JOO68" s="468"/>
      <c r="JOP68" s="468"/>
      <c r="JOQ68" s="468"/>
      <c r="JOR68" s="468"/>
      <c r="JOS68" s="468"/>
      <c r="JOT68" s="469"/>
      <c r="JOU68" s="467"/>
      <c r="JOV68" s="468"/>
      <c r="JOW68" s="468"/>
      <c r="JOX68" s="468"/>
      <c r="JOY68" s="468"/>
      <c r="JOZ68" s="468"/>
      <c r="JPA68" s="468"/>
      <c r="JPB68" s="468"/>
      <c r="JPC68" s="468"/>
      <c r="JPD68" s="468"/>
      <c r="JPE68" s="468"/>
      <c r="JPF68" s="468"/>
      <c r="JPG68" s="468"/>
      <c r="JPH68" s="468"/>
      <c r="JPI68" s="468"/>
      <c r="JPJ68" s="468"/>
      <c r="JPK68" s="468"/>
      <c r="JPL68" s="468"/>
      <c r="JPM68" s="468"/>
      <c r="JPN68" s="468"/>
      <c r="JPO68" s="468"/>
      <c r="JPP68" s="468"/>
      <c r="JPQ68" s="468"/>
      <c r="JPR68" s="468"/>
      <c r="JPS68" s="468"/>
      <c r="JPT68" s="468"/>
      <c r="JPU68" s="468"/>
      <c r="JPV68" s="468"/>
      <c r="JPW68" s="468"/>
      <c r="JPX68" s="469"/>
      <c r="JPY68" s="467"/>
      <c r="JPZ68" s="468"/>
      <c r="JQA68" s="468"/>
      <c r="JQB68" s="468"/>
      <c r="JQC68" s="468"/>
      <c r="JQD68" s="468"/>
      <c r="JQE68" s="468"/>
      <c r="JQF68" s="468"/>
      <c r="JQG68" s="468"/>
      <c r="JQH68" s="468"/>
      <c r="JQI68" s="468"/>
      <c r="JQJ68" s="468"/>
      <c r="JQK68" s="468"/>
      <c r="JQL68" s="468"/>
      <c r="JQM68" s="468"/>
      <c r="JQN68" s="468"/>
      <c r="JQO68" s="468"/>
      <c r="JQP68" s="468"/>
      <c r="JQQ68" s="468"/>
      <c r="JQR68" s="468"/>
      <c r="JQS68" s="468"/>
      <c r="JQT68" s="468"/>
      <c r="JQU68" s="468"/>
      <c r="JQV68" s="468"/>
      <c r="JQW68" s="468"/>
      <c r="JQX68" s="468"/>
      <c r="JQY68" s="468"/>
      <c r="JQZ68" s="468"/>
      <c r="JRA68" s="468"/>
      <c r="JRB68" s="469"/>
      <c r="JRC68" s="467"/>
      <c r="JRD68" s="468"/>
      <c r="JRE68" s="468"/>
      <c r="JRF68" s="468"/>
      <c r="JRG68" s="468"/>
      <c r="JRH68" s="468"/>
      <c r="JRI68" s="468"/>
      <c r="JRJ68" s="468"/>
      <c r="JRK68" s="468"/>
      <c r="JRL68" s="468"/>
      <c r="JRM68" s="468"/>
      <c r="JRN68" s="468"/>
      <c r="JRO68" s="468"/>
      <c r="JRP68" s="468"/>
      <c r="JRQ68" s="468"/>
      <c r="JRR68" s="468"/>
      <c r="JRS68" s="468"/>
      <c r="JRT68" s="468"/>
      <c r="JRU68" s="468"/>
      <c r="JRV68" s="468"/>
      <c r="JRW68" s="468"/>
      <c r="JRX68" s="468"/>
      <c r="JRY68" s="468"/>
      <c r="JRZ68" s="468"/>
      <c r="JSA68" s="468"/>
      <c r="JSB68" s="468"/>
      <c r="JSC68" s="468"/>
      <c r="JSD68" s="468"/>
      <c r="JSE68" s="468"/>
      <c r="JSF68" s="469"/>
      <c r="JSG68" s="467"/>
      <c r="JSH68" s="468"/>
      <c r="JSI68" s="468"/>
      <c r="JSJ68" s="468"/>
      <c r="JSK68" s="468"/>
      <c r="JSL68" s="468"/>
      <c r="JSM68" s="468"/>
      <c r="JSN68" s="468"/>
      <c r="JSO68" s="468"/>
      <c r="JSP68" s="468"/>
      <c r="JSQ68" s="468"/>
      <c r="JSR68" s="468"/>
      <c r="JSS68" s="468"/>
      <c r="JST68" s="468"/>
      <c r="JSU68" s="468"/>
      <c r="JSV68" s="468"/>
      <c r="JSW68" s="468"/>
      <c r="JSX68" s="468"/>
      <c r="JSY68" s="468"/>
      <c r="JSZ68" s="468"/>
      <c r="JTA68" s="468"/>
      <c r="JTB68" s="468"/>
      <c r="JTC68" s="468"/>
      <c r="JTD68" s="468"/>
      <c r="JTE68" s="468"/>
      <c r="JTF68" s="468"/>
      <c r="JTG68" s="468"/>
      <c r="JTH68" s="468"/>
      <c r="JTI68" s="468"/>
      <c r="JTJ68" s="469"/>
      <c r="JTK68" s="467"/>
      <c r="JTL68" s="468"/>
      <c r="JTM68" s="468"/>
      <c r="JTN68" s="468"/>
      <c r="JTO68" s="468"/>
      <c r="JTP68" s="468"/>
      <c r="JTQ68" s="468"/>
      <c r="JTR68" s="468"/>
      <c r="JTS68" s="468"/>
      <c r="JTT68" s="468"/>
      <c r="JTU68" s="468"/>
      <c r="JTV68" s="468"/>
      <c r="JTW68" s="468"/>
      <c r="JTX68" s="468"/>
      <c r="JTY68" s="468"/>
      <c r="JTZ68" s="468"/>
      <c r="JUA68" s="468"/>
      <c r="JUB68" s="468"/>
      <c r="JUC68" s="468"/>
      <c r="JUD68" s="468"/>
      <c r="JUE68" s="468"/>
      <c r="JUF68" s="468"/>
      <c r="JUG68" s="468"/>
      <c r="JUH68" s="468"/>
      <c r="JUI68" s="468"/>
      <c r="JUJ68" s="468"/>
      <c r="JUK68" s="468"/>
      <c r="JUL68" s="468"/>
      <c r="JUM68" s="468"/>
      <c r="JUN68" s="469"/>
      <c r="JUO68" s="467"/>
      <c r="JUP68" s="468"/>
      <c r="JUQ68" s="468"/>
      <c r="JUR68" s="468"/>
      <c r="JUS68" s="468"/>
      <c r="JUT68" s="468"/>
      <c r="JUU68" s="468"/>
      <c r="JUV68" s="468"/>
      <c r="JUW68" s="468"/>
      <c r="JUX68" s="468"/>
      <c r="JUY68" s="468"/>
      <c r="JUZ68" s="468"/>
      <c r="JVA68" s="468"/>
      <c r="JVB68" s="468"/>
      <c r="JVC68" s="468"/>
      <c r="JVD68" s="468"/>
      <c r="JVE68" s="468"/>
      <c r="JVF68" s="468"/>
      <c r="JVG68" s="468"/>
      <c r="JVH68" s="468"/>
      <c r="JVI68" s="468"/>
      <c r="JVJ68" s="468"/>
      <c r="JVK68" s="468"/>
      <c r="JVL68" s="468"/>
      <c r="JVM68" s="468"/>
      <c r="JVN68" s="468"/>
      <c r="JVO68" s="468"/>
      <c r="JVP68" s="468"/>
      <c r="JVQ68" s="468"/>
      <c r="JVR68" s="469"/>
      <c r="JVS68" s="467"/>
      <c r="JVT68" s="468"/>
      <c r="JVU68" s="468"/>
      <c r="JVV68" s="468"/>
      <c r="JVW68" s="468"/>
      <c r="JVX68" s="468"/>
      <c r="JVY68" s="468"/>
      <c r="JVZ68" s="468"/>
      <c r="JWA68" s="468"/>
      <c r="JWB68" s="468"/>
      <c r="JWC68" s="468"/>
      <c r="JWD68" s="468"/>
      <c r="JWE68" s="468"/>
      <c r="JWF68" s="468"/>
      <c r="JWG68" s="468"/>
      <c r="JWH68" s="468"/>
      <c r="JWI68" s="468"/>
      <c r="JWJ68" s="468"/>
      <c r="JWK68" s="468"/>
      <c r="JWL68" s="468"/>
      <c r="JWM68" s="468"/>
      <c r="JWN68" s="468"/>
      <c r="JWO68" s="468"/>
      <c r="JWP68" s="468"/>
      <c r="JWQ68" s="468"/>
      <c r="JWR68" s="468"/>
      <c r="JWS68" s="468"/>
      <c r="JWT68" s="468"/>
      <c r="JWU68" s="468"/>
      <c r="JWV68" s="469"/>
      <c r="JWW68" s="467"/>
      <c r="JWX68" s="468"/>
      <c r="JWY68" s="468"/>
      <c r="JWZ68" s="468"/>
      <c r="JXA68" s="468"/>
      <c r="JXB68" s="468"/>
      <c r="JXC68" s="468"/>
      <c r="JXD68" s="468"/>
      <c r="JXE68" s="468"/>
      <c r="JXF68" s="468"/>
      <c r="JXG68" s="468"/>
      <c r="JXH68" s="468"/>
      <c r="JXI68" s="468"/>
      <c r="JXJ68" s="468"/>
      <c r="JXK68" s="468"/>
      <c r="JXL68" s="468"/>
      <c r="JXM68" s="468"/>
      <c r="JXN68" s="468"/>
      <c r="JXO68" s="468"/>
      <c r="JXP68" s="468"/>
      <c r="JXQ68" s="468"/>
      <c r="JXR68" s="468"/>
      <c r="JXS68" s="468"/>
      <c r="JXT68" s="468"/>
      <c r="JXU68" s="468"/>
      <c r="JXV68" s="468"/>
      <c r="JXW68" s="468"/>
      <c r="JXX68" s="468"/>
      <c r="JXY68" s="468"/>
      <c r="JXZ68" s="469"/>
      <c r="JYA68" s="467"/>
      <c r="JYB68" s="468"/>
      <c r="JYC68" s="468"/>
      <c r="JYD68" s="468"/>
      <c r="JYE68" s="468"/>
      <c r="JYF68" s="468"/>
      <c r="JYG68" s="468"/>
      <c r="JYH68" s="468"/>
      <c r="JYI68" s="468"/>
      <c r="JYJ68" s="468"/>
      <c r="JYK68" s="468"/>
      <c r="JYL68" s="468"/>
      <c r="JYM68" s="468"/>
      <c r="JYN68" s="468"/>
      <c r="JYO68" s="468"/>
      <c r="JYP68" s="468"/>
      <c r="JYQ68" s="468"/>
      <c r="JYR68" s="468"/>
      <c r="JYS68" s="468"/>
      <c r="JYT68" s="468"/>
      <c r="JYU68" s="468"/>
      <c r="JYV68" s="468"/>
      <c r="JYW68" s="468"/>
      <c r="JYX68" s="468"/>
      <c r="JYY68" s="468"/>
      <c r="JYZ68" s="468"/>
      <c r="JZA68" s="468"/>
      <c r="JZB68" s="468"/>
      <c r="JZC68" s="468"/>
      <c r="JZD68" s="469"/>
      <c r="JZE68" s="467"/>
      <c r="JZF68" s="468"/>
      <c r="JZG68" s="468"/>
      <c r="JZH68" s="468"/>
      <c r="JZI68" s="468"/>
      <c r="JZJ68" s="468"/>
      <c r="JZK68" s="468"/>
      <c r="JZL68" s="468"/>
      <c r="JZM68" s="468"/>
      <c r="JZN68" s="468"/>
      <c r="JZO68" s="468"/>
      <c r="JZP68" s="468"/>
      <c r="JZQ68" s="468"/>
      <c r="JZR68" s="468"/>
      <c r="JZS68" s="468"/>
      <c r="JZT68" s="468"/>
      <c r="JZU68" s="468"/>
      <c r="JZV68" s="468"/>
      <c r="JZW68" s="468"/>
      <c r="JZX68" s="468"/>
      <c r="JZY68" s="468"/>
      <c r="JZZ68" s="468"/>
      <c r="KAA68" s="468"/>
      <c r="KAB68" s="468"/>
      <c r="KAC68" s="468"/>
      <c r="KAD68" s="468"/>
      <c r="KAE68" s="468"/>
      <c r="KAF68" s="468"/>
      <c r="KAG68" s="468"/>
      <c r="KAH68" s="469"/>
      <c r="KAI68" s="467"/>
      <c r="KAJ68" s="468"/>
      <c r="KAK68" s="468"/>
      <c r="KAL68" s="468"/>
      <c r="KAM68" s="468"/>
      <c r="KAN68" s="468"/>
      <c r="KAO68" s="468"/>
      <c r="KAP68" s="468"/>
      <c r="KAQ68" s="468"/>
      <c r="KAR68" s="468"/>
      <c r="KAS68" s="468"/>
      <c r="KAT68" s="468"/>
      <c r="KAU68" s="468"/>
      <c r="KAV68" s="468"/>
      <c r="KAW68" s="468"/>
      <c r="KAX68" s="468"/>
      <c r="KAY68" s="468"/>
      <c r="KAZ68" s="468"/>
      <c r="KBA68" s="468"/>
      <c r="KBB68" s="468"/>
      <c r="KBC68" s="468"/>
      <c r="KBD68" s="468"/>
      <c r="KBE68" s="468"/>
      <c r="KBF68" s="468"/>
      <c r="KBG68" s="468"/>
      <c r="KBH68" s="468"/>
      <c r="KBI68" s="468"/>
      <c r="KBJ68" s="468"/>
      <c r="KBK68" s="468"/>
      <c r="KBL68" s="469"/>
      <c r="KBM68" s="467"/>
      <c r="KBN68" s="468"/>
      <c r="KBO68" s="468"/>
      <c r="KBP68" s="468"/>
      <c r="KBQ68" s="468"/>
      <c r="KBR68" s="468"/>
      <c r="KBS68" s="468"/>
      <c r="KBT68" s="468"/>
      <c r="KBU68" s="468"/>
      <c r="KBV68" s="468"/>
      <c r="KBW68" s="468"/>
      <c r="KBX68" s="468"/>
      <c r="KBY68" s="468"/>
      <c r="KBZ68" s="468"/>
      <c r="KCA68" s="468"/>
      <c r="KCB68" s="468"/>
      <c r="KCC68" s="468"/>
      <c r="KCD68" s="468"/>
      <c r="KCE68" s="468"/>
      <c r="KCF68" s="468"/>
      <c r="KCG68" s="468"/>
      <c r="KCH68" s="468"/>
      <c r="KCI68" s="468"/>
      <c r="KCJ68" s="468"/>
      <c r="KCK68" s="468"/>
      <c r="KCL68" s="468"/>
      <c r="KCM68" s="468"/>
      <c r="KCN68" s="468"/>
      <c r="KCO68" s="468"/>
      <c r="KCP68" s="469"/>
      <c r="KCQ68" s="467"/>
      <c r="KCR68" s="468"/>
      <c r="KCS68" s="468"/>
      <c r="KCT68" s="468"/>
      <c r="KCU68" s="468"/>
      <c r="KCV68" s="468"/>
      <c r="KCW68" s="468"/>
      <c r="KCX68" s="468"/>
      <c r="KCY68" s="468"/>
      <c r="KCZ68" s="468"/>
      <c r="KDA68" s="468"/>
      <c r="KDB68" s="468"/>
      <c r="KDC68" s="468"/>
      <c r="KDD68" s="468"/>
      <c r="KDE68" s="468"/>
      <c r="KDF68" s="468"/>
      <c r="KDG68" s="468"/>
      <c r="KDH68" s="468"/>
      <c r="KDI68" s="468"/>
      <c r="KDJ68" s="468"/>
      <c r="KDK68" s="468"/>
      <c r="KDL68" s="468"/>
      <c r="KDM68" s="468"/>
      <c r="KDN68" s="468"/>
      <c r="KDO68" s="468"/>
      <c r="KDP68" s="468"/>
      <c r="KDQ68" s="468"/>
      <c r="KDR68" s="468"/>
      <c r="KDS68" s="468"/>
      <c r="KDT68" s="469"/>
      <c r="KDU68" s="467"/>
      <c r="KDV68" s="468"/>
      <c r="KDW68" s="468"/>
      <c r="KDX68" s="468"/>
      <c r="KDY68" s="468"/>
      <c r="KDZ68" s="468"/>
      <c r="KEA68" s="468"/>
      <c r="KEB68" s="468"/>
      <c r="KEC68" s="468"/>
      <c r="KED68" s="468"/>
      <c r="KEE68" s="468"/>
      <c r="KEF68" s="468"/>
      <c r="KEG68" s="468"/>
      <c r="KEH68" s="468"/>
      <c r="KEI68" s="468"/>
      <c r="KEJ68" s="468"/>
      <c r="KEK68" s="468"/>
      <c r="KEL68" s="468"/>
      <c r="KEM68" s="468"/>
      <c r="KEN68" s="468"/>
      <c r="KEO68" s="468"/>
      <c r="KEP68" s="468"/>
      <c r="KEQ68" s="468"/>
      <c r="KER68" s="468"/>
      <c r="KES68" s="468"/>
      <c r="KET68" s="468"/>
      <c r="KEU68" s="468"/>
      <c r="KEV68" s="468"/>
      <c r="KEW68" s="468"/>
      <c r="KEX68" s="469"/>
      <c r="KEY68" s="467"/>
      <c r="KEZ68" s="468"/>
      <c r="KFA68" s="468"/>
      <c r="KFB68" s="468"/>
      <c r="KFC68" s="468"/>
      <c r="KFD68" s="468"/>
      <c r="KFE68" s="468"/>
      <c r="KFF68" s="468"/>
      <c r="KFG68" s="468"/>
      <c r="KFH68" s="468"/>
      <c r="KFI68" s="468"/>
      <c r="KFJ68" s="468"/>
      <c r="KFK68" s="468"/>
      <c r="KFL68" s="468"/>
      <c r="KFM68" s="468"/>
      <c r="KFN68" s="468"/>
      <c r="KFO68" s="468"/>
      <c r="KFP68" s="468"/>
      <c r="KFQ68" s="468"/>
      <c r="KFR68" s="468"/>
      <c r="KFS68" s="468"/>
      <c r="KFT68" s="468"/>
      <c r="KFU68" s="468"/>
      <c r="KFV68" s="468"/>
      <c r="KFW68" s="468"/>
      <c r="KFX68" s="468"/>
      <c r="KFY68" s="468"/>
      <c r="KFZ68" s="468"/>
      <c r="KGA68" s="468"/>
      <c r="KGB68" s="469"/>
      <c r="KGC68" s="467"/>
      <c r="KGD68" s="468"/>
      <c r="KGE68" s="468"/>
      <c r="KGF68" s="468"/>
      <c r="KGG68" s="468"/>
      <c r="KGH68" s="468"/>
      <c r="KGI68" s="468"/>
      <c r="KGJ68" s="468"/>
      <c r="KGK68" s="468"/>
      <c r="KGL68" s="468"/>
      <c r="KGM68" s="468"/>
      <c r="KGN68" s="468"/>
      <c r="KGO68" s="468"/>
      <c r="KGP68" s="468"/>
      <c r="KGQ68" s="468"/>
      <c r="KGR68" s="468"/>
      <c r="KGS68" s="468"/>
      <c r="KGT68" s="468"/>
      <c r="KGU68" s="468"/>
      <c r="KGV68" s="468"/>
      <c r="KGW68" s="468"/>
      <c r="KGX68" s="468"/>
      <c r="KGY68" s="468"/>
      <c r="KGZ68" s="468"/>
      <c r="KHA68" s="468"/>
      <c r="KHB68" s="468"/>
      <c r="KHC68" s="468"/>
      <c r="KHD68" s="468"/>
      <c r="KHE68" s="468"/>
      <c r="KHF68" s="469"/>
      <c r="KHG68" s="467"/>
      <c r="KHH68" s="468"/>
      <c r="KHI68" s="468"/>
      <c r="KHJ68" s="468"/>
      <c r="KHK68" s="468"/>
      <c r="KHL68" s="468"/>
      <c r="KHM68" s="468"/>
      <c r="KHN68" s="468"/>
      <c r="KHO68" s="468"/>
      <c r="KHP68" s="468"/>
      <c r="KHQ68" s="468"/>
      <c r="KHR68" s="468"/>
      <c r="KHS68" s="468"/>
      <c r="KHT68" s="468"/>
      <c r="KHU68" s="468"/>
      <c r="KHV68" s="468"/>
      <c r="KHW68" s="468"/>
      <c r="KHX68" s="468"/>
      <c r="KHY68" s="468"/>
      <c r="KHZ68" s="468"/>
      <c r="KIA68" s="468"/>
      <c r="KIB68" s="468"/>
      <c r="KIC68" s="468"/>
      <c r="KID68" s="468"/>
      <c r="KIE68" s="468"/>
      <c r="KIF68" s="468"/>
      <c r="KIG68" s="468"/>
      <c r="KIH68" s="468"/>
      <c r="KII68" s="468"/>
      <c r="KIJ68" s="469"/>
      <c r="KIK68" s="467"/>
      <c r="KIL68" s="468"/>
      <c r="KIM68" s="468"/>
      <c r="KIN68" s="468"/>
      <c r="KIO68" s="468"/>
      <c r="KIP68" s="468"/>
      <c r="KIQ68" s="468"/>
      <c r="KIR68" s="468"/>
      <c r="KIS68" s="468"/>
      <c r="KIT68" s="468"/>
      <c r="KIU68" s="468"/>
      <c r="KIV68" s="468"/>
      <c r="KIW68" s="468"/>
      <c r="KIX68" s="468"/>
      <c r="KIY68" s="468"/>
      <c r="KIZ68" s="468"/>
      <c r="KJA68" s="468"/>
      <c r="KJB68" s="468"/>
      <c r="KJC68" s="468"/>
      <c r="KJD68" s="468"/>
      <c r="KJE68" s="468"/>
      <c r="KJF68" s="468"/>
      <c r="KJG68" s="468"/>
      <c r="KJH68" s="468"/>
      <c r="KJI68" s="468"/>
      <c r="KJJ68" s="468"/>
      <c r="KJK68" s="468"/>
      <c r="KJL68" s="468"/>
      <c r="KJM68" s="468"/>
      <c r="KJN68" s="469"/>
      <c r="KJO68" s="467"/>
      <c r="KJP68" s="468"/>
      <c r="KJQ68" s="468"/>
      <c r="KJR68" s="468"/>
      <c r="KJS68" s="468"/>
      <c r="KJT68" s="468"/>
      <c r="KJU68" s="468"/>
      <c r="KJV68" s="468"/>
      <c r="KJW68" s="468"/>
      <c r="KJX68" s="468"/>
      <c r="KJY68" s="468"/>
      <c r="KJZ68" s="468"/>
      <c r="KKA68" s="468"/>
      <c r="KKB68" s="468"/>
      <c r="KKC68" s="468"/>
      <c r="KKD68" s="468"/>
      <c r="KKE68" s="468"/>
      <c r="KKF68" s="468"/>
      <c r="KKG68" s="468"/>
      <c r="KKH68" s="468"/>
      <c r="KKI68" s="468"/>
      <c r="KKJ68" s="468"/>
      <c r="KKK68" s="468"/>
      <c r="KKL68" s="468"/>
      <c r="KKM68" s="468"/>
      <c r="KKN68" s="468"/>
      <c r="KKO68" s="468"/>
      <c r="KKP68" s="468"/>
      <c r="KKQ68" s="468"/>
      <c r="KKR68" s="469"/>
      <c r="KKS68" s="467"/>
      <c r="KKT68" s="468"/>
      <c r="KKU68" s="468"/>
      <c r="KKV68" s="468"/>
      <c r="KKW68" s="468"/>
      <c r="KKX68" s="468"/>
      <c r="KKY68" s="468"/>
      <c r="KKZ68" s="468"/>
      <c r="KLA68" s="468"/>
      <c r="KLB68" s="468"/>
      <c r="KLC68" s="468"/>
      <c r="KLD68" s="468"/>
      <c r="KLE68" s="468"/>
      <c r="KLF68" s="468"/>
      <c r="KLG68" s="468"/>
      <c r="KLH68" s="468"/>
      <c r="KLI68" s="468"/>
      <c r="KLJ68" s="468"/>
      <c r="KLK68" s="468"/>
      <c r="KLL68" s="468"/>
      <c r="KLM68" s="468"/>
      <c r="KLN68" s="468"/>
      <c r="KLO68" s="468"/>
      <c r="KLP68" s="468"/>
      <c r="KLQ68" s="468"/>
      <c r="KLR68" s="468"/>
      <c r="KLS68" s="468"/>
      <c r="KLT68" s="468"/>
      <c r="KLU68" s="468"/>
      <c r="KLV68" s="469"/>
      <c r="KLW68" s="467"/>
      <c r="KLX68" s="468"/>
      <c r="KLY68" s="468"/>
      <c r="KLZ68" s="468"/>
      <c r="KMA68" s="468"/>
      <c r="KMB68" s="468"/>
      <c r="KMC68" s="468"/>
      <c r="KMD68" s="468"/>
      <c r="KME68" s="468"/>
      <c r="KMF68" s="468"/>
      <c r="KMG68" s="468"/>
      <c r="KMH68" s="468"/>
      <c r="KMI68" s="468"/>
      <c r="KMJ68" s="468"/>
      <c r="KMK68" s="468"/>
      <c r="KML68" s="468"/>
      <c r="KMM68" s="468"/>
      <c r="KMN68" s="468"/>
      <c r="KMO68" s="468"/>
      <c r="KMP68" s="468"/>
      <c r="KMQ68" s="468"/>
      <c r="KMR68" s="468"/>
      <c r="KMS68" s="468"/>
      <c r="KMT68" s="468"/>
      <c r="KMU68" s="468"/>
      <c r="KMV68" s="468"/>
      <c r="KMW68" s="468"/>
      <c r="KMX68" s="468"/>
      <c r="KMY68" s="468"/>
      <c r="KMZ68" s="469"/>
      <c r="KNA68" s="467"/>
      <c r="KNB68" s="468"/>
      <c r="KNC68" s="468"/>
      <c r="KND68" s="468"/>
      <c r="KNE68" s="468"/>
      <c r="KNF68" s="468"/>
      <c r="KNG68" s="468"/>
      <c r="KNH68" s="468"/>
      <c r="KNI68" s="468"/>
      <c r="KNJ68" s="468"/>
      <c r="KNK68" s="468"/>
      <c r="KNL68" s="468"/>
      <c r="KNM68" s="468"/>
      <c r="KNN68" s="468"/>
      <c r="KNO68" s="468"/>
      <c r="KNP68" s="468"/>
      <c r="KNQ68" s="468"/>
      <c r="KNR68" s="468"/>
      <c r="KNS68" s="468"/>
      <c r="KNT68" s="468"/>
      <c r="KNU68" s="468"/>
      <c r="KNV68" s="468"/>
      <c r="KNW68" s="468"/>
      <c r="KNX68" s="468"/>
      <c r="KNY68" s="468"/>
      <c r="KNZ68" s="468"/>
      <c r="KOA68" s="468"/>
      <c r="KOB68" s="468"/>
      <c r="KOC68" s="468"/>
      <c r="KOD68" s="469"/>
      <c r="KOE68" s="467"/>
      <c r="KOF68" s="468"/>
      <c r="KOG68" s="468"/>
      <c r="KOH68" s="468"/>
      <c r="KOI68" s="468"/>
      <c r="KOJ68" s="468"/>
      <c r="KOK68" s="468"/>
      <c r="KOL68" s="468"/>
      <c r="KOM68" s="468"/>
      <c r="KON68" s="468"/>
      <c r="KOO68" s="468"/>
      <c r="KOP68" s="468"/>
      <c r="KOQ68" s="468"/>
      <c r="KOR68" s="468"/>
      <c r="KOS68" s="468"/>
      <c r="KOT68" s="468"/>
      <c r="KOU68" s="468"/>
      <c r="KOV68" s="468"/>
      <c r="KOW68" s="468"/>
      <c r="KOX68" s="468"/>
      <c r="KOY68" s="468"/>
      <c r="KOZ68" s="468"/>
      <c r="KPA68" s="468"/>
      <c r="KPB68" s="468"/>
      <c r="KPC68" s="468"/>
      <c r="KPD68" s="468"/>
      <c r="KPE68" s="468"/>
      <c r="KPF68" s="468"/>
      <c r="KPG68" s="468"/>
      <c r="KPH68" s="469"/>
      <c r="KPI68" s="467"/>
      <c r="KPJ68" s="468"/>
      <c r="KPK68" s="468"/>
      <c r="KPL68" s="468"/>
      <c r="KPM68" s="468"/>
      <c r="KPN68" s="468"/>
      <c r="KPO68" s="468"/>
      <c r="KPP68" s="468"/>
      <c r="KPQ68" s="468"/>
      <c r="KPR68" s="468"/>
      <c r="KPS68" s="468"/>
      <c r="KPT68" s="468"/>
      <c r="KPU68" s="468"/>
      <c r="KPV68" s="468"/>
      <c r="KPW68" s="468"/>
      <c r="KPX68" s="468"/>
      <c r="KPY68" s="468"/>
      <c r="KPZ68" s="468"/>
      <c r="KQA68" s="468"/>
      <c r="KQB68" s="468"/>
      <c r="KQC68" s="468"/>
      <c r="KQD68" s="468"/>
      <c r="KQE68" s="468"/>
      <c r="KQF68" s="468"/>
      <c r="KQG68" s="468"/>
      <c r="KQH68" s="468"/>
      <c r="KQI68" s="468"/>
      <c r="KQJ68" s="468"/>
      <c r="KQK68" s="468"/>
      <c r="KQL68" s="469"/>
      <c r="KQM68" s="467"/>
      <c r="KQN68" s="468"/>
      <c r="KQO68" s="468"/>
      <c r="KQP68" s="468"/>
      <c r="KQQ68" s="468"/>
      <c r="KQR68" s="468"/>
      <c r="KQS68" s="468"/>
      <c r="KQT68" s="468"/>
      <c r="KQU68" s="468"/>
      <c r="KQV68" s="468"/>
      <c r="KQW68" s="468"/>
      <c r="KQX68" s="468"/>
      <c r="KQY68" s="468"/>
      <c r="KQZ68" s="468"/>
      <c r="KRA68" s="468"/>
      <c r="KRB68" s="468"/>
      <c r="KRC68" s="468"/>
      <c r="KRD68" s="468"/>
      <c r="KRE68" s="468"/>
      <c r="KRF68" s="468"/>
      <c r="KRG68" s="468"/>
      <c r="KRH68" s="468"/>
      <c r="KRI68" s="468"/>
      <c r="KRJ68" s="468"/>
      <c r="KRK68" s="468"/>
      <c r="KRL68" s="468"/>
      <c r="KRM68" s="468"/>
      <c r="KRN68" s="468"/>
      <c r="KRO68" s="468"/>
      <c r="KRP68" s="469"/>
      <c r="KRQ68" s="467"/>
      <c r="KRR68" s="468"/>
      <c r="KRS68" s="468"/>
      <c r="KRT68" s="468"/>
      <c r="KRU68" s="468"/>
      <c r="KRV68" s="468"/>
      <c r="KRW68" s="468"/>
      <c r="KRX68" s="468"/>
      <c r="KRY68" s="468"/>
      <c r="KRZ68" s="468"/>
      <c r="KSA68" s="468"/>
      <c r="KSB68" s="468"/>
      <c r="KSC68" s="468"/>
      <c r="KSD68" s="468"/>
      <c r="KSE68" s="468"/>
      <c r="KSF68" s="468"/>
      <c r="KSG68" s="468"/>
      <c r="KSH68" s="468"/>
      <c r="KSI68" s="468"/>
      <c r="KSJ68" s="468"/>
      <c r="KSK68" s="468"/>
      <c r="KSL68" s="468"/>
      <c r="KSM68" s="468"/>
      <c r="KSN68" s="468"/>
      <c r="KSO68" s="468"/>
      <c r="KSP68" s="468"/>
      <c r="KSQ68" s="468"/>
      <c r="KSR68" s="468"/>
      <c r="KSS68" s="468"/>
      <c r="KST68" s="469"/>
      <c r="KSU68" s="467"/>
      <c r="KSV68" s="468"/>
      <c r="KSW68" s="468"/>
      <c r="KSX68" s="468"/>
      <c r="KSY68" s="468"/>
      <c r="KSZ68" s="468"/>
      <c r="KTA68" s="468"/>
      <c r="KTB68" s="468"/>
      <c r="KTC68" s="468"/>
      <c r="KTD68" s="468"/>
      <c r="KTE68" s="468"/>
      <c r="KTF68" s="468"/>
      <c r="KTG68" s="468"/>
      <c r="KTH68" s="468"/>
      <c r="KTI68" s="468"/>
      <c r="KTJ68" s="468"/>
      <c r="KTK68" s="468"/>
      <c r="KTL68" s="468"/>
      <c r="KTM68" s="468"/>
      <c r="KTN68" s="468"/>
      <c r="KTO68" s="468"/>
      <c r="KTP68" s="468"/>
      <c r="KTQ68" s="468"/>
      <c r="KTR68" s="468"/>
      <c r="KTS68" s="468"/>
      <c r="KTT68" s="468"/>
      <c r="KTU68" s="468"/>
      <c r="KTV68" s="468"/>
      <c r="KTW68" s="468"/>
      <c r="KTX68" s="469"/>
      <c r="KTY68" s="467"/>
      <c r="KTZ68" s="468"/>
      <c r="KUA68" s="468"/>
      <c r="KUB68" s="468"/>
      <c r="KUC68" s="468"/>
      <c r="KUD68" s="468"/>
      <c r="KUE68" s="468"/>
      <c r="KUF68" s="468"/>
      <c r="KUG68" s="468"/>
      <c r="KUH68" s="468"/>
      <c r="KUI68" s="468"/>
      <c r="KUJ68" s="468"/>
      <c r="KUK68" s="468"/>
      <c r="KUL68" s="468"/>
      <c r="KUM68" s="468"/>
      <c r="KUN68" s="468"/>
      <c r="KUO68" s="468"/>
      <c r="KUP68" s="468"/>
      <c r="KUQ68" s="468"/>
      <c r="KUR68" s="468"/>
      <c r="KUS68" s="468"/>
      <c r="KUT68" s="468"/>
      <c r="KUU68" s="468"/>
      <c r="KUV68" s="468"/>
      <c r="KUW68" s="468"/>
      <c r="KUX68" s="468"/>
      <c r="KUY68" s="468"/>
      <c r="KUZ68" s="468"/>
      <c r="KVA68" s="468"/>
      <c r="KVB68" s="469"/>
      <c r="KVC68" s="467"/>
      <c r="KVD68" s="468"/>
      <c r="KVE68" s="468"/>
      <c r="KVF68" s="468"/>
      <c r="KVG68" s="468"/>
      <c r="KVH68" s="468"/>
      <c r="KVI68" s="468"/>
      <c r="KVJ68" s="468"/>
      <c r="KVK68" s="468"/>
      <c r="KVL68" s="468"/>
      <c r="KVM68" s="468"/>
      <c r="KVN68" s="468"/>
      <c r="KVO68" s="468"/>
      <c r="KVP68" s="468"/>
      <c r="KVQ68" s="468"/>
      <c r="KVR68" s="468"/>
      <c r="KVS68" s="468"/>
      <c r="KVT68" s="468"/>
      <c r="KVU68" s="468"/>
      <c r="KVV68" s="468"/>
      <c r="KVW68" s="468"/>
      <c r="KVX68" s="468"/>
      <c r="KVY68" s="468"/>
      <c r="KVZ68" s="468"/>
      <c r="KWA68" s="468"/>
      <c r="KWB68" s="468"/>
      <c r="KWC68" s="468"/>
      <c r="KWD68" s="468"/>
      <c r="KWE68" s="468"/>
      <c r="KWF68" s="469"/>
      <c r="KWG68" s="467"/>
      <c r="KWH68" s="468"/>
      <c r="KWI68" s="468"/>
      <c r="KWJ68" s="468"/>
      <c r="KWK68" s="468"/>
      <c r="KWL68" s="468"/>
      <c r="KWM68" s="468"/>
      <c r="KWN68" s="468"/>
      <c r="KWO68" s="468"/>
      <c r="KWP68" s="468"/>
      <c r="KWQ68" s="468"/>
      <c r="KWR68" s="468"/>
      <c r="KWS68" s="468"/>
      <c r="KWT68" s="468"/>
      <c r="KWU68" s="468"/>
      <c r="KWV68" s="468"/>
      <c r="KWW68" s="468"/>
      <c r="KWX68" s="468"/>
      <c r="KWY68" s="468"/>
      <c r="KWZ68" s="468"/>
      <c r="KXA68" s="468"/>
      <c r="KXB68" s="468"/>
      <c r="KXC68" s="468"/>
      <c r="KXD68" s="468"/>
      <c r="KXE68" s="468"/>
      <c r="KXF68" s="468"/>
      <c r="KXG68" s="468"/>
      <c r="KXH68" s="468"/>
      <c r="KXI68" s="468"/>
      <c r="KXJ68" s="469"/>
      <c r="KXK68" s="467"/>
      <c r="KXL68" s="468"/>
      <c r="KXM68" s="468"/>
      <c r="KXN68" s="468"/>
      <c r="KXO68" s="468"/>
      <c r="KXP68" s="468"/>
      <c r="KXQ68" s="468"/>
      <c r="KXR68" s="468"/>
      <c r="KXS68" s="468"/>
      <c r="KXT68" s="468"/>
      <c r="KXU68" s="468"/>
      <c r="KXV68" s="468"/>
      <c r="KXW68" s="468"/>
      <c r="KXX68" s="468"/>
      <c r="KXY68" s="468"/>
      <c r="KXZ68" s="468"/>
      <c r="KYA68" s="468"/>
      <c r="KYB68" s="468"/>
      <c r="KYC68" s="468"/>
      <c r="KYD68" s="468"/>
      <c r="KYE68" s="468"/>
      <c r="KYF68" s="468"/>
      <c r="KYG68" s="468"/>
      <c r="KYH68" s="468"/>
      <c r="KYI68" s="468"/>
      <c r="KYJ68" s="468"/>
      <c r="KYK68" s="468"/>
      <c r="KYL68" s="468"/>
      <c r="KYM68" s="468"/>
      <c r="KYN68" s="469"/>
      <c r="KYO68" s="467"/>
      <c r="KYP68" s="468"/>
      <c r="KYQ68" s="468"/>
      <c r="KYR68" s="468"/>
      <c r="KYS68" s="468"/>
      <c r="KYT68" s="468"/>
      <c r="KYU68" s="468"/>
      <c r="KYV68" s="468"/>
      <c r="KYW68" s="468"/>
      <c r="KYX68" s="468"/>
      <c r="KYY68" s="468"/>
      <c r="KYZ68" s="468"/>
      <c r="KZA68" s="468"/>
      <c r="KZB68" s="468"/>
      <c r="KZC68" s="468"/>
      <c r="KZD68" s="468"/>
      <c r="KZE68" s="468"/>
      <c r="KZF68" s="468"/>
      <c r="KZG68" s="468"/>
      <c r="KZH68" s="468"/>
      <c r="KZI68" s="468"/>
      <c r="KZJ68" s="468"/>
      <c r="KZK68" s="468"/>
      <c r="KZL68" s="468"/>
      <c r="KZM68" s="468"/>
      <c r="KZN68" s="468"/>
      <c r="KZO68" s="468"/>
      <c r="KZP68" s="468"/>
      <c r="KZQ68" s="468"/>
      <c r="KZR68" s="469"/>
      <c r="KZS68" s="467"/>
      <c r="KZT68" s="468"/>
      <c r="KZU68" s="468"/>
      <c r="KZV68" s="468"/>
      <c r="KZW68" s="468"/>
      <c r="KZX68" s="468"/>
      <c r="KZY68" s="468"/>
      <c r="KZZ68" s="468"/>
      <c r="LAA68" s="468"/>
      <c r="LAB68" s="468"/>
      <c r="LAC68" s="468"/>
      <c r="LAD68" s="468"/>
      <c r="LAE68" s="468"/>
      <c r="LAF68" s="468"/>
      <c r="LAG68" s="468"/>
      <c r="LAH68" s="468"/>
      <c r="LAI68" s="468"/>
      <c r="LAJ68" s="468"/>
      <c r="LAK68" s="468"/>
      <c r="LAL68" s="468"/>
      <c r="LAM68" s="468"/>
      <c r="LAN68" s="468"/>
      <c r="LAO68" s="468"/>
      <c r="LAP68" s="468"/>
      <c r="LAQ68" s="468"/>
      <c r="LAR68" s="468"/>
      <c r="LAS68" s="468"/>
      <c r="LAT68" s="468"/>
      <c r="LAU68" s="468"/>
      <c r="LAV68" s="469"/>
      <c r="LAW68" s="467"/>
      <c r="LAX68" s="468"/>
      <c r="LAY68" s="468"/>
      <c r="LAZ68" s="468"/>
      <c r="LBA68" s="468"/>
      <c r="LBB68" s="468"/>
      <c r="LBC68" s="468"/>
      <c r="LBD68" s="468"/>
      <c r="LBE68" s="468"/>
      <c r="LBF68" s="468"/>
      <c r="LBG68" s="468"/>
      <c r="LBH68" s="468"/>
      <c r="LBI68" s="468"/>
      <c r="LBJ68" s="468"/>
      <c r="LBK68" s="468"/>
      <c r="LBL68" s="468"/>
      <c r="LBM68" s="468"/>
      <c r="LBN68" s="468"/>
      <c r="LBO68" s="468"/>
      <c r="LBP68" s="468"/>
      <c r="LBQ68" s="468"/>
      <c r="LBR68" s="468"/>
      <c r="LBS68" s="468"/>
      <c r="LBT68" s="468"/>
      <c r="LBU68" s="468"/>
      <c r="LBV68" s="468"/>
      <c r="LBW68" s="468"/>
      <c r="LBX68" s="468"/>
      <c r="LBY68" s="468"/>
      <c r="LBZ68" s="469"/>
      <c r="LCA68" s="467"/>
      <c r="LCB68" s="468"/>
      <c r="LCC68" s="468"/>
      <c r="LCD68" s="468"/>
      <c r="LCE68" s="468"/>
      <c r="LCF68" s="468"/>
      <c r="LCG68" s="468"/>
      <c r="LCH68" s="468"/>
      <c r="LCI68" s="468"/>
      <c r="LCJ68" s="468"/>
      <c r="LCK68" s="468"/>
      <c r="LCL68" s="468"/>
      <c r="LCM68" s="468"/>
      <c r="LCN68" s="468"/>
      <c r="LCO68" s="468"/>
      <c r="LCP68" s="468"/>
      <c r="LCQ68" s="468"/>
      <c r="LCR68" s="468"/>
      <c r="LCS68" s="468"/>
      <c r="LCT68" s="468"/>
      <c r="LCU68" s="468"/>
      <c r="LCV68" s="468"/>
      <c r="LCW68" s="468"/>
      <c r="LCX68" s="468"/>
      <c r="LCY68" s="468"/>
      <c r="LCZ68" s="468"/>
      <c r="LDA68" s="468"/>
      <c r="LDB68" s="468"/>
      <c r="LDC68" s="468"/>
      <c r="LDD68" s="469"/>
      <c r="LDE68" s="467"/>
      <c r="LDF68" s="468"/>
      <c r="LDG68" s="468"/>
      <c r="LDH68" s="468"/>
      <c r="LDI68" s="468"/>
      <c r="LDJ68" s="468"/>
      <c r="LDK68" s="468"/>
      <c r="LDL68" s="468"/>
      <c r="LDM68" s="468"/>
      <c r="LDN68" s="468"/>
      <c r="LDO68" s="468"/>
      <c r="LDP68" s="468"/>
      <c r="LDQ68" s="468"/>
      <c r="LDR68" s="468"/>
      <c r="LDS68" s="468"/>
      <c r="LDT68" s="468"/>
      <c r="LDU68" s="468"/>
      <c r="LDV68" s="468"/>
      <c r="LDW68" s="468"/>
      <c r="LDX68" s="468"/>
      <c r="LDY68" s="468"/>
      <c r="LDZ68" s="468"/>
      <c r="LEA68" s="468"/>
      <c r="LEB68" s="468"/>
      <c r="LEC68" s="468"/>
      <c r="LED68" s="468"/>
      <c r="LEE68" s="468"/>
      <c r="LEF68" s="468"/>
      <c r="LEG68" s="468"/>
      <c r="LEH68" s="469"/>
      <c r="LEI68" s="467"/>
      <c r="LEJ68" s="468"/>
      <c r="LEK68" s="468"/>
      <c r="LEL68" s="468"/>
      <c r="LEM68" s="468"/>
      <c r="LEN68" s="468"/>
      <c r="LEO68" s="468"/>
      <c r="LEP68" s="468"/>
      <c r="LEQ68" s="468"/>
      <c r="LER68" s="468"/>
      <c r="LES68" s="468"/>
      <c r="LET68" s="468"/>
      <c r="LEU68" s="468"/>
      <c r="LEV68" s="468"/>
      <c r="LEW68" s="468"/>
      <c r="LEX68" s="468"/>
      <c r="LEY68" s="468"/>
      <c r="LEZ68" s="468"/>
      <c r="LFA68" s="468"/>
      <c r="LFB68" s="468"/>
      <c r="LFC68" s="468"/>
      <c r="LFD68" s="468"/>
      <c r="LFE68" s="468"/>
      <c r="LFF68" s="468"/>
      <c r="LFG68" s="468"/>
      <c r="LFH68" s="468"/>
      <c r="LFI68" s="468"/>
      <c r="LFJ68" s="468"/>
      <c r="LFK68" s="468"/>
      <c r="LFL68" s="469"/>
      <c r="LFM68" s="467"/>
      <c r="LFN68" s="468"/>
      <c r="LFO68" s="468"/>
      <c r="LFP68" s="468"/>
      <c r="LFQ68" s="468"/>
      <c r="LFR68" s="468"/>
      <c r="LFS68" s="468"/>
      <c r="LFT68" s="468"/>
      <c r="LFU68" s="468"/>
      <c r="LFV68" s="468"/>
      <c r="LFW68" s="468"/>
      <c r="LFX68" s="468"/>
      <c r="LFY68" s="468"/>
      <c r="LFZ68" s="468"/>
      <c r="LGA68" s="468"/>
      <c r="LGB68" s="468"/>
      <c r="LGC68" s="468"/>
      <c r="LGD68" s="468"/>
      <c r="LGE68" s="468"/>
      <c r="LGF68" s="468"/>
      <c r="LGG68" s="468"/>
      <c r="LGH68" s="468"/>
      <c r="LGI68" s="468"/>
      <c r="LGJ68" s="468"/>
      <c r="LGK68" s="468"/>
      <c r="LGL68" s="468"/>
      <c r="LGM68" s="468"/>
      <c r="LGN68" s="468"/>
      <c r="LGO68" s="468"/>
      <c r="LGP68" s="469"/>
      <c r="LGQ68" s="467"/>
      <c r="LGR68" s="468"/>
      <c r="LGS68" s="468"/>
      <c r="LGT68" s="468"/>
      <c r="LGU68" s="468"/>
      <c r="LGV68" s="468"/>
      <c r="LGW68" s="468"/>
      <c r="LGX68" s="468"/>
      <c r="LGY68" s="468"/>
      <c r="LGZ68" s="468"/>
      <c r="LHA68" s="468"/>
      <c r="LHB68" s="468"/>
      <c r="LHC68" s="468"/>
      <c r="LHD68" s="468"/>
      <c r="LHE68" s="468"/>
      <c r="LHF68" s="468"/>
      <c r="LHG68" s="468"/>
      <c r="LHH68" s="468"/>
      <c r="LHI68" s="468"/>
      <c r="LHJ68" s="468"/>
      <c r="LHK68" s="468"/>
      <c r="LHL68" s="468"/>
      <c r="LHM68" s="468"/>
      <c r="LHN68" s="468"/>
      <c r="LHO68" s="468"/>
      <c r="LHP68" s="468"/>
      <c r="LHQ68" s="468"/>
      <c r="LHR68" s="468"/>
      <c r="LHS68" s="468"/>
      <c r="LHT68" s="469"/>
      <c r="LHU68" s="467"/>
      <c r="LHV68" s="468"/>
      <c r="LHW68" s="468"/>
      <c r="LHX68" s="468"/>
      <c r="LHY68" s="468"/>
      <c r="LHZ68" s="468"/>
      <c r="LIA68" s="468"/>
      <c r="LIB68" s="468"/>
      <c r="LIC68" s="468"/>
      <c r="LID68" s="468"/>
      <c r="LIE68" s="468"/>
      <c r="LIF68" s="468"/>
      <c r="LIG68" s="468"/>
      <c r="LIH68" s="468"/>
      <c r="LII68" s="468"/>
      <c r="LIJ68" s="468"/>
      <c r="LIK68" s="468"/>
      <c r="LIL68" s="468"/>
      <c r="LIM68" s="468"/>
      <c r="LIN68" s="468"/>
      <c r="LIO68" s="468"/>
      <c r="LIP68" s="468"/>
      <c r="LIQ68" s="468"/>
      <c r="LIR68" s="468"/>
      <c r="LIS68" s="468"/>
      <c r="LIT68" s="468"/>
      <c r="LIU68" s="468"/>
      <c r="LIV68" s="468"/>
      <c r="LIW68" s="468"/>
      <c r="LIX68" s="469"/>
      <c r="LIY68" s="467"/>
      <c r="LIZ68" s="468"/>
      <c r="LJA68" s="468"/>
      <c r="LJB68" s="468"/>
      <c r="LJC68" s="468"/>
      <c r="LJD68" s="468"/>
      <c r="LJE68" s="468"/>
      <c r="LJF68" s="468"/>
      <c r="LJG68" s="468"/>
      <c r="LJH68" s="468"/>
      <c r="LJI68" s="468"/>
      <c r="LJJ68" s="468"/>
      <c r="LJK68" s="468"/>
      <c r="LJL68" s="468"/>
      <c r="LJM68" s="468"/>
      <c r="LJN68" s="468"/>
      <c r="LJO68" s="468"/>
      <c r="LJP68" s="468"/>
      <c r="LJQ68" s="468"/>
      <c r="LJR68" s="468"/>
      <c r="LJS68" s="468"/>
      <c r="LJT68" s="468"/>
      <c r="LJU68" s="468"/>
      <c r="LJV68" s="468"/>
      <c r="LJW68" s="468"/>
      <c r="LJX68" s="468"/>
      <c r="LJY68" s="468"/>
      <c r="LJZ68" s="468"/>
      <c r="LKA68" s="468"/>
      <c r="LKB68" s="469"/>
      <c r="LKC68" s="467"/>
      <c r="LKD68" s="468"/>
      <c r="LKE68" s="468"/>
      <c r="LKF68" s="468"/>
      <c r="LKG68" s="468"/>
      <c r="LKH68" s="468"/>
      <c r="LKI68" s="468"/>
      <c r="LKJ68" s="468"/>
      <c r="LKK68" s="468"/>
      <c r="LKL68" s="468"/>
      <c r="LKM68" s="468"/>
      <c r="LKN68" s="468"/>
      <c r="LKO68" s="468"/>
      <c r="LKP68" s="468"/>
      <c r="LKQ68" s="468"/>
      <c r="LKR68" s="468"/>
      <c r="LKS68" s="468"/>
      <c r="LKT68" s="468"/>
      <c r="LKU68" s="468"/>
      <c r="LKV68" s="468"/>
      <c r="LKW68" s="468"/>
      <c r="LKX68" s="468"/>
      <c r="LKY68" s="468"/>
      <c r="LKZ68" s="468"/>
      <c r="LLA68" s="468"/>
      <c r="LLB68" s="468"/>
      <c r="LLC68" s="468"/>
      <c r="LLD68" s="468"/>
      <c r="LLE68" s="468"/>
      <c r="LLF68" s="469"/>
      <c r="LLG68" s="467"/>
      <c r="LLH68" s="468"/>
      <c r="LLI68" s="468"/>
      <c r="LLJ68" s="468"/>
      <c r="LLK68" s="468"/>
      <c r="LLL68" s="468"/>
      <c r="LLM68" s="468"/>
      <c r="LLN68" s="468"/>
      <c r="LLO68" s="468"/>
      <c r="LLP68" s="468"/>
      <c r="LLQ68" s="468"/>
      <c r="LLR68" s="468"/>
      <c r="LLS68" s="468"/>
      <c r="LLT68" s="468"/>
      <c r="LLU68" s="468"/>
      <c r="LLV68" s="468"/>
      <c r="LLW68" s="468"/>
      <c r="LLX68" s="468"/>
      <c r="LLY68" s="468"/>
      <c r="LLZ68" s="468"/>
      <c r="LMA68" s="468"/>
      <c r="LMB68" s="468"/>
      <c r="LMC68" s="468"/>
      <c r="LMD68" s="468"/>
      <c r="LME68" s="468"/>
      <c r="LMF68" s="468"/>
      <c r="LMG68" s="468"/>
      <c r="LMH68" s="468"/>
      <c r="LMI68" s="468"/>
      <c r="LMJ68" s="469"/>
      <c r="LMK68" s="467"/>
      <c r="LML68" s="468"/>
      <c r="LMM68" s="468"/>
      <c r="LMN68" s="468"/>
      <c r="LMO68" s="468"/>
      <c r="LMP68" s="468"/>
      <c r="LMQ68" s="468"/>
      <c r="LMR68" s="468"/>
      <c r="LMS68" s="468"/>
      <c r="LMT68" s="468"/>
      <c r="LMU68" s="468"/>
      <c r="LMV68" s="468"/>
      <c r="LMW68" s="468"/>
      <c r="LMX68" s="468"/>
      <c r="LMY68" s="468"/>
      <c r="LMZ68" s="468"/>
      <c r="LNA68" s="468"/>
      <c r="LNB68" s="468"/>
      <c r="LNC68" s="468"/>
      <c r="LND68" s="468"/>
      <c r="LNE68" s="468"/>
      <c r="LNF68" s="468"/>
      <c r="LNG68" s="468"/>
      <c r="LNH68" s="468"/>
      <c r="LNI68" s="468"/>
      <c r="LNJ68" s="468"/>
      <c r="LNK68" s="468"/>
      <c r="LNL68" s="468"/>
      <c r="LNM68" s="468"/>
      <c r="LNN68" s="469"/>
      <c r="LNO68" s="467"/>
      <c r="LNP68" s="468"/>
      <c r="LNQ68" s="468"/>
      <c r="LNR68" s="468"/>
      <c r="LNS68" s="468"/>
      <c r="LNT68" s="468"/>
      <c r="LNU68" s="468"/>
      <c r="LNV68" s="468"/>
      <c r="LNW68" s="468"/>
      <c r="LNX68" s="468"/>
      <c r="LNY68" s="468"/>
      <c r="LNZ68" s="468"/>
      <c r="LOA68" s="468"/>
      <c r="LOB68" s="468"/>
      <c r="LOC68" s="468"/>
      <c r="LOD68" s="468"/>
      <c r="LOE68" s="468"/>
      <c r="LOF68" s="468"/>
      <c r="LOG68" s="468"/>
      <c r="LOH68" s="468"/>
      <c r="LOI68" s="468"/>
      <c r="LOJ68" s="468"/>
      <c r="LOK68" s="468"/>
      <c r="LOL68" s="468"/>
      <c r="LOM68" s="468"/>
      <c r="LON68" s="468"/>
      <c r="LOO68" s="468"/>
      <c r="LOP68" s="468"/>
      <c r="LOQ68" s="468"/>
      <c r="LOR68" s="469"/>
      <c r="LOS68" s="467"/>
      <c r="LOT68" s="468"/>
      <c r="LOU68" s="468"/>
      <c r="LOV68" s="468"/>
      <c r="LOW68" s="468"/>
      <c r="LOX68" s="468"/>
      <c r="LOY68" s="468"/>
      <c r="LOZ68" s="468"/>
      <c r="LPA68" s="468"/>
      <c r="LPB68" s="468"/>
      <c r="LPC68" s="468"/>
      <c r="LPD68" s="468"/>
      <c r="LPE68" s="468"/>
      <c r="LPF68" s="468"/>
      <c r="LPG68" s="468"/>
      <c r="LPH68" s="468"/>
      <c r="LPI68" s="468"/>
      <c r="LPJ68" s="468"/>
      <c r="LPK68" s="468"/>
      <c r="LPL68" s="468"/>
      <c r="LPM68" s="468"/>
      <c r="LPN68" s="468"/>
      <c r="LPO68" s="468"/>
      <c r="LPP68" s="468"/>
      <c r="LPQ68" s="468"/>
      <c r="LPR68" s="468"/>
      <c r="LPS68" s="468"/>
      <c r="LPT68" s="468"/>
      <c r="LPU68" s="468"/>
      <c r="LPV68" s="469"/>
      <c r="LPW68" s="467"/>
      <c r="LPX68" s="468"/>
      <c r="LPY68" s="468"/>
      <c r="LPZ68" s="468"/>
      <c r="LQA68" s="468"/>
      <c r="LQB68" s="468"/>
      <c r="LQC68" s="468"/>
      <c r="LQD68" s="468"/>
      <c r="LQE68" s="468"/>
      <c r="LQF68" s="468"/>
      <c r="LQG68" s="468"/>
      <c r="LQH68" s="468"/>
      <c r="LQI68" s="468"/>
      <c r="LQJ68" s="468"/>
      <c r="LQK68" s="468"/>
      <c r="LQL68" s="468"/>
      <c r="LQM68" s="468"/>
      <c r="LQN68" s="468"/>
      <c r="LQO68" s="468"/>
      <c r="LQP68" s="468"/>
      <c r="LQQ68" s="468"/>
      <c r="LQR68" s="468"/>
      <c r="LQS68" s="468"/>
      <c r="LQT68" s="468"/>
      <c r="LQU68" s="468"/>
      <c r="LQV68" s="468"/>
      <c r="LQW68" s="468"/>
      <c r="LQX68" s="468"/>
      <c r="LQY68" s="468"/>
      <c r="LQZ68" s="469"/>
      <c r="LRA68" s="467"/>
      <c r="LRB68" s="468"/>
      <c r="LRC68" s="468"/>
      <c r="LRD68" s="468"/>
      <c r="LRE68" s="468"/>
      <c r="LRF68" s="468"/>
      <c r="LRG68" s="468"/>
      <c r="LRH68" s="468"/>
      <c r="LRI68" s="468"/>
      <c r="LRJ68" s="468"/>
      <c r="LRK68" s="468"/>
      <c r="LRL68" s="468"/>
      <c r="LRM68" s="468"/>
      <c r="LRN68" s="468"/>
      <c r="LRO68" s="468"/>
      <c r="LRP68" s="468"/>
      <c r="LRQ68" s="468"/>
      <c r="LRR68" s="468"/>
      <c r="LRS68" s="468"/>
      <c r="LRT68" s="468"/>
      <c r="LRU68" s="468"/>
      <c r="LRV68" s="468"/>
      <c r="LRW68" s="468"/>
      <c r="LRX68" s="468"/>
      <c r="LRY68" s="468"/>
      <c r="LRZ68" s="468"/>
      <c r="LSA68" s="468"/>
      <c r="LSB68" s="468"/>
      <c r="LSC68" s="468"/>
      <c r="LSD68" s="469"/>
      <c r="LSE68" s="467"/>
      <c r="LSF68" s="468"/>
      <c r="LSG68" s="468"/>
      <c r="LSH68" s="468"/>
      <c r="LSI68" s="468"/>
      <c r="LSJ68" s="468"/>
      <c r="LSK68" s="468"/>
      <c r="LSL68" s="468"/>
      <c r="LSM68" s="468"/>
      <c r="LSN68" s="468"/>
      <c r="LSO68" s="468"/>
      <c r="LSP68" s="468"/>
      <c r="LSQ68" s="468"/>
      <c r="LSR68" s="468"/>
      <c r="LSS68" s="468"/>
      <c r="LST68" s="468"/>
      <c r="LSU68" s="468"/>
      <c r="LSV68" s="468"/>
      <c r="LSW68" s="468"/>
      <c r="LSX68" s="468"/>
      <c r="LSY68" s="468"/>
      <c r="LSZ68" s="468"/>
      <c r="LTA68" s="468"/>
      <c r="LTB68" s="468"/>
      <c r="LTC68" s="468"/>
      <c r="LTD68" s="468"/>
      <c r="LTE68" s="468"/>
      <c r="LTF68" s="468"/>
      <c r="LTG68" s="468"/>
      <c r="LTH68" s="469"/>
      <c r="LTI68" s="467"/>
      <c r="LTJ68" s="468"/>
      <c r="LTK68" s="468"/>
      <c r="LTL68" s="468"/>
      <c r="LTM68" s="468"/>
      <c r="LTN68" s="468"/>
      <c r="LTO68" s="468"/>
      <c r="LTP68" s="468"/>
      <c r="LTQ68" s="468"/>
      <c r="LTR68" s="468"/>
      <c r="LTS68" s="468"/>
      <c r="LTT68" s="468"/>
      <c r="LTU68" s="468"/>
      <c r="LTV68" s="468"/>
      <c r="LTW68" s="468"/>
      <c r="LTX68" s="468"/>
      <c r="LTY68" s="468"/>
      <c r="LTZ68" s="468"/>
      <c r="LUA68" s="468"/>
      <c r="LUB68" s="468"/>
      <c r="LUC68" s="468"/>
      <c r="LUD68" s="468"/>
      <c r="LUE68" s="468"/>
      <c r="LUF68" s="468"/>
      <c r="LUG68" s="468"/>
      <c r="LUH68" s="468"/>
      <c r="LUI68" s="468"/>
      <c r="LUJ68" s="468"/>
      <c r="LUK68" s="468"/>
      <c r="LUL68" s="469"/>
      <c r="LUM68" s="467"/>
      <c r="LUN68" s="468"/>
      <c r="LUO68" s="468"/>
      <c r="LUP68" s="468"/>
      <c r="LUQ68" s="468"/>
      <c r="LUR68" s="468"/>
      <c r="LUS68" s="468"/>
      <c r="LUT68" s="468"/>
      <c r="LUU68" s="468"/>
      <c r="LUV68" s="468"/>
      <c r="LUW68" s="468"/>
      <c r="LUX68" s="468"/>
      <c r="LUY68" s="468"/>
      <c r="LUZ68" s="468"/>
      <c r="LVA68" s="468"/>
      <c r="LVB68" s="468"/>
      <c r="LVC68" s="468"/>
      <c r="LVD68" s="468"/>
      <c r="LVE68" s="468"/>
      <c r="LVF68" s="468"/>
      <c r="LVG68" s="468"/>
      <c r="LVH68" s="468"/>
      <c r="LVI68" s="468"/>
      <c r="LVJ68" s="468"/>
      <c r="LVK68" s="468"/>
      <c r="LVL68" s="468"/>
      <c r="LVM68" s="468"/>
      <c r="LVN68" s="468"/>
      <c r="LVO68" s="468"/>
      <c r="LVP68" s="469"/>
      <c r="LVQ68" s="467"/>
      <c r="LVR68" s="468"/>
      <c r="LVS68" s="468"/>
      <c r="LVT68" s="468"/>
      <c r="LVU68" s="468"/>
      <c r="LVV68" s="468"/>
      <c r="LVW68" s="468"/>
      <c r="LVX68" s="468"/>
      <c r="LVY68" s="468"/>
      <c r="LVZ68" s="468"/>
      <c r="LWA68" s="468"/>
      <c r="LWB68" s="468"/>
      <c r="LWC68" s="468"/>
      <c r="LWD68" s="468"/>
      <c r="LWE68" s="468"/>
      <c r="LWF68" s="468"/>
      <c r="LWG68" s="468"/>
      <c r="LWH68" s="468"/>
      <c r="LWI68" s="468"/>
      <c r="LWJ68" s="468"/>
      <c r="LWK68" s="468"/>
      <c r="LWL68" s="468"/>
      <c r="LWM68" s="468"/>
      <c r="LWN68" s="468"/>
      <c r="LWO68" s="468"/>
      <c r="LWP68" s="468"/>
      <c r="LWQ68" s="468"/>
      <c r="LWR68" s="468"/>
      <c r="LWS68" s="468"/>
      <c r="LWT68" s="469"/>
      <c r="LWU68" s="467"/>
      <c r="LWV68" s="468"/>
      <c r="LWW68" s="468"/>
      <c r="LWX68" s="468"/>
      <c r="LWY68" s="468"/>
      <c r="LWZ68" s="468"/>
      <c r="LXA68" s="468"/>
      <c r="LXB68" s="468"/>
      <c r="LXC68" s="468"/>
      <c r="LXD68" s="468"/>
      <c r="LXE68" s="468"/>
      <c r="LXF68" s="468"/>
      <c r="LXG68" s="468"/>
      <c r="LXH68" s="468"/>
      <c r="LXI68" s="468"/>
      <c r="LXJ68" s="468"/>
      <c r="LXK68" s="468"/>
      <c r="LXL68" s="468"/>
      <c r="LXM68" s="468"/>
      <c r="LXN68" s="468"/>
      <c r="LXO68" s="468"/>
      <c r="LXP68" s="468"/>
      <c r="LXQ68" s="468"/>
      <c r="LXR68" s="468"/>
      <c r="LXS68" s="468"/>
      <c r="LXT68" s="468"/>
      <c r="LXU68" s="468"/>
      <c r="LXV68" s="468"/>
      <c r="LXW68" s="468"/>
      <c r="LXX68" s="469"/>
      <c r="LXY68" s="467"/>
      <c r="LXZ68" s="468"/>
      <c r="LYA68" s="468"/>
      <c r="LYB68" s="468"/>
      <c r="LYC68" s="468"/>
      <c r="LYD68" s="468"/>
      <c r="LYE68" s="468"/>
      <c r="LYF68" s="468"/>
      <c r="LYG68" s="468"/>
      <c r="LYH68" s="468"/>
      <c r="LYI68" s="468"/>
      <c r="LYJ68" s="468"/>
      <c r="LYK68" s="468"/>
      <c r="LYL68" s="468"/>
      <c r="LYM68" s="468"/>
      <c r="LYN68" s="468"/>
      <c r="LYO68" s="468"/>
      <c r="LYP68" s="468"/>
      <c r="LYQ68" s="468"/>
      <c r="LYR68" s="468"/>
      <c r="LYS68" s="468"/>
      <c r="LYT68" s="468"/>
      <c r="LYU68" s="468"/>
      <c r="LYV68" s="468"/>
      <c r="LYW68" s="468"/>
      <c r="LYX68" s="468"/>
      <c r="LYY68" s="468"/>
      <c r="LYZ68" s="468"/>
      <c r="LZA68" s="468"/>
      <c r="LZB68" s="469"/>
      <c r="LZC68" s="467"/>
      <c r="LZD68" s="468"/>
      <c r="LZE68" s="468"/>
      <c r="LZF68" s="468"/>
      <c r="LZG68" s="468"/>
      <c r="LZH68" s="468"/>
      <c r="LZI68" s="468"/>
      <c r="LZJ68" s="468"/>
      <c r="LZK68" s="468"/>
      <c r="LZL68" s="468"/>
      <c r="LZM68" s="468"/>
      <c r="LZN68" s="468"/>
      <c r="LZO68" s="468"/>
      <c r="LZP68" s="468"/>
      <c r="LZQ68" s="468"/>
      <c r="LZR68" s="468"/>
      <c r="LZS68" s="468"/>
      <c r="LZT68" s="468"/>
      <c r="LZU68" s="468"/>
      <c r="LZV68" s="468"/>
      <c r="LZW68" s="468"/>
      <c r="LZX68" s="468"/>
      <c r="LZY68" s="468"/>
      <c r="LZZ68" s="468"/>
      <c r="MAA68" s="468"/>
      <c r="MAB68" s="468"/>
      <c r="MAC68" s="468"/>
      <c r="MAD68" s="468"/>
      <c r="MAE68" s="468"/>
      <c r="MAF68" s="469"/>
      <c r="MAG68" s="467"/>
      <c r="MAH68" s="468"/>
      <c r="MAI68" s="468"/>
      <c r="MAJ68" s="468"/>
      <c r="MAK68" s="468"/>
      <c r="MAL68" s="468"/>
      <c r="MAM68" s="468"/>
      <c r="MAN68" s="468"/>
      <c r="MAO68" s="468"/>
      <c r="MAP68" s="468"/>
      <c r="MAQ68" s="468"/>
      <c r="MAR68" s="468"/>
      <c r="MAS68" s="468"/>
      <c r="MAT68" s="468"/>
      <c r="MAU68" s="468"/>
      <c r="MAV68" s="468"/>
      <c r="MAW68" s="468"/>
      <c r="MAX68" s="468"/>
      <c r="MAY68" s="468"/>
      <c r="MAZ68" s="468"/>
      <c r="MBA68" s="468"/>
      <c r="MBB68" s="468"/>
      <c r="MBC68" s="468"/>
      <c r="MBD68" s="468"/>
      <c r="MBE68" s="468"/>
      <c r="MBF68" s="468"/>
      <c r="MBG68" s="468"/>
      <c r="MBH68" s="468"/>
      <c r="MBI68" s="468"/>
      <c r="MBJ68" s="469"/>
      <c r="MBK68" s="467"/>
      <c r="MBL68" s="468"/>
      <c r="MBM68" s="468"/>
      <c r="MBN68" s="468"/>
      <c r="MBO68" s="468"/>
      <c r="MBP68" s="468"/>
      <c r="MBQ68" s="468"/>
      <c r="MBR68" s="468"/>
      <c r="MBS68" s="468"/>
      <c r="MBT68" s="468"/>
      <c r="MBU68" s="468"/>
      <c r="MBV68" s="468"/>
      <c r="MBW68" s="468"/>
      <c r="MBX68" s="468"/>
      <c r="MBY68" s="468"/>
      <c r="MBZ68" s="468"/>
      <c r="MCA68" s="468"/>
      <c r="MCB68" s="468"/>
      <c r="MCC68" s="468"/>
      <c r="MCD68" s="468"/>
      <c r="MCE68" s="468"/>
      <c r="MCF68" s="468"/>
      <c r="MCG68" s="468"/>
      <c r="MCH68" s="468"/>
      <c r="MCI68" s="468"/>
      <c r="MCJ68" s="468"/>
      <c r="MCK68" s="468"/>
      <c r="MCL68" s="468"/>
      <c r="MCM68" s="468"/>
      <c r="MCN68" s="469"/>
      <c r="MCO68" s="467"/>
      <c r="MCP68" s="468"/>
      <c r="MCQ68" s="468"/>
      <c r="MCR68" s="468"/>
      <c r="MCS68" s="468"/>
      <c r="MCT68" s="468"/>
      <c r="MCU68" s="468"/>
      <c r="MCV68" s="468"/>
      <c r="MCW68" s="468"/>
      <c r="MCX68" s="468"/>
      <c r="MCY68" s="468"/>
      <c r="MCZ68" s="468"/>
      <c r="MDA68" s="468"/>
      <c r="MDB68" s="468"/>
      <c r="MDC68" s="468"/>
      <c r="MDD68" s="468"/>
      <c r="MDE68" s="468"/>
      <c r="MDF68" s="468"/>
      <c r="MDG68" s="468"/>
      <c r="MDH68" s="468"/>
      <c r="MDI68" s="468"/>
      <c r="MDJ68" s="468"/>
      <c r="MDK68" s="468"/>
      <c r="MDL68" s="468"/>
      <c r="MDM68" s="468"/>
      <c r="MDN68" s="468"/>
      <c r="MDO68" s="468"/>
      <c r="MDP68" s="468"/>
      <c r="MDQ68" s="468"/>
      <c r="MDR68" s="469"/>
      <c r="MDS68" s="467"/>
      <c r="MDT68" s="468"/>
      <c r="MDU68" s="468"/>
      <c r="MDV68" s="468"/>
      <c r="MDW68" s="468"/>
      <c r="MDX68" s="468"/>
      <c r="MDY68" s="468"/>
      <c r="MDZ68" s="468"/>
      <c r="MEA68" s="468"/>
      <c r="MEB68" s="468"/>
      <c r="MEC68" s="468"/>
      <c r="MED68" s="468"/>
      <c r="MEE68" s="468"/>
      <c r="MEF68" s="468"/>
      <c r="MEG68" s="468"/>
      <c r="MEH68" s="468"/>
      <c r="MEI68" s="468"/>
      <c r="MEJ68" s="468"/>
      <c r="MEK68" s="468"/>
      <c r="MEL68" s="468"/>
      <c r="MEM68" s="468"/>
      <c r="MEN68" s="468"/>
      <c r="MEO68" s="468"/>
      <c r="MEP68" s="468"/>
      <c r="MEQ68" s="468"/>
      <c r="MER68" s="468"/>
      <c r="MES68" s="468"/>
      <c r="MET68" s="468"/>
      <c r="MEU68" s="468"/>
      <c r="MEV68" s="469"/>
      <c r="MEW68" s="467"/>
      <c r="MEX68" s="468"/>
      <c r="MEY68" s="468"/>
      <c r="MEZ68" s="468"/>
      <c r="MFA68" s="468"/>
      <c r="MFB68" s="468"/>
      <c r="MFC68" s="468"/>
      <c r="MFD68" s="468"/>
      <c r="MFE68" s="468"/>
      <c r="MFF68" s="468"/>
      <c r="MFG68" s="468"/>
      <c r="MFH68" s="468"/>
      <c r="MFI68" s="468"/>
      <c r="MFJ68" s="468"/>
      <c r="MFK68" s="468"/>
      <c r="MFL68" s="468"/>
      <c r="MFM68" s="468"/>
      <c r="MFN68" s="468"/>
      <c r="MFO68" s="468"/>
      <c r="MFP68" s="468"/>
      <c r="MFQ68" s="468"/>
      <c r="MFR68" s="468"/>
      <c r="MFS68" s="468"/>
      <c r="MFT68" s="468"/>
      <c r="MFU68" s="468"/>
      <c r="MFV68" s="468"/>
      <c r="MFW68" s="468"/>
      <c r="MFX68" s="468"/>
      <c r="MFY68" s="468"/>
      <c r="MFZ68" s="469"/>
      <c r="MGA68" s="467"/>
      <c r="MGB68" s="468"/>
      <c r="MGC68" s="468"/>
      <c r="MGD68" s="468"/>
      <c r="MGE68" s="468"/>
      <c r="MGF68" s="468"/>
      <c r="MGG68" s="468"/>
      <c r="MGH68" s="468"/>
      <c r="MGI68" s="468"/>
      <c r="MGJ68" s="468"/>
      <c r="MGK68" s="468"/>
      <c r="MGL68" s="468"/>
      <c r="MGM68" s="468"/>
      <c r="MGN68" s="468"/>
      <c r="MGO68" s="468"/>
      <c r="MGP68" s="468"/>
      <c r="MGQ68" s="468"/>
      <c r="MGR68" s="468"/>
      <c r="MGS68" s="468"/>
      <c r="MGT68" s="468"/>
      <c r="MGU68" s="468"/>
      <c r="MGV68" s="468"/>
      <c r="MGW68" s="468"/>
      <c r="MGX68" s="468"/>
      <c r="MGY68" s="468"/>
      <c r="MGZ68" s="468"/>
      <c r="MHA68" s="468"/>
      <c r="MHB68" s="468"/>
      <c r="MHC68" s="468"/>
      <c r="MHD68" s="469"/>
      <c r="MHE68" s="467"/>
      <c r="MHF68" s="468"/>
      <c r="MHG68" s="468"/>
      <c r="MHH68" s="468"/>
      <c r="MHI68" s="468"/>
      <c r="MHJ68" s="468"/>
      <c r="MHK68" s="468"/>
      <c r="MHL68" s="468"/>
      <c r="MHM68" s="468"/>
      <c r="MHN68" s="468"/>
      <c r="MHO68" s="468"/>
      <c r="MHP68" s="468"/>
      <c r="MHQ68" s="468"/>
      <c r="MHR68" s="468"/>
      <c r="MHS68" s="468"/>
      <c r="MHT68" s="468"/>
      <c r="MHU68" s="468"/>
      <c r="MHV68" s="468"/>
      <c r="MHW68" s="468"/>
      <c r="MHX68" s="468"/>
      <c r="MHY68" s="468"/>
      <c r="MHZ68" s="468"/>
      <c r="MIA68" s="468"/>
      <c r="MIB68" s="468"/>
      <c r="MIC68" s="468"/>
      <c r="MID68" s="468"/>
      <c r="MIE68" s="468"/>
      <c r="MIF68" s="468"/>
      <c r="MIG68" s="468"/>
      <c r="MIH68" s="469"/>
      <c r="MII68" s="467"/>
      <c r="MIJ68" s="468"/>
      <c r="MIK68" s="468"/>
      <c r="MIL68" s="468"/>
      <c r="MIM68" s="468"/>
      <c r="MIN68" s="468"/>
      <c r="MIO68" s="468"/>
      <c r="MIP68" s="468"/>
      <c r="MIQ68" s="468"/>
      <c r="MIR68" s="468"/>
      <c r="MIS68" s="468"/>
      <c r="MIT68" s="468"/>
      <c r="MIU68" s="468"/>
      <c r="MIV68" s="468"/>
      <c r="MIW68" s="468"/>
      <c r="MIX68" s="468"/>
      <c r="MIY68" s="468"/>
      <c r="MIZ68" s="468"/>
      <c r="MJA68" s="468"/>
      <c r="MJB68" s="468"/>
      <c r="MJC68" s="468"/>
      <c r="MJD68" s="468"/>
      <c r="MJE68" s="468"/>
      <c r="MJF68" s="468"/>
      <c r="MJG68" s="468"/>
      <c r="MJH68" s="468"/>
      <c r="MJI68" s="468"/>
      <c r="MJJ68" s="468"/>
      <c r="MJK68" s="468"/>
      <c r="MJL68" s="469"/>
      <c r="MJM68" s="467"/>
      <c r="MJN68" s="468"/>
      <c r="MJO68" s="468"/>
      <c r="MJP68" s="468"/>
      <c r="MJQ68" s="468"/>
      <c r="MJR68" s="468"/>
      <c r="MJS68" s="468"/>
      <c r="MJT68" s="468"/>
      <c r="MJU68" s="468"/>
      <c r="MJV68" s="468"/>
      <c r="MJW68" s="468"/>
      <c r="MJX68" s="468"/>
      <c r="MJY68" s="468"/>
      <c r="MJZ68" s="468"/>
      <c r="MKA68" s="468"/>
      <c r="MKB68" s="468"/>
      <c r="MKC68" s="468"/>
      <c r="MKD68" s="468"/>
      <c r="MKE68" s="468"/>
      <c r="MKF68" s="468"/>
      <c r="MKG68" s="468"/>
      <c r="MKH68" s="468"/>
      <c r="MKI68" s="468"/>
      <c r="MKJ68" s="468"/>
      <c r="MKK68" s="468"/>
      <c r="MKL68" s="468"/>
      <c r="MKM68" s="468"/>
      <c r="MKN68" s="468"/>
      <c r="MKO68" s="468"/>
      <c r="MKP68" s="469"/>
      <c r="MKQ68" s="467"/>
      <c r="MKR68" s="468"/>
      <c r="MKS68" s="468"/>
      <c r="MKT68" s="468"/>
      <c r="MKU68" s="468"/>
      <c r="MKV68" s="468"/>
      <c r="MKW68" s="468"/>
      <c r="MKX68" s="468"/>
      <c r="MKY68" s="468"/>
      <c r="MKZ68" s="468"/>
      <c r="MLA68" s="468"/>
      <c r="MLB68" s="468"/>
      <c r="MLC68" s="468"/>
      <c r="MLD68" s="468"/>
      <c r="MLE68" s="468"/>
      <c r="MLF68" s="468"/>
      <c r="MLG68" s="468"/>
      <c r="MLH68" s="468"/>
      <c r="MLI68" s="468"/>
      <c r="MLJ68" s="468"/>
      <c r="MLK68" s="468"/>
      <c r="MLL68" s="468"/>
      <c r="MLM68" s="468"/>
      <c r="MLN68" s="468"/>
      <c r="MLO68" s="468"/>
      <c r="MLP68" s="468"/>
      <c r="MLQ68" s="468"/>
      <c r="MLR68" s="468"/>
      <c r="MLS68" s="468"/>
      <c r="MLT68" s="469"/>
      <c r="MLU68" s="467"/>
      <c r="MLV68" s="468"/>
      <c r="MLW68" s="468"/>
      <c r="MLX68" s="468"/>
      <c r="MLY68" s="468"/>
      <c r="MLZ68" s="468"/>
      <c r="MMA68" s="468"/>
      <c r="MMB68" s="468"/>
      <c r="MMC68" s="468"/>
      <c r="MMD68" s="468"/>
      <c r="MME68" s="468"/>
      <c r="MMF68" s="468"/>
      <c r="MMG68" s="468"/>
      <c r="MMH68" s="468"/>
      <c r="MMI68" s="468"/>
      <c r="MMJ68" s="468"/>
      <c r="MMK68" s="468"/>
      <c r="MML68" s="468"/>
      <c r="MMM68" s="468"/>
      <c r="MMN68" s="468"/>
      <c r="MMO68" s="468"/>
      <c r="MMP68" s="468"/>
      <c r="MMQ68" s="468"/>
      <c r="MMR68" s="468"/>
      <c r="MMS68" s="468"/>
      <c r="MMT68" s="468"/>
      <c r="MMU68" s="468"/>
      <c r="MMV68" s="468"/>
      <c r="MMW68" s="468"/>
      <c r="MMX68" s="469"/>
      <c r="MMY68" s="467"/>
      <c r="MMZ68" s="468"/>
      <c r="MNA68" s="468"/>
      <c r="MNB68" s="468"/>
      <c r="MNC68" s="468"/>
      <c r="MND68" s="468"/>
      <c r="MNE68" s="468"/>
      <c r="MNF68" s="468"/>
      <c r="MNG68" s="468"/>
      <c r="MNH68" s="468"/>
      <c r="MNI68" s="468"/>
      <c r="MNJ68" s="468"/>
      <c r="MNK68" s="468"/>
      <c r="MNL68" s="468"/>
      <c r="MNM68" s="468"/>
      <c r="MNN68" s="468"/>
      <c r="MNO68" s="468"/>
      <c r="MNP68" s="468"/>
      <c r="MNQ68" s="468"/>
      <c r="MNR68" s="468"/>
      <c r="MNS68" s="468"/>
      <c r="MNT68" s="468"/>
      <c r="MNU68" s="468"/>
      <c r="MNV68" s="468"/>
      <c r="MNW68" s="468"/>
      <c r="MNX68" s="468"/>
      <c r="MNY68" s="468"/>
      <c r="MNZ68" s="468"/>
      <c r="MOA68" s="468"/>
      <c r="MOB68" s="469"/>
      <c r="MOC68" s="467"/>
      <c r="MOD68" s="468"/>
      <c r="MOE68" s="468"/>
      <c r="MOF68" s="468"/>
      <c r="MOG68" s="468"/>
      <c r="MOH68" s="468"/>
      <c r="MOI68" s="468"/>
      <c r="MOJ68" s="468"/>
      <c r="MOK68" s="468"/>
      <c r="MOL68" s="468"/>
      <c r="MOM68" s="468"/>
      <c r="MON68" s="468"/>
      <c r="MOO68" s="468"/>
      <c r="MOP68" s="468"/>
      <c r="MOQ68" s="468"/>
      <c r="MOR68" s="468"/>
      <c r="MOS68" s="468"/>
      <c r="MOT68" s="468"/>
      <c r="MOU68" s="468"/>
      <c r="MOV68" s="468"/>
      <c r="MOW68" s="468"/>
      <c r="MOX68" s="468"/>
      <c r="MOY68" s="468"/>
      <c r="MOZ68" s="468"/>
      <c r="MPA68" s="468"/>
      <c r="MPB68" s="468"/>
      <c r="MPC68" s="468"/>
      <c r="MPD68" s="468"/>
      <c r="MPE68" s="468"/>
      <c r="MPF68" s="469"/>
      <c r="MPG68" s="467"/>
      <c r="MPH68" s="468"/>
      <c r="MPI68" s="468"/>
      <c r="MPJ68" s="468"/>
      <c r="MPK68" s="468"/>
      <c r="MPL68" s="468"/>
      <c r="MPM68" s="468"/>
      <c r="MPN68" s="468"/>
      <c r="MPO68" s="468"/>
      <c r="MPP68" s="468"/>
      <c r="MPQ68" s="468"/>
      <c r="MPR68" s="468"/>
      <c r="MPS68" s="468"/>
      <c r="MPT68" s="468"/>
      <c r="MPU68" s="468"/>
      <c r="MPV68" s="468"/>
      <c r="MPW68" s="468"/>
      <c r="MPX68" s="468"/>
      <c r="MPY68" s="468"/>
      <c r="MPZ68" s="468"/>
      <c r="MQA68" s="468"/>
      <c r="MQB68" s="468"/>
      <c r="MQC68" s="468"/>
      <c r="MQD68" s="468"/>
      <c r="MQE68" s="468"/>
      <c r="MQF68" s="468"/>
      <c r="MQG68" s="468"/>
      <c r="MQH68" s="468"/>
      <c r="MQI68" s="468"/>
      <c r="MQJ68" s="469"/>
      <c r="MQK68" s="467"/>
      <c r="MQL68" s="468"/>
      <c r="MQM68" s="468"/>
      <c r="MQN68" s="468"/>
      <c r="MQO68" s="468"/>
      <c r="MQP68" s="468"/>
      <c r="MQQ68" s="468"/>
      <c r="MQR68" s="468"/>
      <c r="MQS68" s="468"/>
      <c r="MQT68" s="468"/>
      <c r="MQU68" s="468"/>
      <c r="MQV68" s="468"/>
      <c r="MQW68" s="468"/>
      <c r="MQX68" s="468"/>
      <c r="MQY68" s="468"/>
      <c r="MQZ68" s="468"/>
      <c r="MRA68" s="468"/>
      <c r="MRB68" s="468"/>
      <c r="MRC68" s="468"/>
      <c r="MRD68" s="468"/>
      <c r="MRE68" s="468"/>
      <c r="MRF68" s="468"/>
      <c r="MRG68" s="468"/>
      <c r="MRH68" s="468"/>
      <c r="MRI68" s="468"/>
      <c r="MRJ68" s="468"/>
      <c r="MRK68" s="468"/>
      <c r="MRL68" s="468"/>
      <c r="MRM68" s="468"/>
      <c r="MRN68" s="469"/>
      <c r="MRO68" s="467"/>
      <c r="MRP68" s="468"/>
      <c r="MRQ68" s="468"/>
      <c r="MRR68" s="468"/>
      <c r="MRS68" s="468"/>
      <c r="MRT68" s="468"/>
      <c r="MRU68" s="468"/>
      <c r="MRV68" s="468"/>
      <c r="MRW68" s="468"/>
      <c r="MRX68" s="468"/>
      <c r="MRY68" s="468"/>
      <c r="MRZ68" s="468"/>
      <c r="MSA68" s="468"/>
      <c r="MSB68" s="468"/>
      <c r="MSC68" s="468"/>
      <c r="MSD68" s="468"/>
      <c r="MSE68" s="468"/>
      <c r="MSF68" s="468"/>
      <c r="MSG68" s="468"/>
      <c r="MSH68" s="468"/>
      <c r="MSI68" s="468"/>
      <c r="MSJ68" s="468"/>
      <c r="MSK68" s="468"/>
      <c r="MSL68" s="468"/>
      <c r="MSM68" s="468"/>
      <c r="MSN68" s="468"/>
      <c r="MSO68" s="468"/>
      <c r="MSP68" s="468"/>
      <c r="MSQ68" s="468"/>
      <c r="MSR68" s="469"/>
      <c r="MSS68" s="467"/>
      <c r="MST68" s="468"/>
      <c r="MSU68" s="468"/>
      <c r="MSV68" s="468"/>
      <c r="MSW68" s="468"/>
      <c r="MSX68" s="468"/>
      <c r="MSY68" s="468"/>
      <c r="MSZ68" s="468"/>
      <c r="MTA68" s="468"/>
      <c r="MTB68" s="468"/>
      <c r="MTC68" s="468"/>
      <c r="MTD68" s="468"/>
      <c r="MTE68" s="468"/>
      <c r="MTF68" s="468"/>
      <c r="MTG68" s="468"/>
      <c r="MTH68" s="468"/>
      <c r="MTI68" s="468"/>
      <c r="MTJ68" s="468"/>
      <c r="MTK68" s="468"/>
      <c r="MTL68" s="468"/>
      <c r="MTM68" s="468"/>
      <c r="MTN68" s="468"/>
      <c r="MTO68" s="468"/>
      <c r="MTP68" s="468"/>
      <c r="MTQ68" s="468"/>
      <c r="MTR68" s="468"/>
      <c r="MTS68" s="468"/>
      <c r="MTT68" s="468"/>
      <c r="MTU68" s="468"/>
      <c r="MTV68" s="469"/>
      <c r="MTW68" s="467"/>
      <c r="MTX68" s="468"/>
      <c r="MTY68" s="468"/>
      <c r="MTZ68" s="468"/>
      <c r="MUA68" s="468"/>
      <c r="MUB68" s="468"/>
      <c r="MUC68" s="468"/>
      <c r="MUD68" s="468"/>
      <c r="MUE68" s="468"/>
      <c r="MUF68" s="468"/>
      <c r="MUG68" s="468"/>
      <c r="MUH68" s="468"/>
      <c r="MUI68" s="468"/>
      <c r="MUJ68" s="468"/>
      <c r="MUK68" s="468"/>
      <c r="MUL68" s="468"/>
      <c r="MUM68" s="468"/>
      <c r="MUN68" s="468"/>
      <c r="MUO68" s="468"/>
      <c r="MUP68" s="468"/>
      <c r="MUQ68" s="468"/>
      <c r="MUR68" s="468"/>
      <c r="MUS68" s="468"/>
      <c r="MUT68" s="468"/>
      <c r="MUU68" s="468"/>
      <c r="MUV68" s="468"/>
      <c r="MUW68" s="468"/>
      <c r="MUX68" s="468"/>
      <c r="MUY68" s="468"/>
      <c r="MUZ68" s="469"/>
      <c r="MVA68" s="467"/>
      <c r="MVB68" s="468"/>
      <c r="MVC68" s="468"/>
      <c r="MVD68" s="468"/>
      <c r="MVE68" s="468"/>
      <c r="MVF68" s="468"/>
      <c r="MVG68" s="468"/>
      <c r="MVH68" s="468"/>
      <c r="MVI68" s="468"/>
      <c r="MVJ68" s="468"/>
      <c r="MVK68" s="468"/>
      <c r="MVL68" s="468"/>
      <c r="MVM68" s="468"/>
      <c r="MVN68" s="468"/>
      <c r="MVO68" s="468"/>
      <c r="MVP68" s="468"/>
      <c r="MVQ68" s="468"/>
      <c r="MVR68" s="468"/>
      <c r="MVS68" s="468"/>
      <c r="MVT68" s="468"/>
      <c r="MVU68" s="468"/>
      <c r="MVV68" s="468"/>
      <c r="MVW68" s="468"/>
      <c r="MVX68" s="468"/>
      <c r="MVY68" s="468"/>
      <c r="MVZ68" s="468"/>
      <c r="MWA68" s="468"/>
      <c r="MWB68" s="468"/>
      <c r="MWC68" s="468"/>
      <c r="MWD68" s="469"/>
      <c r="MWE68" s="467"/>
      <c r="MWF68" s="468"/>
      <c r="MWG68" s="468"/>
      <c r="MWH68" s="468"/>
      <c r="MWI68" s="468"/>
      <c r="MWJ68" s="468"/>
      <c r="MWK68" s="468"/>
      <c r="MWL68" s="468"/>
      <c r="MWM68" s="468"/>
      <c r="MWN68" s="468"/>
      <c r="MWO68" s="468"/>
      <c r="MWP68" s="468"/>
      <c r="MWQ68" s="468"/>
      <c r="MWR68" s="468"/>
      <c r="MWS68" s="468"/>
      <c r="MWT68" s="468"/>
      <c r="MWU68" s="468"/>
      <c r="MWV68" s="468"/>
      <c r="MWW68" s="468"/>
      <c r="MWX68" s="468"/>
      <c r="MWY68" s="468"/>
      <c r="MWZ68" s="468"/>
      <c r="MXA68" s="468"/>
      <c r="MXB68" s="468"/>
      <c r="MXC68" s="468"/>
      <c r="MXD68" s="468"/>
      <c r="MXE68" s="468"/>
      <c r="MXF68" s="468"/>
      <c r="MXG68" s="468"/>
      <c r="MXH68" s="469"/>
      <c r="MXI68" s="467"/>
      <c r="MXJ68" s="468"/>
      <c r="MXK68" s="468"/>
      <c r="MXL68" s="468"/>
      <c r="MXM68" s="468"/>
      <c r="MXN68" s="468"/>
      <c r="MXO68" s="468"/>
      <c r="MXP68" s="468"/>
      <c r="MXQ68" s="468"/>
      <c r="MXR68" s="468"/>
      <c r="MXS68" s="468"/>
      <c r="MXT68" s="468"/>
      <c r="MXU68" s="468"/>
      <c r="MXV68" s="468"/>
      <c r="MXW68" s="468"/>
      <c r="MXX68" s="468"/>
      <c r="MXY68" s="468"/>
      <c r="MXZ68" s="468"/>
      <c r="MYA68" s="468"/>
      <c r="MYB68" s="468"/>
      <c r="MYC68" s="468"/>
      <c r="MYD68" s="468"/>
      <c r="MYE68" s="468"/>
      <c r="MYF68" s="468"/>
      <c r="MYG68" s="468"/>
      <c r="MYH68" s="468"/>
      <c r="MYI68" s="468"/>
      <c r="MYJ68" s="468"/>
      <c r="MYK68" s="468"/>
      <c r="MYL68" s="469"/>
      <c r="MYM68" s="467"/>
      <c r="MYN68" s="468"/>
      <c r="MYO68" s="468"/>
      <c r="MYP68" s="468"/>
      <c r="MYQ68" s="468"/>
      <c r="MYR68" s="468"/>
      <c r="MYS68" s="468"/>
      <c r="MYT68" s="468"/>
      <c r="MYU68" s="468"/>
      <c r="MYV68" s="468"/>
      <c r="MYW68" s="468"/>
      <c r="MYX68" s="468"/>
      <c r="MYY68" s="468"/>
      <c r="MYZ68" s="468"/>
      <c r="MZA68" s="468"/>
      <c r="MZB68" s="468"/>
      <c r="MZC68" s="468"/>
      <c r="MZD68" s="468"/>
      <c r="MZE68" s="468"/>
      <c r="MZF68" s="468"/>
      <c r="MZG68" s="468"/>
      <c r="MZH68" s="468"/>
      <c r="MZI68" s="468"/>
      <c r="MZJ68" s="468"/>
      <c r="MZK68" s="468"/>
      <c r="MZL68" s="468"/>
      <c r="MZM68" s="468"/>
      <c r="MZN68" s="468"/>
      <c r="MZO68" s="468"/>
      <c r="MZP68" s="469"/>
      <c r="MZQ68" s="467"/>
      <c r="MZR68" s="468"/>
      <c r="MZS68" s="468"/>
      <c r="MZT68" s="468"/>
      <c r="MZU68" s="468"/>
      <c r="MZV68" s="468"/>
      <c r="MZW68" s="468"/>
      <c r="MZX68" s="468"/>
      <c r="MZY68" s="468"/>
      <c r="MZZ68" s="468"/>
      <c r="NAA68" s="468"/>
      <c r="NAB68" s="468"/>
      <c r="NAC68" s="468"/>
      <c r="NAD68" s="468"/>
      <c r="NAE68" s="468"/>
      <c r="NAF68" s="468"/>
      <c r="NAG68" s="468"/>
      <c r="NAH68" s="468"/>
      <c r="NAI68" s="468"/>
      <c r="NAJ68" s="468"/>
      <c r="NAK68" s="468"/>
      <c r="NAL68" s="468"/>
      <c r="NAM68" s="468"/>
      <c r="NAN68" s="468"/>
      <c r="NAO68" s="468"/>
      <c r="NAP68" s="468"/>
      <c r="NAQ68" s="468"/>
      <c r="NAR68" s="468"/>
      <c r="NAS68" s="468"/>
      <c r="NAT68" s="469"/>
      <c r="NAU68" s="467"/>
      <c r="NAV68" s="468"/>
      <c r="NAW68" s="468"/>
      <c r="NAX68" s="468"/>
      <c r="NAY68" s="468"/>
      <c r="NAZ68" s="468"/>
      <c r="NBA68" s="468"/>
      <c r="NBB68" s="468"/>
      <c r="NBC68" s="468"/>
      <c r="NBD68" s="468"/>
      <c r="NBE68" s="468"/>
      <c r="NBF68" s="468"/>
      <c r="NBG68" s="468"/>
      <c r="NBH68" s="468"/>
      <c r="NBI68" s="468"/>
      <c r="NBJ68" s="468"/>
      <c r="NBK68" s="468"/>
      <c r="NBL68" s="468"/>
      <c r="NBM68" s="468"/>
      <c r="NBN68" s="468"/>
      <c r="NBO68" s="468"/>
      <c r="NBP68" s="468"/>
      <c r="NBQ68" s="468"/>
      <c r="NBR68" s="468"/>
      <c r="NBS68" s="468"/>
      <c r="NBT68" s="468"/>
      <c r="NBU68" s="468"/>
      <c r="NBV68" s="468"/>
      <c r="NBW68" s="468"/>
      <c r="NBX68" s="469"/>
      <c r="NBY68" s="467"/>
      <c r="NBZ68" s="468"/>
      <c r="NCA68" s="468"/>
      <c r="NCB68" s="468"/>
      <c r="NCC68" s="468"/>
      <c r="NCD68" s="468"/>
      <c r="NCE68" s="468"/>
      <c r="NCF68" s="468"/>
      <c r="NCG68" s="468"/>
      <c r="NCH68" s="468"/>
      <c r="NCI68" s="468"/>
      <c r="NCJ68" s="468"/>
      <c r="NCK68" s="468"/>
      <c r="NCL68" s="468"/>
      <c r="NCM68" s="468"/>
      <c r="NCN68" s="468"/>
      <c r="NCO68" s="468"/>
      <c r="NCP68" s="468"/>
      <c r="NCQ68" s="468"/>
      <c r="NCR68" s="468"/>
      <c r="NCS68" s="468"/>
      <c r="NCT68" s="468"/>
      <c r="NCU68" s="468"/>
      <c r="NCV68" s="468"/>
      <c r="NCW68" s="468"/>
      <c r="NCX68" s="468"/>
      <c r="NCY68" s="468"/>
      <c r="NCZ68" s="468"/>
      <c r="NDA68" s="468"/>
      <c r="NDB68" s="469"/>
      <c r="NDC68" s="467"/>
      <c r="NDD68" s="468"/>
      <c r="NDE68" s="468"/>
      <c r="NDF68" s="468"/>
      <c r="NDG68" s="468"/>
      <c r="NDH68" s="468"/>
      <c r="NDI68" s="468"/>
      <c r="NDJ68" s="468"/>
      <c r="NDK68" s="468"/>
      <c r="NDL68" s="468"/>
      <c r="NDM68" s="468"/>
      <c r="NDN68" s="468"/>
      <c r="NDO68" s="468"/>
      <c r="NDP68" s="468"/>
      <c r="NDQ68" s="468"/>
      <c r="NDR68" s="468"/>
      <c r="NDS68" s="468"/>
      <c r="NDT68" s="468"/>
      <c r="NDU68" s="468"/>
      <c r="NDV68" s="468"/>
      <c r="NDW68" s="468"/>
      <c r="NDX68" s="468"/>
      <c r="NDY68" s="468"/>
      <c r="NDZ68" s="468"/>
      <c r="NEA68" s="468"/>
      <c r="NEB68" s="468"/>
      <c r="NEC68" s="468"/>
      <c r="NED68" s="468"/>
      <c r="NEE68" s="468"/>
      <c r="NEF68" s="469"/>
      <c r="NEG68" s="467"/>
      <c r="NEH68" s="468"/>
      <c r="NEI68" s="468"/>
      <c r="NEJ68" s="468"/>
      <c r="NEK68" s="468"/>
      <c r="NEL68" s="468"/>
      <c r="NEM68" s="468"/>
      <c r="NEN68" s="468"/>
      <c r="NEO68" s="468"/>
      <c r="NEP68" s="468"/>
      <c r="NEQ68" s="468"/>
      <c r="NER68" s="468"/>
      <c r="NES68" s="468"/>
      <c r="NET68" s="468"/>
      <c r="NEU68" s="468"/>
      <c r="NEV68" s="468"/>
      <c r="NEW68" s="468"/>
      <c r="NEX68" s="468"/>
      <c r="NEY68" s="468"/>
      <c r="NEZ68" s="468"/>
      <c r="NFA68" s="468"/>
      <c r="NFB68" s="468"/>
      <c r="NFC68" s="468"/>
      <c r="NFD68" s="468"/>
      <c r="NFE68" s="468"/>
      <c r="NFF68" s="468"/>
      <c r="NFG68" s="468"/>
      <c r="NFH68" s="468"/>
      <c r="NFI68" s="468"/>
      <c r="NFJ68" s="469"/>
      <c r="NFK68" s="467"/>
      <c r="NFL68" s="468"/>
      <c r="NFM68" s="468"/>
      <c r="NFN68" s="468"/>
      <c r="NFO68" s="468"/>
      <c r="NFP68" s="468"/>
      <c r="NFQ68" s="468"/>
      <c r="NFR68" s="468"/>
      <c r="NFS68" s="468"/>
      <c r="NFT68" s="468"/>
      <c r="NFU68" s="468"/>
      <c r="NFV68" s="468"/>
      <c r="NFW68" s="468"/>
      <c r="NFX68" s="468"/>
      <c r="NFY68" s="468"/>
      <c r="NFZ68" s="468"/>
      <c r="NGA68" s="468"/>
      <c r="NGB68" s="468"/>
      <c r="NGC68" s="468"/>
      <c r="NGD68" s="468"/>
      <c r="NGE68" s="468"/>
      <c r="NGF68" s="468"/>
      <c r="NGG68" s="468"/>
      <c r="NGH68" s="468"/>
      <c r="NGI68" s="468"/>
      <c r="NGJ68" s="468"/>
      <c r="NGK68" s="468"/>
      <c r="NGL68" s="468"/>
      <c r="NGM68" s="468"/>
      <c r="NGN68" s="469"/>
      <c r="NGO68" s="467"/>
      <c r="NGP68" s="468"/>
      <c r="NGQ68" s="468"/>
      <c r="NGR68" s="468"/>
      <c r="NGS68" s="468"/>
      <c r="NGT68" s="468"/>
      <c r="NGU68" s="468"/>
      <c r="NGV68" s="468"/>
      <c r="NGW68" s="468"/>
      <c r="NGX68" s="468"/>
      <c r="NGY68" s="468"/>
      <c r="NGZ68" s="468"/>
      <c r="NHA68" s="468"/>
      <c r="NHB68" s="468"/>
      <c r="NHC68" s="468"/>
      <c r="NHD68" s="468"/>
      <c r="NHE68" s="468"/>
      <c r="NHF68" s="468"/>
      <c r="NHG68" s="468"/>
      <c r="NHH68" s="468"/>
      <c r="NHI68" s="468"/>
      <c r="NHJ68" s="468"/>
      <c r="NHK68" s="468"/>
      <c r="NHL68" s="468"/>
      <c r="NHM68" s="468"/>
      <c r="NHN68" s="468"/>
      <c r="NHO68" s="468"/>
      <c r="NHP68" s="468"/>
      <c r="NHQ68" s="468"/>
      <c r="NHR68" s="469"/>
      <c r="NHS68" s="467"/>
      <c r="NHT68" s="468"/>
      <c r="NHU68" s="468"/>
      <c r="NHV68" s="468"/>
      <c r="NHW68" s="468"/>
      <c r="NHX68" s="468"/>
      <c r="NHY68" s="468"/>
      <c r="NHZ68" s="468"/>
      <c r="NIA68" s="468"/>
      <c r="NIB68" s="468"/>
      <c r="NIC68" s="468"/>
      <c r="NID68" s="468"/>
      <c r="NIE68" s="468"/>
      <c r="NIF68" s="468"/>
      <c r="NIG68" s="468"/>
      <c r="NIH68" s="468"/>
      <c r="NII68" s="468"/>
      <c r="NIJ68" s="468"/>
      <c r="NIK68" s="468"/>
      <c r="NIL68" s="468"/>
      <c r="NIM68" s="468"/>
      <c r="NIN68" s="468"/>
      <c r="NIO68" s="468"/>
      <c r="NIP68" s="468"/>
      <c r="NIQ68" s="468"/>
      <c r="NIR68" s="468"/>
      <c r="NIS68" s="468"/>
      <c r="NIT68" s="468"/>
      <c r="NIU68" s="468"/>
      <c r="NIV68" s="469"/>
      <c r="NIW68" s="467"/>
      <c r="NIX68" s="468"/>
      <c r="NIY68" s="468"/>
      <c r="NIZ68" s="468"/>
      <c r="NJA68" s="468"/>
      <c r="NJB68" s="468"/>
      <c r="NJC68" s="468"/>
      <c r="NJD68" s="468"/>
      <c r="NJE68" s="468"/>
      <c r="NJF68" s="468"/>
      <c r="NJG68" s="468"/>
      <c r="NJH68" s="468"/>
      <c r="NJI68" s="468"/>
      <c r="NJJ68" s="468"/>
      <c r="NJK68" s="468"/>
      <c r="NJL68" s="468"/>
      <c r="NJM68" s="468"/>
      <c r="NJN68" s="468"/>
      <c r="NJO68" s="468"/>
      <c r="NJP68" s="468"/>
      <c r="NJQ68" s="468"/>
      <c r="NJR68" s="468"/>
      <c r="NJS68" s="468"/>
      <c r="NJT68" s="468"/>
      <c r="NJU68" s="468"/>
      <c r="NJV68" s="468"/>
      <c r="NJW68" s="468"/>
      <c r="NJX68" s="468"/>
      <c r="NJY68" s="468"/>
      <c r="NJZ68" s="469"/>
      <c r="NKA68" s="467"/>
      <c r="NKB68" s="468"/>
      <c r="NKC68" s="468"/>
      <c r="NKD68" s="468"/>
      <c r="NKE68" s="468"/>
      <c r="NKF68" s="468"/>
      <c r="NKG68" s="468"/>
      <c r="NKH68" s="468"/>
      <c r="NKI68" s="468"/>
      <c r="NKJ68" s="468"/>
      <c r="NKK68" s="468"/>
      <c r="NKL68" s="468"/>
      <c r="NKM68" s="468"/>
      <c r="NKN68" s="468"/>
      <c r="NKO68" s="468"/>
      <c r="NKP68" s="468"/>
      <c r="NKQ68" s="468"/>
      <c r="NKR68" s="468"/>
      <c r="NKS68" s="468"/>
      <c r="NKT68" s="468"/>
      <c r="NKU68" s="468"/>
      <c r="NKV68" s="468"/>
      <c r="NKW68" s="468"/>
      <c r="NKX68" s="468"/>
      <c r="NKY68" s="468"/>
      <c r="NKZ68" s="468"/>
      <c r="NLA68" s="468"/>
      <c r="NLB68" s="468"/>
      <c r="NLC68" s="468"/>
      <c r="NLD68" s="469"/>
      <c r="NLE68" s="467"/>
      <c r="NLF68" s="468"/>
      <c r="NLG68" s="468"/>
      <c r="NLH68" s="468"/>
      <c r="NLI68" s="468"/>
      <c r="NLJ68" s="468"/>
      <c r="NLK68" s="468"/>
      <c r="NLL68" s="468"/>
      <c r="NLM68" s="468"/>
      <c r="NLN68" s="468"/>
      <c r="NLO68" s="468"/>
      <c r="NLP68" s="468"/>
      <c r="NLQ68" s="468"/>
      <c r="NLR68" s="468"/>
      <c r="NLS68" s="468"/>
      <c r="NLT68" s="468"/>
      <c r="NLU68" s="468"/>
      <c r="NLV68" s="468"/>
      <c r="NLW68" s="468"/>
      <c r="NLX68" s="468"/>
      <c r="NLY68" s="468"/>
      <c r="NLZ68" s="468"/>
      <c r="NMA68" s="468"/>
      <c r="NMB68" s="468"/>
      <c r="NMC68" s="468"/>
      <c r="NMD68" s="468"/>
      <c r="NME68" s="468"/>
      <c r="NMF68" s="468"/>
      <c r="NMG68" s="468"/>
      <c r="NMH68" s="469"/>
      <c r="NMI68" s="467"/>
      <c r="NMJ68" s="468"/>
      <c r="NMK68" s="468"/>
      <c r="NML68" s="468"/>
      <c r="NMM68" s="468"/>
      <c r="NMN68" s="468"/>
      <c r="NMO68" s="468"/>
      <c r="NMP68" s="468"/>
      <c r="NMQ68" s="468"/>
      <c r="NMR68" s="468"/>
      <c r="NMS68" s="468"/>
      <c r="NMT68" s="468"/>
      <c r="NMU68" s="468"/>
      <c r="NMV68" s="468"/>
      <c r="NMW68" s="468"/>
      <c r="NMX68" s="468"/>
      <c r="NMY68" s="468"/>
      <c r="NMZ68" s="468"/>
      <c r="NNA68" s="468"/>
      <c r="NNB68" s="468"/>
      <c r="NNC68" s="468"/>
      <c r="NND68" s="468"/>
      <c r="NNE68" s="468"/>
      <c r="NNF68" s="468"/>
      <c r="NNG68" s="468"/>
      <c r="NNH68" s="468"/>
      <c r="NNI68" s="468"/>
      <c r="NNJ68" s="468"/>
      <c r="NNK68" s="468"/>
      <c r="NNL68" s="469"/>
      <c r="NNM68" s="467"/>
      <c r="NNN68" s="468"/>
      <c r="NNO68" s="468"/>
      <c r="NNP68" s="468"/>
      <c r="NNQ68" s="468"/>
      <c r="NNR68" s="468"/>
      <c r="NNS68" s="468"/>
      <c r="NNT68" s="468"/>
      <c r="NNU68" s="468"/>
      <c r="NNV68" s="468"/>
      <c r="NNW68" s="468"/>
      <c r="NNX68" s="468"/>
      <c r="NNY68" s="468"/>
      <c r="NNZ68" s="468"/>
      <c r="NOA68" s="468"/>
      <c r="NOB68" s="468"/>
      <c r="NOC68" s="468"/>
      <c r="NOD68" s="468"/>
      <c r="NOE68" s="468"/>
      <c r="NOF68" s="468"/>
      <c r="NOG68" s="468"/>
      <c r="NOH68" s="468"/>
      <c r="NOI68" s="468"/>
      <c r="NOJ68" s="468"/>
      <c r="NOK68" s="468"/>
      <c r="NOL68" s="468"/>
      <c r="NOM68" s="468"/>
      <c r="NON68" s="468"/>
      <c r="NOO68" s="468"/>
      <c r="NOP68" s="469"/>
      <c r="NOQ68" s="467"/>
      <c r="NOR68" s="468"/>
      <c r="NOS68" s="468"/>
      <c r="NOT68" s="468"/>
      <c r="NOU68" s="468"/>
      <c r="NOV68" s="468"/>
      <c r="NOW68" s="468"/>
      <c r="NOX68" s="468"/>
      <c r="NOY68" s="468"/>
      <c r="NOZ68" s="468"/>
      <c r="NPA68" s="468"/>
      <c r="NPB68" s="468"/>
      <c r="NPC68" s="468"/>
      <c r="NPD68" s="468"/>
      <c r="NPE68" s="468"/>
      <c r="NPF68" s="468"/>
      <c r="NPG68" s="468"/>
      <c r="NPH68" s="468"/>
      <c r="NPI68" s="468"/>
      <c r="NPJ68" s="468"/>
      <c r="NPK68" s="468"/>
      <c r="NPL68" s="468"/>
      <c r="NPM68" s="468"/>
      <c r="NPN68" s="468"/>
      <c r="NPO68" s="468"/>
      <c r="NPP68" s="468"/>
      <c r="NPQ68" s="468"/>
      <c r="NPR68" s="468"/>
      <c r="NPS68" s="468"/>
      <c r="NPT68" s="469"/>
      <c r="NPU68" s="467"/>
      <c r="NPV68" s="468"/>
      <c r="NPW68" s="468"/>
      <c r="NPX68" s="468"/>
      <c r="NPY68" s="468"/>
      <c r="NPZ68" s="468"/>
      <c r="NQA68" s="468"/>
      <c r="NQB68" s="468"/>
      <c r="NQC68" s="468"/>
      <c r="NQD68" s="468"/>
      <c r="NQE68" s="468"/>
      <c r="NQF68" s="468"/>
      <c r="NQG68" s="468"/>
      <c r="NQH68" s="468"/>
      <c r="NQI68" s="468"/>
      <c r="NQJ68" s="468"/>
      <c r="NQK68" s="468"/>
      <c r="NQL68" s="468"/>
      <c r="NQM68" s="468"/>
      <c r="NQN68" s="468"/>
      <c r="NQO68" s="468"/>
      <c r="NQP68" s="468"/>
      <c r="NQQ68" s="468"/>
      <c r="NQR68" s="468"/>
      <c r="NQS68" s="468"/>
      <c r="NQT68" s="468"/>
      <c r="NQU68" s="468"/>
      <c r="NQV68" s="468"/>
      <c r="NQW68" s="468"/>
      <c r="NQX68" s="469"/>
      <c r="NQY68" s="467"/>
      <c r="NQZ68" s="468"/>
      <c r="NRA68" s="468"/>
      <c r="NRB68" s="468"/>
      <c r="NRC68" s="468"/>
      <c r="NRD68" s="468"/>
      <c r="NRE68" s="468"/>
      <c r="NRF68" s="468"/>
      <c r="NRG68" s="468"/>
      <c r="NRH68" s="468"/>
      <c r="NRI68" s="468"/>
      <c r="NRJ68" s="468"/>
      <c r="NRK68" s="468"/>
      <c r="NRL68" s="468"/>
      <c r="NRM68" s="468"/>
      <c r="NRN68" s="468"/>
      <c r="NRO68" s="468"/>
      <c r="NRP68" s="468"/>
      <c r="NRQ68" s="468"/>
      <c r="NRR68" s="468"/>
      <c r="NRS68" s="468"/>
      <c r="NRT68" s="468"/>
      <c r="NRU68" s="468"/>
      <c r="NRV68" s="468"/>
      <c r="NRW68" s="468"/>
      <c r="NRX68" s="468"/>
      <c r="NRY68" s="468"/>
      <c r="NRZ68" s="468"/>
      <c r="NSA68" s="468"/>
      <c r="NSB68" s="469"/>
      <c r="NSC68" s="467"/>
      <c r="NSD68" s="468"/>
      <c r="NSE68" s="468"/>
      <c r="NSF68" s="468"/>
      <c r="NSG68" s="468"/>
      <c r="NSH68" s="468"/>
      <c r="NSI68" s="468"/>
      <c r="NSJ68" s="468"/>
      <c r="NSK68" s="468"/>
      <c r="NSL68" s="468"/>
      <c r="NSM68" s="468"/>
      <c r="NSN68" s="468"/>
      <c r="NSO68" s="468"/>
      <c r="NSP68" s="468"/>
      <c r="NSQ68" s="468"/>
      <c r="NSR68" s="468"/>
      <c r="NSS68" s="468"/>
      <c r="NST68" s="468"/>
      <c r="NSU68" s="468"/>
      <c r="NSV68" s="468"/>
      <c r="NSW68" s="468"/>
      <c r="NSX68" s="468"/>
      <c r="NSY68" s="468"/>
      <c r="NSZ68" s="468"/>
      <c r="NTA68" s="468"/>
      <c r="NTB68" s="468"/>
      <c r="NTC68" s="468"/>
      <c r="NTD68" s="468"/>
      <c r="NTE68" s="468"/>
      <c r="NTF68" s="469"/>
      <c r="NTG68" s="467"/>
      <c r="NTH68" s="468"/>
      <c r="NTI68" s="468"/>
      <c r="NTJ68" s="468"/>
      <c r="NTK68" s="468"/>
      <c r="NTL68" s="468"/>
      <c r="NTM68" s="468"/>
      <c r="NTN68" s="468"/>
      <c r="NTO68" s="468"/>
      <c r="NTP68" s="468"/>
      <c r="NTQ68" s="468"/>
      <c r="NTR68" s="468"/>
      <c r="NTS68" s="468"/>
      <c r="NTT68" s="468"/>
      <c r="NTU68" s="468"/>
      <c r="NTV68" s="468"/>
      <c r="NTW68" s="468"/>
      <c r="NTX68" s="468"/>
      <c r="NTY68" s="468"/>
      <c r="NTZ68" s="468"/>
      <c r="NUA68" s="468"/>
      <c r="NUB68" s="468"/>
      <c r="NUC68" s="468"/>
      <c r="NUD68" s="468"/>
      <c r="NUE68" s="468"/>
      <c r="NUF68" s="468"/>
      <c r="NUG68" s="468"/>
      <c r="NUH68" s="468"/>
      <c r="NUI68" s="468"/>
      <c r="NUJ68" s="469"/>
      <c r="NUK68" s="467"/>
      <c r="NUL68" s="468"/>
      <c r="NUM68" s="468"/>
      <c r="NUN68" s="468"/>
      <c r="NUO68" s="468"/>
      <c r="NUP68" s="468"/>
      <c r="NUQ68" s="468"/>
      <c r="NUR68" s="468"/>
      <c r="NUS68" s="468"/>
      <c r="NUT68" s="468"/>
      <c r="NUU68" s="468"/>
      <c r="NUV68" s="468"/>
      <c r="NUW68" s="468"/>
      <c r="NUX68" s="468"/>
      <c r="NUY68" s="468"/>
      <c r="NUZ68" s="468"/>
      <c r="NVA68" s="468"/>
      <c r="NVB68" s="468"/>
      <c r="NVC68" s="468"/>
      <c r="NVD68" s="468"/>
      <c r="NVE68" s="468"/>
      <c r="NVF68" s="468"/>
      <c r="NVG68" s="468"/>
      <c r="NVH68" s="468"/>
      <c r="NVI68" s="468"/>
      <c r="NVJ68" s="468"/>
      <c r="NVK68" s="468"/>
      <c r="NVL68" s="468"/>
      <c r="NVM68" s="468"/>
      <c r="NVN68" s="469"/>
      <c r="NVO68" s="467"/>
      <c r="NVP68" s="468"/>
      <c r="NVQ68" s="468"/>
      <c r="NVR68" s="468"/>
      <c r="NVS68" s="468"/>
      <c r="NVT68" s="468"/>
      <c r="NVU68" s="468"/>
      <c r="NVV68" s="468"/>
      <c r="NVW68" s="468"/>
      <c r="NVX68" s="468"/>
      <c r="NVY68" s="468"/>
      <c r="NVZ68" s="468"/>
      <c r="NWA68" s="468"/>
      <c r="NWB68" s="468"/>
      <c r="NWC68" s="468"/>
      <c r="NWD68" s="468"/>
      <c r="NWE68" s="468"/>
      <c r="NWF68" s="468"/>
      <c r="NWG68" s="468"/>
      <c r="NWH68" s="468"/>
      <c r="NWI68" s="468"/>
      <c r="NWJ68" s="468"/>
      <c r="NWK68" s="468"/>
      <c r="NWL68" s="468"/>
      <c r="NWM68" s="468"/>
      <c r="NWN68" s="468"/>
      <c r="NWO68" s="468"/>
      <c r="NWP68" s="468"/>
      <c r="NWQ68" s="468"/>
      <c r="NWR68" s="469"/>
      <c r="NWS68" s="467"/>
      <c r="NWT68" s="468"/>
      <c r="NWU68" s="468"/>
      <c r="NWV68" s="468"/>
      <c r="NWW68" s="468"/>
      <c r="NWX68" s="468"/>
      <c r="NWY68" s="468"/>
      <c r="NWZ68" s="468"/>
      <c r="NXA68" s="468"/>
      <c r="NXB68" s="468"/>
      <c r="NXC68" s="468"/>
      <c r="NXD68" s="468"/>
      <c r="NXE68" s="468"/>
      <c r="NXF68" s="468"/>
      <c r="NXG68" s="468"/>
      <c r="NXH68" s="468"/>
      <c r="NXI68" s="468"/>
      <c r="NXJ68" s="468"/>
      <c r="NXK68" s="468"/>
      <c r="NXL68" s="468"/>
      <c r="NXM68" s="468"/>
      <c r="NXN68" s="468"/>
      <c r="NXO68" s="468"/>
      <c r="NXP68" s="468"/>
      <c r="NXQ68" s="468"/>
      <c r="NXR68" s="468"/>
      <c r="NXS68" s="468"/>
      <c r="NXT68" s="468"/>
      <c r="NXU68" s="468"/>
      <c r="NXV68" s="469"/>
      <c r="NXW68" s="467"/>
      <c r="NXX68" s="468"/>
      <c r="NXY68" s="468"/>
      <c r="NXZ68" s="468"/>
      <c r="NYA68" s="468"/>
      <c r="NYB68" s="468"/>
      <c r="NYC68" s="468"/>
      <c r="NYD68" s="468"/>
      <c r="NYE68" s="468"/>
      <c r="NYF68" s="468"/>
      <c r="NYG68" s="468"/>
      <c r="NYH68" s="468"/>
      <c r="NYI68" s="468"/>
      <c r="NYJ68" s="468"/>
      <c r="NYK68" s="468"/>
      <c r="NYL68" s="468"/>
      <c r="NYM68" s="468"/>
      <c r="NYN68" s="468"/>
      <c r="NYO68" s="468"/>
      <c r="NYP68" s="468"/>
      <c r="NYQ68" s="468"/>
      <c r="NYR68" s="468"/>
      <c r="NYS68" s="468"/>
      <c r="NYT68" s="468"/>
      <c r="NYU68" s="468"/>
      <c r="NYV68" s="468"/>
      <c r="NYW68" s="468"/>
      <c r="NYX68" s="468"/>
      <c r="NYY68" s="468"/>
      <c r="NYZ68" s="469"/>
      <c r="NZA68" s="467"/>
      <c r="NZB68" s="468"/>
      <c r="NZC68" s="468"/>
      <c r="NZD68" s="468"/>
      <c r="NZE68" s="468"/>
      <c r="NZF68" s="468"/>
      <c r="NZG68" s="468"/>
      <c r="NZH68" s="468"/>
      <c r="NZI68" s="468"/>
      <c r="NZJ68" s="468"/>
      <c r="NZK68" s="468"/>
      <c r="NZL68" s="468"/>
      <c r="NZM68" s="468"/>
      <c r="NZN68" s="468"/>
      <c r="NZO68" s="468"/>
      <c r="NZP68" s="468"/>
      <c r="NZQ68" s="468"/>
      <c r="NZR68" s="468"/>
      <c r="NZS68" s="468"/>
      <c r="NZT68" s="468"/>
      <c r="NZU68" s="468"/>
      <c r="NZV68" s="468"/>
      <c r="NZW68" s="468"/>
      <c r="NZX68" s="468"/>
      <c r="NZY68" s="468"/>
      <c r="NZZ68" s="468"/>
      <c r="OAA68" s="468"/>
      <c r="OAB68" s="468"/>
      <c r="OAC68" s="468"/>
      <c r="OAD68" s="469"/>
      <c r="OAE68" s="467"/>
      <c r="OAF68" s="468"/>
      <c r="OAG68" s="468"/>
      <c r="OAH68" s="468"/>
      <c r="OAI68" s="468"/>
      <c r="OAJ68" s="468"/>
      <c r="OAK68" s="468"/>
      <c r="OAL68" s="468"/>
      <c r="OAM68" s="468"/>
      <c r="OAN68" s="468"/>
      <c r="OAO68" s="468"/>
      <c r="OAP68" s="468"/>
      <c r="OAQ68" s="468"/>
      <c r="OAR68" s="468"/>
      <c r="OAS68" s="468"/>
      <c r="OAT68" s="468"/>
      <c r="OAU68" s="468"/>
      <c r="OAV68" s="468"/>
      <c r="OAW68" s="468"/>
      <c r="OAX68" s="468"/>
      <c r="OAY68" s="468"/>
      <c r="OAZ68" s="468"/>
      <c r="OBA68" s="468"/>
      <c r="OBB68" s="468"/>
      <c r="OBC68" s="468"/>
      <c r="OBD68" s="468"/>
      <c r="OBE68" s="468"/>
      <c r="OBF68" s="468"/>
      <c r="OBG68" s="468"/>
      <c r="OBH68" s="469"/>
      <c r="OBI68" s="467"/>
      <c r="OBJ68" s="468"/>
      <c r="OBK68" s="468"/>
      <c r="OBL68" s="468"/>
      <c r="OBM68" s="468"/>
      <c r="OBN68" s="468"/>
      <c r="OBO68" s="468"/>
      <c r="OBP68" s="468"/>
      <c r="OBQ68" s="468"/>
      <c r="OBR68" s="468"/>
      <c r="OBS68" s="468"/>
      <c r="OBT68" s="468"/>
      <c r="OBU68" s="468"/>
      <c r="OBV68" s="468"/>
      <c r="OBW68" s="468"/>
      <c r="OBX68" s="468"/>
      <c r="OBY68" s="468"/>
      <c r="OBZ68" s="468"/>
      <c r="OCA68" s="468"/>
      <c r="OCB68" s="468"/>
      <c r="OCC68" s="468"/>
      <c r="OCD68" s="468"/>
      <c r="OCE68" s="468"/>
      <c r="OCF68" s="468"/>
      <c r="OCG68" s="468"/>
      <c r="OCH68" s="468"/>
      <c r="OCI68" s="468"/>
      <c r="OCJ68" s="468"/>
      <c r="OCK68" s="468"/>
      <c r="OCL68" s="469"/>
      <c r="OCM68" s="467"/>
      <c r="OCN68" s="468"/>
      <c r="OCO68" s="468"/>
      <c r="OCP68" s="468"/>
      <c r="OCQ68" s="468"/>
      <c r="OCR68" s="468"/>
      <c r="OCS68" s="468"/>
      <c r="OCT68" s="468"/>
      <c r="OCU68" s="468"/>
      <c r="OCV68" s="468"/>
      <c r="OCW68" s="468"/>
      <c r="OCX68" s="468"/>
      <c r="OCY68" s="468"/>
      <c r="OCZ68" s="468"/>
      <c r="ODA68" s="468"/>
      <c r="ODB68" s="468"/>
      <c r="ODC68" s="468"/>
      <c r="ODD68" s="468"/>
      <c r="ODE68" s="468"/>
      <c r="ODF68" s="468"/>
      <c r="ODG68" s="468"/>
      <c r="ODH68" s="468"/>
      <c r="ODI68" s="468"/>
      <c r="ODJ68" s="468"/>
      <c r="ODK68" s="468"/>
      <c r="ODL68" s="468"/>
      <c r="ODM68" s="468"/>
      <c r="ODN68" s="468"/>
      <c r="ODO68" s="468"/>
      <c r="ODP68" s="469"/>
      <c r="ODQ68" s="467"/>
      <c r="ODR68" s="468"/>
      <c r="ODS68" s="468"/>
      <c r="ODT68" s="468"/>
      <c r="ODU68" s="468"/>
      <c r="ODV68" s="468"/>
      <c r="ODW68" s="468"/>
      <c r="ODX68" s="468"/>
      <c r="ODY68" s="468"/>
      <c r="ODZ68" s="468"/>
      <c r="OEA68" s="468"/>
      <c r="OEB68" s="468"/>
      <c r="OEC68" s="468"/>
      <c r="OED68" s="468"/>
      <c r="OEE68" s="468"/>
      <c r="OEF68" s="468"/>
      <c r="OEG68" s="468"/>
      <c r="OEH68" s="468"/>
      <c r="OEI68" s="468"/>
      <c r="OEJ68" s="468"/>
      <c r="OEK68" s="468"/>
      <c r="OEL68" s="468"/>
      <c r="OEM68" s="468"/>
      <c r="OEN68" s="468"/>
      <c r="OEO68" s="468"/>
      <c r="OEP68" s="468"/>
      <c r="OEQ68" s="468"/>
      <c r="OER68" s="468"/>
      <c r="OES68" s="468"/>
      <c r="OET68" s="469"/>
      <c r="OEU68" s="467"/>
      <c r="OEV68" s="468"/>
      <c r="OEW68" s="468"/>
      <c r="OEX68" s="468"/>
      <c r="OEY68" s="468"/>
      <c r="OEZ68" s="468"/>
      <c r="OFA68" s="468"/>
      <c r="OFB68" s="468"/>
      <c r="OFC68" s="468"/>
      <c r="OFD68" s="468"/>
      <c r="OFE68" s="468"/>
      <c r="OFF68" s="468"/>
      <c r="OFG68" s="468"/>
      <c r="OFH68" s="468"/>
      <c r="OFI68" s="468"/>
      <c r="OFJ68" s="468"/>
      <c r="OFK68" s="468"/>
      <c r="OFL68" s="468"/>
      <c r="OFM68" s="468"/>
      <c r="OFN68" s="468"/>
      <c r="OFO68" s="468"/>
      <c r="OFP68" s="468"/>
      <c r="OFQ68" s="468"/>
      <c r="OFR68" s="468"/>
      <c r="OFS68" s="468"/>
      <c r="OFT68" s="468"/>
      <c r="OFU68" s="468"/>
      <c r="OFV68" s="468"/>
      <c r="OFW68" s="468"/>
      <c r="OFX68" s="469"/>
      <c r="OFY68" s="467"/>
      <c r="OFZ68" s="468"/>
      <c r="OGA68" s="468"/>
      <c r="OGB68" s="468"/>
      <c r="OGC68" s="468"/>
      <c r="OGD68" s="468"/>
      <c r="OGE68" s="468"/>
      <c r="OGF68" s="468"/>
      <c r="OGG68" s="468"/>
      <c r="OGH68" s="468"/>
      <c r="OGI68" s="468"/>
      <c r="OGJ68" s="468"/>
      <c r="OGK68" s="468"/>
      <c r="OGL68" s="468"/>
      <c r="OGM68" s="468"/>
      <c r="OGN68" s="468"/>
      <c r="OGO68" s="468"/>
      <c r="OGP68" s="468"/>
      <c r="OGQ68" s="468"/>
      <c r="OGR68" s="468"/>
      <c r="OGS68" s="468"/>
      <c r="OGT68" s="468"/>
      <c r="OGU68" s="468"/>
      <c r="OGV68" s="468"/>
      <c r="OGW68" s="468"/>
      <c r="OGX68" s="468"/>
      <c r="OGY68" s="468"/>
      <c r="OGZ68" s="468"/>
      <c r="OHA68" s="468"/>
      <c r="OHB68" s="469"/>
      <c r="OHC68" s="467"/>
      <c r="OHD68" s="468"/>
      <c r="OHE68" s="468"/>
      <c r="OHF68" s="468"/>
      <c r="OHG68" s="468"/>
      <c r="OHH68" s="468"/>
      <c r="OHI68" s="468"/>
      <c r="OHJ68" s="468"/>
      <c r="OHK68" s="468"/>
      <c r="OHL68" s="468"/>
      <c r="OHM68" s="468"/>
      <c r="OHN68" s="468"/>
      <c r="OHO68" s="468"/>
      <c r="OHP68" s="468"/>
      <c r="OHQ68" s="468"/>
      <c r="OHR68" s="468"/>
      <c r="OHS68" s="468"/>
      <c r="OHT68" s="468"/>
      <c r="OHU68" s="468"/>
      <c r="OHV68" s="468"/>
      <c r="OHW68" s="468"/>
      <c r="OHX68" s="468"/>
      <c r="OHY68" s="468"/>
      <c r="OHZ68" s="468"/>
      <c r="OIA68" s="468"/>
      <c r="OIB68" s="468"/>
      <c r="OIC68" s="468"/>
      <c r="OID68" s="468"/>
      <c r="OIE68" s="468"/>
      <c r="OIF68" s="469"/>
      <c r="OIG68" s="467"/>
      <c r="OIH68" s="468"/>
      <c r="OII68" s="468"/>
      <c r="OIJ68" s="468"/>
      <c r="OIK68" s="468"/>
      <c r="OIL68" s="468"/>
      <c r="OIM68" s="468"/>
      <c r="OIN68" s="468"/>
      <c r="OIO68" s="468"/>
      <c r="OIP68" s="468"/>
      <c r="OIQ68" s="468"/>
      <c r="OIR68" s="468"/>
      <c r="OIS68" s="468"/>
      <c r="OIT68" s="468"/>
      <c r="OIU68" s="468"/>
      <c r="OIV68" s="468"/>
      <c r="OIW68" s="468"/>
      <c r="OIX68" s="468"/>
      <c r="OIY68" s="468"/>
      <c r="OIZ68" s="468"/>
      <c r="OJA68" s="468"/>
      <c r="OJB68" s="468"/>
      <c r="OJC68" s="468"/>
      <c r="OJD68" s="468"/>
      <c r="OJE68" s="468"/>
      <c r="OJF68" s="468"/>
      <c r="OJG68" s="468"/>
      <c r="OJH68" s="468"/>
      <c r="OJI68" s="468"/>
      <c r="OJJ68" s="469"/>
      <c r="OJK68" s="467"/>
      <c r="OJL68" s="468"/>
      <c r="OJM68" s="468"/>
      <c r="OJN68" s="468"/>
      <c r="OJO68" s="468"/>
      <c r="OJP68" s="468"/>
      <c r="OJQ68" s="468"/>
      <c r="OJR68" s="468"/>
      <c r="OJS68" s="468"/>
      <c r="OJT68" s="468"/>
      <c r="OJU68" s="468"/>
      <c r="OJV68" s="468"/>
      <c r="OJW68" s="468"/>
      <c r="OJX68" s="468"/>
      <c r="OJY68" s="468"/>
      <c r="OJZ68" s="468"/>
      <c r="OKA68" s="468"/>
      <c r="OKB68" s="468"/>
      <c r="OKC68" s="468"/>
      <c r="OKD68" s="468"/>
      <c r="OKE68" s="468"/>
      <c r="OKF68" s="468"/>
      <c r="OKG68" s="468"/>
      <c r="OKH68" s="468"/>
      <c r="OKI68" s="468"/>
      <c r="OKJ68" s="468"/>
      <c r="OKK68" s="468"/>
      <c r="OKL68" s="468"/>
      <c r="OKM68" s="468"/>
      <c r="OKN68" s="469"/>
      <c r="OKO68" s="467"/>
      <c r="OKP68" s="468"/>
      <c r="OKQ68" s="468"/>
      <c r="OKR68" s="468"/>
      <c r="OKS68" s="468"/>
      <c r="OKT68" s="468"/>
      <c r="OKU68" s="468"/>
      <c r="OKV68" s="468"/>
      <c r="OKW68" s="468"/>
      <c r="OKX68" s="468"/>
      <c r="OKY68" s="468"/>
      <c r="OKZ68" s="468"/>
      <c r="OLA68" s="468"/>
      <c r="OLB68" s="468"/>
      <c r="OLC68" s="468"/>
      <c r="OLD68" s="468"/>
      <c r="OLE68" s="468"/>
      <c r="OLF68" s="468"/>
      <c r="OLG68" s="468"/>
      <c r="OLH68" s="468"/>
      <c r="OLI68" s="468"/>
      <c r="OLJ68" s="468"/>
      <c r="OLK68" s="468"/>
      <c r="OLL68" s="468"/>
      <c r="OLM68" s="468"/>
      <c r="OLN68" s="468"/>
      <c r="OLO68" s="468"/>
      <c r="OLP68" s="468"/>
      <c r="OLQ68" s="468"/>
      <c r="OLR68" s="469"/>
      <c r="OLS68" s="467"/>
      <c r="OLT68" s="468"/>
      <c r="OLU68" s="468"/>
      <c r="OLV68" s="468"/>
      <c r="OLW68" s="468"/>
      <c r="OLX68" s="468"/>
      <c r="OLY68" s="468"/>
      <c r="OLZ68" s="468"/>
      <c r="OMA68" s="468"/>
      <c r="OMB68" s="468"/>
      <c r="OMC68" s="468"/>
      <c r="OMD68" s="468"/>
      <c r="OME68" s="468"/>
      <c r="OMF68" s="468"/>
      <c r="OMG68" s="468"/>
      <c r="OMH68" s="468"/>
      <c r="OMI68" s="468"/>
      <c r="OMJ68" s="468"/>
      <c r="OMK68" s="468"/>
      <c r="OML68" s="468"/>
      <c r="OMM68" s="468"/>
      <c r="OMN68" s="468"/>
      <c r="OMO68" s="468"/>
      <c r="OMP68" s="468"/>
      <c r="OMQ68" s="468"/>
      <c r="OMR68" s="468"/>
      <c r="OMS68" s="468"/>
      <c r="OMT68" s="468"/>
      <c r="OMU68" s="468"/>
      <c r="OMV68" s="469"/>
      <c r="OMW68" s="467"/>
      <c r="OMX68" s="468"/>
      <c r="OMY68" s="468"/>
      <c r="OMZ68" s="468"/>
      <c r="ONA68" s="468"/>
      <c r="ONB68" s="468"/>
      <c r="ONC68" s="468"/>
      <c r="OND68" s="468"/>
      <c r="ONE68" s="468"/>
      <c r="ONF68" s="468"/>
      <c r="ONG68" s="468"/>
      <c r="ONH68" s="468"/>
      <c r="ONI68" s="468"/>
      <c r="ONJ68" s="468"/>
      <c r="ONK68" s="468"/>
      <c r="ONL68" s="468"/>
      <c r="ONM68" s="468"/>
      <c r="ONN68" s="468"/>
      <c r="ONO68" s="468"/>
      <c r="ONP68" s="468"/>
      <c r="ONQ68" s="468"/>
      <c r="ONR68" s="468"/>
      <c r="ONS68" s="468"/>
      <c r="ONT68" s="468"/>
      <c r="ONU68" s="468"/>
      <c r="ONV68" s="468"/>
      <c r="ONW68" s="468"/>
      <c r="ONX68" s="468"/>
      <c r="ONY68" s="468"/>
      <c r="ONZ68" s="469"/>
      <c r="OOA68" s="467"/>
      <c r="OOB68" s="468"/>
      <c r="OOC68" s="468"/>
      <c r="OOD68" s="468"/>
      <c r="OOE68" s="468"/>
      <c r="OOF68" s="468"/>
      <c r="OOG68" s="468"/>
      <c r="OOH68" s="468"/>
      <c r="OOI68" s="468"/>
      <c r="OOJ68" s="468"/>
      <c r="OOK68" s="468"/>
      <c r="OOL68" s="468"/>
      <c r="OOM68" s="468"/>
      <c r="OON68" s="468"/>
      <c r="OOO68" s="468"/>
      <c r="OOP68" s="468"/>
      <c r="OOQ68" s="468"/>
      <c r="OOR68" s="468"/>
      <c r="OOS68" s="468"/>
      <c r="OOT68" s="468"/>
      <c r="OOU68" s="468"/>
      <c r="OOV68" s="468"/>
      <c r="OOW68" s="468"/>
      <c r="OOX68" s="468"/>
      <c r="OOY68" s="468"/>
      <c r="OOZ68" s="468"/>
      <c r="OPA68" s="468"/>
      <c r="OPB68" s="468"/>
      <c r="OPC68" s="468"/>
      <c r="OPD68" s="469"/>
      <c r="OPE68" s="467"/>
      <c r="OPF68" s="468"/>
      <c r="OPG68" s="468"/>
      <c r="OPH68" s="468"/>
      <c r="OPI68" s="468"/>
      <c r="OPJ68" s="468"/>
      <c r="OPK68" s="468"/>
      <c r="OPL68" s="468"/>
      <c r="OPM68" s="468"/>
      <c r="OPN68" s="468"/>
      <c r="OPO68" s="468"/>
      <c r="OPP68" s="468"/>
      <c r="OPQ68" s="468"/>
      <c r="OPR68" s="468"/>
      <c r="OPS68" s="468"/>
      <c r="OPT68" s="468"/>
      <c r="OPU68" s="468"/>
      <c r="OPV68" s="468"/>
      <c r="OPW68" s="468"/>
      <c r="OPX68" s="468"/>
      <c r="OPY68" s="468"/>
      <c r="OPZ68" s="468"/>
      <c r="OQA68" s="468"/>
      <c r="OQB68" s="468"/>
      <c r="OQC68" s="468"/>
      <c r="OQD68" s="468"/>
      <c r="OQE68" s="468"/>
      <c r="OQF68" s="468"/>
      <c r="OQG68" s="468"/>
      <c r="OQH68" s="469"/>
      <c r="OQI68" s="467"/>
      <c r="OQJ68" s="468"/>
      <c r="OQK68" s="468"/>
      <c r="OQL68" s="468"/>
      <c r="OQM68" s="468"/>
      <c r="OQN68" s="468"/>
      <c r="OQO68" s="468"/>
      <c r="OQP68" s="468"/>
      <c r="OQQ68" s="468"/>
      <c r="OQR68" s="468"/>
      <c r="OQS68" s="468"/>
      <c r="OQT68" s="468"/>
      <c r="OQU68" s="468"/>
      <c r="OQV68" s="468"/>
      <c r="OQW68" s="468"/>
      <c r="OQX68" s="468"/>
      <c r="OQY68" s="468"/>
      <c r="OQZ68" s="468"/>
      <c r="ORA68" s="468"/>
      <c r="ORB68" s="468"/>
      <c r="ORC68" s="468"/>
      <c r="ORD68" s="468"/>
      <c r="ORE68" s="468"/>
      <c r="ORF68" s="468"/>
      <c r="ORG68" s="468"/>
      <c r="ORH68" s="468"/>
      <c r="ORI68" s="468"/>
      <c r="ORJ68" s="468"/>
      <c r="ORK68" s="468"/>
      <c r="ORL68" s="469"/>
      <c r="ORM68" s="467"/>
      <c r="ORN68" s="468"/>
      <c r="ORO68" s="468"/>
      <c r="ORP68" s="468"/>
      <c r="ORQ68" s="468"/>
      <c r="ORR68" s="468"/>
      <c r="ORS68" s="468"/>
      <c r="ORT68" s="468"/>
      <c r="ORU68" s="468"/>
      <c r="ORV68" s="468"/>
      <c r="ORW68" s="468"/>
      <c r="ORX68" s="468"/>
      <c r="ORY68" s="468"/>
      <c r="ORZ68" s="468"/>
      <c r="OSA68" s="468"/>
      <c r="OSB68" s="468"/>
      <c r="OSC68" s="468"/>
      <c r="OSD68" s="468"/>
      <c r="OSE68" s="468"/>
      <c r="OSF68" s="468"/>
      <c r="OSG68" s="468"/>
      <c r="OSH68" s="468"/>
      <c r="OSI68" s="468"/>
      <c r="OSJ68" s="468"/>
      <c r="OSK68" s="468"/>
      <c r="OSL68" s="468"/>
      <c r="OSM68" s="468"/>
      <c r="OSN68" s="468"/>
      <c r="OSO68" s="468"/>
      <c r="OSP68" s="469"/>
      <c r="OSQ68" s="467"/>
      <c r="OSR68" s="468"/>
      <c r="OSS68" s="468"/>
      <c r="OST68" s="468"/>
      <c r="OSU68" s="468"/>
      <c r="OSV68" s="468"/>
      <c r="OSW68" s="468"/>
      <c r="OSX68" s="468"/>
      <c r="OSY68" s="468"/>
      <c r="OSZ68" s="468"/>
      <c r="OTA68" s="468"/>
      <c r="OTB68" s="468"/>
      <c r="OTC68" s="468"/>
      <c r="OTD68" s="468"/>
      <c r="OTE68" s="468"/>
      <c r="OTF68" s="468"/>
      <c r="OTG68" s="468"/>
      <c r="OTH68" s="468"/>
      <c r="OTI68" s="468"/>
      <c r="OTJ68" s="468"/>
      <c r="OTK68" s="468"/>
      <c r="OTL68" s="468"/>
      <c r="OTM68" s="468"/>
      <c r="OTN68" s="468"/>
      <c r="OTO68" s="468"/>
      <c r="OTP68" s="468"/>
      <c r="OTQ68" s="468"/>
      <c r="OTR68" s="468"/>
      <c r="OTS68" s="468"/>
      <c r="OTT68" s="469"/>
      <c r="OTU68" s="467"/>
      <c r="OTV68" s="468"/>
      <c r="OTW68" s="468"/>
      <c r="OTX68" s="468"/>
      <c r="OTY68" s="468"/>
      <c r="OTZ68" s="468"/>
      <c r="OUA68" s="468"/>
      <c r="OUB68" s="468"/>
      <c r="OUC68" s="468"/>
      <c r="OUD68" s="468"/>
      <c r="OUE68" s="468"/>
      <c r="OUF68" s="468"/>
      <c r="OUG68" s="468"/>
      <c r="OUH68" s="468"/>
      <c r="OUI68" s="468"/>
      <c r="OUJ68" s="468"/>
      <c r="OUK68" s="468"/>
      <c r="OUL68" s="468"/>
      <c r="OUM68" s="468"/>
      <c r="OUN68" s="468"/>
      <c r="OUO68" s="468"/>
      <c r="OUP68" s="468"/>
      <c r="OUQ68" s="468"/>
      <c r="OUR68" s="468"/>
      <c r="OUS68" s="468"/>
      <c r="OUT68" s="468"/>
      <c r="OUU68" s="468"/>
      <c r="OUV68" s="468"/>
      <c r="OUW68" s="468"/>
      <c r="OUX68" s="469"/>
      <c r="OUY68" s="467"/>
      <c r="OUZ68" s="468"/>
      <c r="OVA68" s="468"/>
      <c r="OVB68" s="468"/>
      <c r="OVC68" s="468"/>
      <c r="OVD68" s="468"/>
      <c r="OVE68" s="468"/>
      <c r="OVF68" s="468"/>
      <c r="OVG68" s="468"/>
      <c r="OVH68" s="468"/>
      <c r="OVI68" s="468"/>
      <c r="OVJ68" s="468"/>
      <c r="OVK68" s="468"/>
      <c r="OVL68" s="468"/>
      <c r="OVM68" s="468"/>
      <c r="OVN68" s="468"/>
      <c r="OVO68" s="468"/>
      <c r="OVP68" s="468"/>
      <c r="OVQ68" s="468"/>
      <c r="OVR68" s="468"/>
      <c r="OVS68" s="468"/>
      <c r="OVT68" s="468"/>
      <c r="OVU68" s="468"/>
      <c r="OVV68" s="468"/>
      <c r="OVW68" s="468"/>
      <c r="OVX68" s="468"/>
      <c r="OVY68" s="468"/>
      <c r="OVZ68" s="468"/>
      <c r="OWA68" s="468"/>
      <c r="OWB68" s="469"/>
      <c r="OWC68" s="467"/>
      <c r="OWD68" s="468"/>
      <c r="OWE68" s="468"/>
      <c r="OWF68" s="468"/>
      <c r="OWG68" s="468"/>
      <c r="OWH68" s="468"/>
      <c r="OWI68" s="468"/>
      <c r="OWJ68" s="468"/>
      <c r="OWK68" s="468"/>
      <c r="OWL68" s="468"/>
      <c r="OWM68" s="468"/>
      <c r="OWN68" s="468"/>
      <c r="OWO68" s="468"/>
      <c r="OWP68" s="468"/>
      <c r="OWQ68" s="468"/>
      <c r="OWR68" s="468"/>
      <c r="OWS68" s="468"/>
      <c r="OWT68" s="468"/>
      <c r="OWU68" s="468"/>
      <c r="OWV68" s="468"/>
      <c r="OWW68" s="468"/>
      <c r="OWX68" s="468"/>
      <c r="OWY68" s="468"/>
      <c r="OWZ68" s="468"/>
      <c r="OXA68" s="468"/>
      <c r="OXB68" s="468"/>
      <c r="OXC68" s="468"/>
      <c r="OXD68" s="468"/>
      <c r="OXE68" s="468"/>
      <c r="OXF68" s="469"/>
      <c r="OXG68" s="467"/>
      <c r="OXH68" s="468"/>
      <c r="OXI68" s="468"/>
      <c r="OXJ68" s="468"/>
      <c r="OXK68" s="468"/>
      <c r="OXL68" s="468"/>
      <c r="OXM68" s="468"/>
      <c r="OXN68" s="468"/>
      <c r="OXO68" s="468"/>
      <c r="OXP68" s="468"/>
      <c r="OXQ68" s="468"/>
      <c r="OXR68" s="468"/>
      <c r="OXS68" s="468"/>
      <c r="OXT68" s="468"/>
      <c r="OXU68" s="468"/>
      <c r="OXV68" s="468"/>
      <c r="OXW68" s="468"/>
      <c r="OXX68" s="468"/>
      <c r="OXY68" s="468"/>
      <c r="OXZ68" s="468"/>
      <c r="OYA68" s="468"/>
      <c r="OYB68" s="468"/>
      <c r="OYC68" s="468"/>
      <c r="OYD68" s="468"/>
      <c r="OYE68" s="468"/>
      <c r="OYF68" s="468"/>
      <c r="OYG68" s="468"/>
      <c r="OYH68" s="468"/>
      <c r="OYI68" s="468"/>
      <c r="OYJ68" s="469"/>
      <c r="OYK68" s="467"/>
      <c r="OYL68" s="468"/>
      <c r="OYM68" s="468"/>
      <c r="OYN68" s="468"/>
      <c r="OYO68" s="468"/>
      <c r="OYP68" s="468"/>
      <c r="OYQ68" s="468"/>
      <c r="OYR68" s="468"/>
      <c r="OYS68" s="468"/>
      <c r="OYT68" s="468"/>
      <c r="OYU68" s="468"/>
      <c r="OYV68" s="468"/>
      <c r="OYW68" s="468"/>
      <c r="OYX68" s="468"/>
      <c r="OYY68" s="468"/>
      <c r="OYZ68" s="468"/>
      <c r="OZA68" s="468"/>
      <c r="OZB68" s="468"/>
      <c r="OZC68" s="468"/>
      <c r="OZD68" s="468"/>
      <c r="OZE68" s="468"/>
      <c r="OZF68" s="468"/>
      <c r="OZG68" s="468"/>
      <c r="OZH68" s="468"/>
      <c r="OZI68" s="468"/>
      <c r="OZJ68" s="468"/>
      <c r="OZK68" s="468"/>
      <c r="OZL68" s="468"/>
      <c r="OZM68" s="468"/>
      <c r="OZN68" s="469"/>
      <c r="OZO68" s="467"/>
      <c r="OZP68" s="468"/>
      <c r="OZQ68" s="468"/>
      <c r="OZR68" s="468"/>
      <c r="OZS68" s="468"/>
      <c r="OZT68" s="468"/>
      <c r="OZU68" s="468"/>
      <c r="OZV68" s="468"/>
      <c r="OZW68" s="468"/>
      <c r="OZX68" s="468"/>
      <c r="OZY68" s="468"/>
      <c r="OZZ68" s="468"/>
      <c r="PAA68" s="468"/>
      <c r="PAB68" s="468"/>
      <c r="PAC68" s="468"/>
      <c r="PAD68" s="468"/>
      <c r="PAE68" s="468"/>
      <c r="PAF68" s="468"/>
      <c r="PAG68" s="468"/>
      <c r="PAH68" s="468"/>
      <c r="PAI68" s="468"/>
      <c r="PAJ68" s="468"/>
      <c r="PAK68" s="468"/>
      <c r="PAL68" s="468"/>
      <c r="PAM68" s="468"/>
      <c r="PAN68" s="468"/>
      <c r="PAO68" s="468"/>
      <c r="PAP68" s="468"/>
      <c r="PAQ68" s="468"/>
      <c r="PAR68" s="469"/>
      <c r="PAS68" s="467"/>
      <c r="PAT68" s="468"/>
      <c r="PAU68" s="468"/>
      <c r="PAV68" s="468"/>
      <c r="PAW68" s="468"/>
      <c r="PAX68" s="468"/>
      <c r="PAY68" s="468"/>
      <c r="PAZ68" s="468"/>
      <c r="PBA68" s="468"/>
      <c r="PBB68" s="468"/>
      <c r="PBC68" s="468"/>
      <c r="PBD68" s="468"/>
      <c r="PBE68" s="468"/>
      <c r="PBF68" s="468"/>
      <c r="PBG68" s="468"/>
      <c r="PBH68" s="468"/>
      <c r="PBI68" s="468"/>
      <c r="PBJ68" s="468"/>
      <c r="PBK68" s="468"/>
      <c r="PBL68" s="468"/>
      <c r="PBM68" s="468"/>
      <c r="PBN68" s="468"/>
      <c r="PBO68" s="468"/>
      <c r="PBP68" s="468"/>
      <c r="PBQ68" s="468"/>
      <c r="PBR68" s="468"/>
      <c r="PBS68" s="468"/>
      <c r="PBT68" s="468"/>
      <c r="PBU68" s="468"/>
      <c r="PBV68" s="469"/>
      <c r="PBW68" s="467"/>
      <c r="PBX68" s="468"/>
      <c r="PBY68" s="468"/>
      <c r="PBZ68" s="468"/>
      <c r="PCA68" s="468"/>
      <c r="PCB68" s="468"/>
      <c r="PCC68" s="468"/>
      <c r="PCD68" s="468"/>
      <c r="PCE68" s="468"/>
      <c r="PCF68" s="468"/>
      <c r="PCG68" s="468"/>
      <c r="PCH68" s="468"/>
      <c r="PCI68" s="468"/>
      <c r="PCJ68" s="468"/>
      <c r="PCK68" s="468"/>
      <c r="PCL68" s="468"/>
      <c r="PCM68" s="468"/>
      <c r="PCN68" s="468"/>
      <c r="PCO68" s="468"/>
      <c r="PCP68" s="468"/>
      <c r="PCQ68" s="468"/>
      <c r="PCR68" s="468"/>
      <c r="PCS68" s="468"/>
      <c r="PCT68" s="468"/>
      <c r="PCU68" s="468"/>
      <c r="PCV68" s="468"/>
      <c r="PCW68" s="468"/>
      <c r="PCX68" s="468"/>
      <c r="PCY68" s="468"/>
      <c r="PCZ68" s="469"/>
      <c r="PDA68" s="467"/>
      <c r="PDB68" s="468"/>
      <c r="PDC68" s="468"/>
      <c r="PDD68" s="468"/>
      <c r="PDE68" s="468"/>
      <c r="PDF68" s="468"/>
      <c r="PDG68" s="468"/>
      <c r="PDH68" s="468"/>
      <c r="PDI68" s="468"/>
      <c r="PDJ68" s="468"/>
      <c r="PDK68" s="468"/>
      <c r="PDL68" s="468"/>
      <c r="PDM68" s="468"/>
      <c r="PDN68" s="468"/>
      <c r="PDO68" s="468"/>
      <c r="PDP68" s="468"/>
      <c r="PDQ68" s="468"/>
      <c r="PDR68" s="468"/>
      <c r="PDS68" s="468"/>
      <c r="PDT68" s="468"/>
      <c r="PDU68" s="468"/>
      <c r="PDV68" s="468"/>
      <c r="PDW68" s="468"/>
      <c r="PDX68" s="468"/>
      <c r="PDY68" s="468"/>
      <c r="PDZ68" s="468"/>
      <c r="PEA68" s="468"/>
      <c r="PEB68" s="468"/>
      <c r="PEC68" s="468"/>
      <c r="PED68" s="469"/>
      <c r="PEE68" s="467"/>
      <c r="PEF68" s="468"/>
      <c r="PEG68" s="468"/>
      <c r="PEH68" s="468"/>
      <c r="PEI68" s="468"/>
      <c r="PEJ68" s="468"/>
      <c r="PEK68" s="468"/>
      <c r="PEL68" s="468"/>
      <c r="PEM68" s="468"/>
      <c r="PEN68" s="468"/>
      <c r="PEO68" s="468"/>
      <c r="PEP68" s="468"/>
      <c r="PEQ68" s="468"/>
      <c r="PER68" s="468"/>
      <c r="PES68" s="468"/>
      <c r="PET68" s="468"/>
      <c r="PEU68" s="468"/>
      <c r="PEV68" s="468"/>
      <c r="PEW68" s="468"/>
      <c r="PEX68" s="468"/>
      <c r="PEY68" s="468"/>
      <c r="PEZ68" s="468"/>
      <c r="PFA68" s="468"/>
      <c r="PFB68" s="468"/>
      <c r="PFC68" s="468"/>
      <c r="PFD68" s="468"/>
      <c r="PFE68" s="468"/>
      <c r="PFF68" s="468"/>
      <c r="PFG68" s="468"/>
      <c r="PFH68" s="469"/>
      <c r="PFI68" s="467"/>
      <c r="PFJ68" s="468"/>
      <c r="PFK68" s="468"/>
      <c r="PFL68" s="468"/>
      <c r="PFM68" s="468"/>
      <c r="PFN68" s="468"/>
      <c r="PFO68" s="468"/>
      <c r="PFP68" s="468"/>
      <c r="PFQ68" s="468"/>
      <c r="PFR68" s="468"/>
      <c r="PFS68" s="468"/>
      <c r="PFT68" s="468"/>
      <c r="PFU68" s="468"/>
      <c r="PFV68" s="468"/>
      <c r="PFW68" s="468"/>
      <c r="PFX68" s="468"/>
      <c r="PFY68" s="468"/>
      <c r="PFZ68" s="468"/>
      <c r="PGA68" s="468"/>
      <c r="PGB68" s="468"/>
      <c r="PGC68" s="468"/>
      <c r="PGD68" s="468"/>
      <c r="PGE68" s="468"/>
      <c r="PGF68" s="468"/>
      <c r="PGG68" s="468"/>
      <c r="PGH68" s="468"/>
      <c r="PGI68" s="468"/>
      <c r="PGJ68" s="468"/>
      <c r="PGK68" s="468"/>
      <c r="PGL68" s="469"/>
      <c r="PGM68" s="467"/>
      <c r="PGN68" s="468"/>
      <c r="PGO68" s="468"/>
      <c r="PGP68" s="468"/>
      <c r="PGQ68" s="468"/>
      <c r="PGR68" s="468"/>
      <c r="PGS68" s="468"/>
      <c r="PGT68" s="468"/>
      <c r="PGU68" s="468"/>
      <c r="PGV68" s="468"/>
      <c r="PGW68" s="468"/>
      <c r="PGX68" s="468"/>
      <c r="PGY68" s="468"/>
      <c r="PGZ68" s="468"/>
      <c r="PHA68" s="468"/>
      <c r="PHB68" s="468"/>
      <c r="PHC68" s="468"/>
      <c r="PHD68" s="468"/>
      <c r="PHE68" s="468"/>
      <c r="PHF68" s="468"/>
      <c r="PHG68" s="468"/>
      <c r="PHH68" s="468"/>
      <c r="PHI68" s="468"/>
      <c r="PHJ68" s="468"/>
      <c r="PHK68" s="468"/>
      <c r="PHL68" s="468"/>
      <c r="PHM68" s="468"/>
      <c r="PHN68" s="468"/>
      <c r="PHO68" s="468"/>
      <c r="PHP68" s="469"/>
      <c r="PHQ68" s="467"/>
      <c r="PHR68" s="468"/>
      <c r="PHS68" s="468"/>
      <c r="PHT68" s="468"/>
      <c r="PHU68" s="468"/>
      <c r="PHV68" s="468"/>
      <c r="PHW68" s="468"/>
      <c r="PHX68" s="468"/>
      <c r="PHY68" s="468"/>
      <c r="PHZ68" s="468"/>
      <c r="PIA68" s="468"/>
      <c r="PIB68" s="468"/>
      <c r="PIC68" s="468"/>
      <c r="PID68" s="468"/>
      <c r="PIE68" s="468"/>
      <c r="PIF68" s="468"/>
      <c r="PIG68" s="468"/>
      <c r="PIH68" s="468"/>
      <c r="PII68" s="468"/>
      <c r="PIJ68" s="468"/>
      <c r="PIK68" s="468"/>
      <c r="PIL68" s="468"/>
      <c r="PIM68" s="468"/>
      <c r="PIN68" s="468"/>
      <c r="PIO68" s="468"/>
      <c r="PIP68" s="468"/>
      <c r="PIQ68" s="468"/>
      <c r="PIR68" s="468"/>
      <c r="PIS68" s="468"/>
      <c r="PIT68" s="469"/>
      <c r="PIU68" s="467"/>
      <c r="PIV68" s="468"/>
      <c r="PIW68" s="468"/>
      <c r="PIX68" s="468"/>
      <c r="PIY68" s="468"/>
      <c r="PIZ68" s="468"/>
      <c r="PJA68" s="468"/>
      <c r="PJB68" s="468"/>
      <c r="PJC68" s="468"/>
      <c r="PJD68" s="468"/>
      <c r="PJE68" s="468"/>
      <c r="PJF68" s="468"/>
      <c r="PJG68" s="468"/>
      <c r="PJH68" s="468"/>
      <c r="PJI68" s="468"/>
      <c r="PJJ68" s="468"/>
      <c r="PJK68" s="468"/>
      <c r="PJL68" s="468"/>
      <c r="PJM68" s="468"/>
      <c r="PJN68" s="468"/>
      <c r="PJO68" s="468"/>
      <c r="PJP68" s="468"/>
      <c r="PJQ68" s="468"/>
      <c r="PJR68" s="468"/>
      <c r="PJS68" s="468"/>
      <c r="PJT68" s="468"/>
      <c r="PJU68" s="468"/>
      <c r="PJV68" s="468"/>
      <c r="PJW68" s="468"/>
      <c r="PJX68" s="469"/>
      <c r="PJY68" s="467"/>
      <c r="PJZ68" s="468"/>
      <c r="PKA68" s="468"/>
      <c r="PKB68" s="468"/>
      <c r="PKC68" s="468"/>
      <c r="PKD68" s="468"/>
      <c r="PKE68" s="468"/>
      <c r="PKF68" s="468"/>
      <c r="PKG68" s="468"/>
      <c r="PKH68" s="468"/>
      <c r="PKI68" s="468"/>
      <c r="PKJ68" s="468"/>
      <c r="PKK68" s="468"/>
      <c r="PKL68" s="468"/>
      <c r="PKM68" s="468"/>
      <c r="PKN68" s="468"/>
      <c r="PKO68" s="468"/>
      <c r="PKP68" s="468"/>
      <c r="PKQ68" s="468"/>
      <c r="PKR68" s="468"/>
      <c r="PKS68" s="468"/>
      <c r="PKT68" s="468"/>
      <c r="PKU68" s="468"/>
      <c r="PKV68" s="468"/>
      <c r="PKW68" s="468"/>
      <c r="PKX68" s="468"/>
      <c r="PKY68" s="468"/>
      <c r="PKZ68" s="468"/>
      <c r="PLA68" s="468"/>
      <c r="PLB68" s="469"/>
      <c r="PLC68" s="467"/>
      <c r="PLD68" s="468"/>
      <c r="PLE68" s="468"/>
      <c r="PLF68" s="468"/>
      <c r="PLG68" s="468"/>
      <c r="PLH68" s="468"/>
      <c r="PLI68" s="468"/>
      <c r="PLJ68" s="468"/>
      <c r="PLK68" s="468"/>
      <c r="PLL68" s="468"/>
      <c r="PLM68" s="468"/>
      <c r="PLN68" s="468"/>
      <c r="PLO68" s="468"/>
      <c r="PLP68" s="468"/>
      <c r="PLQ68" s="468"/>
      <c r="PLR68" s="468"/>
      <c r="PLS68" s="468"/>
      <c r="PLT68" s="468"/>
      <c r="PLU68" s="468"/>
      <c r="PLV68" s="468"/>
      <c r="PLW68" s="468"/>
      <c r="PLX68" s="468"/>
      <c r="PLY68" s="468"/>
      <c r="PLZ68" s="468"/>
      <c r="PMA68" s="468"/>
      <c r="PMB68" s="468"/>
      <c r="PMC68" s="468"/>
      <c r="PMD68" s="468"/>
      <c r="PME68" s="468"/>
      <c r="PMF68" s="469"/>
      <c r="PMG68" s="467"/>
      <c r="PMH68" s="468"/>
      <c r="PMI68" s="468"/>
      <c r="PMJ68" s="468"/>
      <c r="PMK68" s="468"/>
      <c r="PML68" s="468"/>
      <c r="PMM68" s="468"/>
      <c r="PMN68" s="468"/>
      <c r="PMO68" s="468"/>
      <c r="PMP68" s="468"/>
      <c r="PMQ68" s="468"/>
      <c r="PMR68" s="468"/>
      <c r="PMS68" s="468"/>
      <c r="PMT68" s="468"/>
      <c r="PMU68" s="468"/>
      <c r="PMV68" s="468"/>
      <c r="PMW68" s="468"/>
      <c r="PMX68" s="468"/>
      <c r="PMY68" s="468"/>
      <c r="PMZ68" s="468"/>
      <c r="PNA68" s="468"/>
      <c r="PNB68" s="468"/>
      <c r="PNC68" s="468"/>
      <c r="PND68" s="468"/>
      <c r="PNE68" s="468"/>
      <c r="PNF68" s="468"/>
      <c r="PNG68" s="468"/>
      <c r="PNH68" s="468"/>
      <c r="PNI68" s="468"/>
      <c r="PNJ68" s="469"/>
      <c r="PNK68" s="467"/>
      <c r="PNL68" s="468"/>
      <c r="PNM68" s="468"/>
      <c r="PNN68" s="468"/>
      <c r="PNO68" s="468"/>
      <c r="PNP68" s="468"/>
      <c r="PNQ68" s="468"/>
      <c r="PNR68" s="468"/>
      <c r="PNS68" s="468"/>
      <c r="PNT68" s="468"/>
      <c r="PNU68" s="468"/>
      <c r="PNV68" s="468"/>
      <c r="PNW68" s="468"/>
      <c r="PNX68" s="468"/>
      <c r="PNY68" s="468"/>
      <c r="PNZ68" s="468"/>
      <c r="POA68" s="468"/>
      <c r="POB68" s="468"/>
      <c r="POC68" s="468"/>
      <c r="POD68" s="468"/>
      <c r="POE68" s="468"/>
      <c r="POF68" s="468"/>
      <c r="POG68" s="468"/>
      <c r="POH68" s="468"/>
      <c r="POI68" s="468"/>
      <c r="POJ68" s="468"/>
      <c r="POK68" s="468"/>
      <c r="POL68" s="468"/>
      <c r="POM68" s="468"/>
      <c r="PON68" s="469"/>
      <c r="POO68" s="467"/>
      <c r="POP68" s="468"/>
      <c r="POQ68" s="468"/>
      <c r="POR68" s="468"/>
      <c r="POS68" s="468"/>
      <c r="POT68" s="468"/>
      <c r="POU68" s="468"/>
      <c r="POV68" s="468"/>
      <c r="POW68" s="468"/>
      <c r="POX68" s="468"/>
      <c r="POY68" s="468"/>
      <c r="POZ68" s="468"/>
      <c r="PPA68" s="468"/>
      <c r="PPB68" s="468"/>
      <c r="PPC68" s="468"/>
      <c r="PPD68" s="468"/>
      <c r="PPE68" s="468"/>
      <c r="PPF68" s="468"/>
      <c r="PPG68" s="468"/>
      <c r="PPH68" s="468"/>
      <c r="PPI68" s="468"/>
      <c r="PPJ68" s="468"/>
      <c r="PPK68" s="468"/>
      <c r="PPL68" s="468"/>
      <c r="PPM68" s="468"/>
      <c r="PPN68" s="468"/>
      <c r="PPO68" s="468"/>
      <c r="PPP68" s="468"/>
      <c r="PPQ68" s="468"/>
      <c r="PPR68" s="469"/>
      <c r="PPS68" s="467"/>
      <c r="PPT68" s="468"/>
      <c r="PPU68" s="468"/>
      <c r="PPV68" s="468"/>
      <c r="PPW68" s="468"/>
      <c r="PPX68" s="468"/>
      <c r="PPY68" s="468"/>
      <c r="PPZ68" s="468"/>
      <c r="PQA68" s="468"/>
      <c r="PQB68" s="468"/>
      <c r="PQC68" s="468"/>
      <c r="PQD68" s="468"/>
      <c r="PQE68" s="468"/>
      <c r="PQF68" s="468"/>
      <c r="PQG68" s="468"/>
      <c r="PQH68" s="468"/>
      <c r="PQI68" s="468"/>
      <c r="PQJ68" s="468"/>
      <c r="PQK68" s="468"/>
      <c r="PQL68" s="468"/>
      <c r="PQM68" s="468"/>
      <c r="PQN68" s="468"/>
      <c r="PQO68" s="468"/>
      <c r="PQP68" s="468"/>
      <c r="PQQ68" s="468"/>
      <c r="PQR68" s="468"/>
      <c r="PQS68" s="468"/>
      <c r="PQT68" s="468"/>
      <c r="PQU68" s="468"/>
      <c r="PQV68" s="469"/>
      <c r="PQW68" s="467"/>
      <c r="PQX68" s="468"/>
      <c r="PQY68" s="468"/>
      <c r="PQZ68" s="468"/>
      <c r="PRA68" s="468"/>
      <c r="PRB68" s="468"/>
      <c r="PRC68" s="468"/>
      <c r="PRD68" s="468"/>
      <c r="PRE68" s="468"/>
      <c r="PRF68" s="468"/>
      <c r="PRG68" s="468"/>
      <c r="PRH68" s="468"/>
      <c r="PRI68" s="468"/>
      <c r="PRJ68" s="468"/>
      <c r="PRK68" s="468"/>
      <c r="PRL68" s="468"/>
      <c r="PRM68" s="468"/>
      <c r="PRN68" s="468"/>
      <c r="PRO68" s="468"/>
      <c r="PRP68" s="468"/>
      <c r="PRQ68" s="468"/>
      <c r="PRR68" s="468"/>
      <c r="PRS68" s="468"/>
      <c r="PRT68" s="468"/>
      <c r="PRU68" s="468"/>
      <c r="PRV68" s="468"/>
      <c r="PRW68" s="468"/>
      <c r="PRX68" s="468"/>
      <c r="PRY68" s="468"/>
      <c r="PRZ68" s="469"/>
      <c r="PSA68" s="467"/>
      <c r="PSB68" s="468"/>
      <c r="PSC68" s="468"/>
      <c r="PSD68" s="468"/>
      <c r="PSE68" s="468"/>
      <c r="PSF68" s="468"/>
      <c r="PSG68" s="468"/>
      <c r="PSH68" s="468"/>
      <c r="PSI68" s="468"/>
      <c r="PSJ68" s="468"/>
      <c r="PSK68" s="468"/>
      <c r="PSL68" s="468"/>
      <c r="PSM68" s="468"/>
      <c r="PSN68" s="468"/>
      <c r="PSO68" s="468"/>
      <c r="PSP68" s="468"/>
      <c r="PSQ68" s="468"/>
      <c r="PSR68" s="468"/>
      <c r="PSS68" s="468"/>
      <c r="PST68" s="468"/>
      <c r="PSU68" s="468"/>
      <c r="PSV68" s="468"/>
      <c r="PSW68" s="468"/>
      <c r="PSX68" s="468"/>
      <c r="PSY68" s="468"/>
      <c r="PSZ68" s="468"/>
      <c r="PTA68" s="468"/>
      <c r="PTB68" s="468"/>
      <c r="PTC68" s="468"/>
      <c r="PTD68" s="469"/>
      <c r="PTE68" s="467"/>
      <c r="PTF68" s="468"/>
      <c r="PTG68" s="468"/>
      <c r="PTH68" s="468"/>
      <c r="PTI68" s="468"/>
      <c r="PTJ68" s="468"/>
      <c r="PTK68" s="468"/>
      <c r="PTL68" s="468"/>
      <c r="PTM68" s="468"/>
      <c r="PTN68" s="468"/>
      <c r="PTO68" s="468"/>
      <c r="PTP68" s="468"/>
      <c r="PTQ68" s="468"/>
      <c r="PTR68" s="468"/>
      <c r="PTS68" s="468"/>
      <c r="PTT68" s="468"/>
      <c r="PTU68" s="468"/>
      <c r="PTV68" s="468"/>
      <c r="PTW68" s="468"/>
      <c r="PTX68" s="468"/>
      <c r="PTY68" s="468"/>
      <c r="PTZ68" s="468"/>
      <c r="PUA68" s="468"/>
      <c r="PUB68" s="468"/>
      <c r="PUC68" s="468"/>
      <c r="PUD68" s="468"/>
      <c r="PUE68" s="468"/>
      <c r="PUF68" s="468"/>
      <c r="PUG68" s="468"/>
      <c r="PUH68" s="469"/>
      <c r="PUI68" s="467"/>
      <c r="PUJ68" s="468"/>
      <c r="PUK68" s="468"/>
      <c r="PUL68" s="468"/>
      <c r="PUM68" s="468"/>
      <c r="PUN68" s="468"/>
      <c r="PUO68" s="468"/>
      <c r="PUP68" s="468"/>
      <c r="PUQ68" s="468"/>
      <c r="PUR68" s="468"/>
      <c r="PUS68" s="468"/>
      <c r="PUT68" s="468"/>
      <c r="PUU68" s="468"/>
      <c r="PUV68" s="468"/>
      <c r="PUW68" s="468"/>
      <c r="PUX68" s="468"/>
      <c r="PUY68" s="468"/>
      <c r="PUZ68" s="468"/>
      <c r="PVA68" s="468"/>
      <c r="PVB68" s="468"/>
      <c r="PVC68" s="468"/>
      <c r="PVD68" s="468"/>
      <c r="PVE68" s="468"/>
      <c r="PVF68" s="468"/>
      <c r="PVG68" s="468"/>
      <c r="PVH68" s="468"/>
      <c r="PVI68" s="468"/>
      <c r="PVJ68" s="468"/>
      <c r="PVK68" s="468"/>
      <c r="PVL68" s="469"/>
      <c r="PVM68" s="467"/>
      <c r="PVN68" s="468"/>
      <c r="PVO68" s="468"/>
      <c r="PVP68" s="468"/>
      <c r="PVQ68" s="468"/>
      <c r="PVR68" s="468"/>
      <c r="PVS68" s="468"/>
      <c r="PVT68" s="468"/>
      <c r="PVU68" s="468"/>
      <c r="PVV68" s="468"/>
      <c r="PVW68" s="468"/>
      <c r="PVX68" s="468"/>
      <c r="PVY68" s="468"/>
      <c r="PVZ68" s="468"/>
      <c r="PWA68" s="468"/>
      <c r="PWB68" s="468"/>
      <c r="PWC68" s="468"/>
      <c r="PWD68" s="468"/>
      <c r="PWE68" s="468"/>
      <c r="PWF68" s="468"/>
      <c r="PWG68" s="468"/>
      <c r="PWH68" s="468"/>
      <c r="PWI68" s="468"/>
      <c r="PWJ68" s="468"/>
      <c r="PWK68" s="468"/>
      <c r="PWL68" s="468"/>
      <c r="PWM68" s="468"/>
      <c r="PWN68" s="468"/>
      <c r="PWO68" s="468"/>
      <c r="PWP68" s="469"/>
      <c r="PWQ68" s="467"/>
      <c r="PWR68" s="468"/>
      <c r="PWS68" s="468"/>
      <c r="PWT68" s="468"/>
      <c r="PWU68" s="468"/>
      <c r="PWV68" s="468"/>
      <c r="PWW68" s="468"/>
      <c r="PWX68" s="468"/>
      <c r="PWY68" s="468"/>
      <c r="PWZ68" s="468"/>
      <c r="PXA68" s="468"/>
      <c r="PXB68" s="468"/>
      <c r="PXC68" s="468"/>
      <c r="PXD68" s="468"/>
      <c r="PXE68" s="468"/>
      <c r="PXF68" s="468"/>
      <c r="PXG68" s="468"/>
      <c r="PXH68" s="468"/>
      <c r="PXI68" s="468"/>
      <c r="PXJ68" s="468"/>
      <c r="PXK68" s="468"/>
      <c r="PXL68" s="468"/>
      <c r="PXM68" s="468"/>
      <c r="PXN68" s="468"/>
      <c r="PXO68" s="468"/>
      <c r="PXP68" s="468"/>
      <c r="PXQ68" s="468"/>
      <c r="PXR68" s="468"/>
      <c r="PXS68" s="468"/>
      <c r="PXT68" s="469"/>
      <c r="PXU68" s="467"/>
      <c r="PXV68" s="468"/>
      <c r="PXW68" s="468"/>
      <c r="PXX68" s="468"/>
      <c r="PXY68" s="468"/>
      <c r="PXZ68" s="468"/>
      <c r="PYA68" s="468"/>
      <c r="PYB68" s="468"/>
      <c r="PYC68" s="468"/>
      <c r="PYD68" s="468"/>
      <c r="PYE68" s="468"/>
      <c r="PYF68" s="468"/>
      <c r="PYG68" s="468"/>
      <c r="PYH68" s="468"/>
      <c r="PYI68" s="468"/>
      <c r="PYJ68" s="468"/>
      <c r="PYK68" s="468"/>
      <c r="PYL68" s="468"/>
      <c r="PYM68" s="468"/>
      <c r="PYN68" s="468"/>
      <c r="PYO68" s="468"/>
      <c r="PYP68" s="468"/>
      <c r="PYQ68" s="468"/>
      <c r="PYR68" s="468"/>
      <c r="PYS68" s="468"/>
      <c r="PYT68" s="468"/>
      <c r="PYU68" s="468"/>
      <c r="PYV68" s="468"/>
      <c r="PYW68" s="468"/>
      <c r="PYX68" s="469"/>
      <c r="PYY68" s="467"/>
      <c r="PYZ68" s="468"/>
      <c r="PZA68" s="468"/>
      <c r="PZB68" s="468"/>
      <c r="PZC68" s="468"/>
      <c r="PZD68" s="468"/>
      <c r="PZE68" s="468"/>
      <c r="PZF68" s="468"/>
      <c r="PZG68" s="468"/>
      <c r="PZH68" s="468"/>
      <c r="PZI68" s="468"/>
      <c r="PZJ68" s="468"/>
      <c r="PZK68" s="468"/>
      <c r="PZL68" s="468"/>
      <c r="PZM68" s="468"/>
      <c r="PZN68" s="468"/>
      <c r="PZO68" s="468"/>
      <c r="PZP68" s="468"/>
      <c r="PZQ68" s="468"/>
      <c r="PZR68" s="468"/>
      <c r="PZS68" s="468"/>
      <c r="PZT68" s="468"/>
      <c r="PZU68" s="468"/>
      <c r="PZV68" s="468"/>
      <c r="PZW68" s="468"/>
      <c r="PZX68" s="468"/>
      <c r="PZY68" s="468"/>
      <c r="PZZ68" s="468"/>
      <c r="QAA68" s="468"/>
      <c r="QAB68" s="469"/>
      <c r="QAC68" s="467"/>
      <c r="QAD68" s="468"/>
      <c r="QAE68" s="468"/>
      <c r="QAF68" s="468"/>
      <c r="QAG68" s="468"/>
      <c r="QAH68" s="468"/>
      <c r="QAI68" s="468"/>
      <c r="QAJ68" s="468"/>
      <c r="QAK68" s="468"/>
      <c r="QAL68" s="468"/>
      <c r="QAM68" s="468"/>
      <c r="QAN68" s="468"/>
      <c r="QAO68" s="468"/>
      <c r="QAP68" s="468"/>
      <c r="QAQ68" s="468"/>
      <c r="QAR68" s="468"/>
      <c r="QAS68" s="468"/>
      <c r="QAT68" s="468"/>
      <c r="QAU68" s="468"/>
      <c r="QAV68" s="468"/>
      <c r="QAW68" s="468"/>
      <c r="QAX68" s="468"/>
      <c r="QAY68" s="468"/>
      <c r="QAZ68" s="468"/>
      <c r="QBA68" s="468"/>
      <c r="QBB68" s="468"/>
      <c r="QBC68" s="468"/>
      <c r="QBD68" s="468"/>
      <c r="QBE68" s="468"/>
      <c r="QBF68" s="469"/>
      <c r="QBG68" s="467"/>
      <c r="QBH68" s="468"/>
      <c r="QBI68" s="468"/>
      <c r="QBJ68" s="468"/>
      <c r="QBK68" s="468"/>
      <c r="QBL68" s="468"/>
      <c r="QBM68" s="468"/>
      <c r="QBN68" s="468"/>
      <c r="QBO68" s="468"/>
      <c r="QBP68" s="468"/>
      <c r="QBQ68" s="468"/>
      <c r="QBR68" s="468"/>
      <c r="QBS68" s="468"/>
      <c r="QBT68" s="468"/>
      <c r="QBU68" s="468"/>
      <c r="QBV68" s="468"/>
      <c r="QBW68" s="468"/>
      <c r="QBX68" s="468"/>
      <c r="QBY68" s="468"/>
      <c r="QBZ68" s="468"/>
      <c r="QCA68" s="468"/>
      <c r="QCB68" s="468"/>
      <c r="QCC68" s="468"/>
      <c r="QCD68" s="468"/>
      <c r="QCE68" s="468"/>
      <c r="QCF68" s="468"/>
      <c r="QCG68" s="468"/>
      <c r="QCH68" s="468"/>
      <c r="QCI68" s="468"/>
      <c r="QCJ68" s="469"/>
      <c r="QCK68" s="467"/>
      <c r="QCL68" s="468"/>
      <c r="QCM68" s="468"/>
      <c r="QCN68" s="468"/>
      <c r="QCO68" s="468"/>
      <c r="QCP68" s="468"/>
      <c r="QCQ68" s="468"/>
      <c r="QCR68" s="468"/>
      <c r="QCS68" s="468"/>
      <c r="QCT68" s="468"/>
      <c r="QCU68" s="468"/>
      <c r="QCV68" s="468"/>
      <c r="QCW68" s="468"/>
      <c r="QCX68" s="468"/>
      <c r="QCY68" s="468"/>
      <c r="QCZ68" s="468"/>
      <c r="QDA68" s="468"/>
      <c r="QDB68" s="468"/>
      <c r="QDC68" s="468"/>
      <c r="QDD68" s="468"/>
      <c r="QDE68" s="468"/>
      <c r="QDF68" s="468"/>
      <c r="QDG68" s="468"/>
      <c r="QDH68" s="468"/>
      <c r="QDI68" s="468"/>
      <c r="QDJ68" s="468"/>
      <c r="QDK68" s="468"/>
      <c r="QDL68" s="468"/>
      <c r="QDM68" s="468"/>
      <c r="QDN68" s="469"/>
      <c r="QDO68" s="467"/>
      <c r="QDP68" s="468"/>
      <c r="QDQ68" s="468"/>
      <c r="QDR68" s="468"/>
      <c r="QDS68" s="468"/>
      <c r="QDT68" s="468"/>
      <c r="QDU68" s="468"/>
      <c r="QDV68" s="468"/>
      <c r="QDW68" s="468"/>
      <c r="QDX68" s="468"/>
      <c r="QDY68" s="468"/>
      <c r="QDZ68" s="468"/>
      <c r="QEA68" s="468"/>
      <c r="QEB68" s="468"/>
      <c r="QEC68" s="468"/>
      <c r="QED68" s="468"/>
      <c r="QEE68" s="468"/>
      <c r="QEF68" s="468"/>
      <c r="QEG68" s="468"/>
      <c r="QEH68" s="468"/>
      <c r="QEI68" s="468"/>
      <c r="QEJ68" s="468"/>
      <c r="QEK68" s="468"/>
      <c r="QEL68" s="468"/>
      <c r="QEM68" s="468"/>
      <c r="QEN68" s="468"/>
      <c r="QEO68" s="468"/>
      <c r="QEP68" s="468"/>
      <c r="QEQ68" s="468"/>
      <c r="QER68" s="469"/>
      <c r="QES68" s="467"/>
      <c r="QET68" s="468"/>
      <c r="QEU68" s="468"/>
      <c r="QEV68" s="468"/>
      <c r="QEW68" s="468"/>
      <c r="QEX68" s="468"/>
      <c r="QEY68" s="468"/>
      <c r="QEZ68" s="468"/>
      <c r="QFA68" s="468"/>
      <c r="QFB68" s="468"/>
      <c r="QFC68" s="468"/>
      <c r="QFD68" s="468"/>
      <c r="QFE68" s="468"/>
      <c r="QFF68" s="468"/>
      <c r="QFG68" s="468"/>
      <c r="QFH68" s="468"/>
      <c r="QFI68" s="468"/>
      <c r="QFJ68" s="468"/>
      <c r="QFK68" s="468"/>
      <c r="QFL68" s="468"/>
      <c r="QFM68" s="468"/>
      <c r="QFN68" s="468"/>
      <c r="QFO68" s="468"/>
      <c r="QFP68" s="468"/>
      <c r="QFQ68" s="468"/>
      <c r="QFR68" s="468"/>
      <c r="QFS68" s="468"/>
      <c r="QFT68" s="468"/>
      <c r="QFU68" s="468"/>
      <c r="QFV68" s="469"/>
      <c r="QFW68" s="467"/>
      <c r="QFX68" s="468"/>
      <c r="QFY68" s="468"/>
      <c r="QFZ68" s="468"/>
      <c r="QGA68" s="468"/>
      <c r="QGB68" s="468"/>
      <c r="QGC68" s="468"/>
      <c r="QGD68" s="468"/>
      <c r="QGE68" s="468"/>
      <c r="QGF68" s="468"/>
      <c r="QGG68" s="468"/>
      <c r="QGH68" s="468"/>
      <c r="QGI68" s="468"/>
      <c r="QGJ68" s="468"/>
      <c r="QGK68" s="468"/>
      <c r="QGL68" s="468"/>
      <c r="QGM68" s="468"/>
      <c r="QGN68" s="468"/>
      <c r="QGO68" s="468"/>
      <c r="QGP68" s="468"/>
      <c r="QGQ68" s="468"/>
      <c r="QGR68" s="468"/>
      <c r="QGS68" s="468"/>
      <c r="QGT68" s="468"/>
      <c r="QGU68" s="468"/>
      <c r="QGV68" s="468"/>
      <c r="QGW68" s="468"/>
      <c r="QGX68" s="468"/>
      <c r="QGY68" s="468"/>
      <c r="QGZ68" s="469"/>
      <c r="QHA68" s="467"/>
      <c r="QHB68" s="468"/>
      <c r="QHC68" s="468"/>
      <c r="QHD68" s="468"/>
      <c r="QHE68" s="468"/>
      <c r="QHF68" s="468"/>
      <c r="QHG68" s="468"/>
      <c r="QHH68" s="468"/>
      <c r="QHI68" s="468"/>
      <c r="QHJ68" s="468"/>
      <c r="QHK68" s="468"/>
      <c r="QHL68" s="468"/>
      <c r="QHM68" s="468"/>
      <c r="QHN68" s="468"/>
      <c r="QHO68" s="468"/>
      <c r="QHP68" s="468"/>
      <c r="QHQ68" s="468"/>
      <c r="QHR68" s="468"/>
      <c r="QHS68" s="468"/>
      <c r="QHT68" s="468"/>
      <c r="QHU68" s="468"/>
      <c r="QHV68" s="468"/>
      <c r="QHW68" s="468"/>
      <c r="QHX68" s="468"/>
      <c r="QHY68" s="468"/>
      <c r="QHZ68" s="468"/>
      <c r="QIA68" s="468"/>
      <c r="QIB68" s="468"/>
      <c r="QIC68" s="468"/>
      <c r="QID68" s="469"/>
      <c r="QIE68" s="467"/>
      <c r="QIF68" s="468"/>
      <c r="QIG68" s="468"/>
      <c r="QIH68" s="468"/>
      <c r="QII68" s="468"/>
      <c r="QIJ68" s="468"/>
      <c r="QIK68" s="468"/>
      <c r="QIL68" s="468"/>
      <c r="QIM68" s="468"/>
      <c r="QIN68" s="468"/>
      <c r="QIO68" s="468"/>
      <c r="QIP68" s="468"/>
      <c r="QIQ68" s="468"/>
      <c r="QIR68" s="468"/>
      <c r="QIS68" s="468"/>
      <c r="QIT68" s="468"/>
      <c r="QIU68" s="468"/>
      <c r="QIV68" s="468"/>
      <c r="QIW68" s="468"/>
      <c r="QIX68" s="468"/>
      <c r="QIY68" s="468"/>
      <c r="QIZ68" s="468"/>
      <c r="QJA68" s="468"/>
      <c r="QJB68" s="468"/>
      <c r="QJC68" s="468"/>
      <c r="QJD68" s="468"/>
      <c r="QJE68" s="468"/>
      <c r="QJF68" s="468"/>
      <c r="QJG68" s="468"/>
      <c r="QJH68" s="469"/>
      <c r="QJI68" s="467"/>
      <c r="QJJ68" s="468"/>
      <c r="QJK68" s="468"/>
      <c r="QJL68" s="468"/>
      <c r="QJM68" s="468"/>
      <c r="QJN68" s="468"/>
      <c r="QJO68" s="468"/>
      <c r="QJP68" s="468"/>
      <c r="QJQ68" s="468"/>
      <c r="QJR68" s="468"/>
      <c r="QJS68" s="468"/>
      <c r="QJT68" s="468"/>
      <c r="QJU68" s="468"/>
      <c r="QJV68" s="468"/>
      <c r="QJW68" s="468"/>
      <c r="QJX68" s="468"/>
      <c r="QJY68" s="468"/>
      <c r="QJZ68" s="468"/>
      <c r="QKA68" s="468"/>
      <c r="QKB68" s="468"/>
      <c r="QKC68" s="468"/>
      <c r="QKD68" s="468"/>
      <c r="QKE68" s="468"/>
      <c r="QKF68" s="468"/>
      <c r="QKG68" s="468"/>
      <c r="QKH68" s="468"/>
      <c r="QKI68" s="468"/>
      <c r="QKJ68" s="468"/>
      <c r="QKK68" s="468"/>
      <c r="QKL68" s="469"/>
      <c r="QKM68" s="467"/>
      <c r="QKN68" s="468"/>
      <c r="QKO68" s="468"/>
      <c r="QKP68" s="468"/>
      <c r="QKQ68" s="468"/>
      <c r="QKR68" s="468"/>
      <c r="QKS68" s="468"/>
      <c r="QKT68" s="468"/>
      <c r="QKU68" s="468"/>
      <c r="QKV68" s="468"/>
      <c r="QKW68" s="468"/>
      <c r="QKX68" s="468"/>
      <c r="QKY68" s="468"/>
      <c r="QKZ68" s="468"/>
      <c r="QLA68" s="468"/>
      <c r="QLB68" s="468"/>
      <c r="QLC68" s="468"/>
      <c r="QLD68" s="468"/>
      <c r="QLE68" s="468"/>
      <c r="QLF68" s="468"/>
      <c r="QLG68" s="468"/>
      <c r="QLH68" s="468"/>
      <c r="QLI68" s="468"/>
      <c r="QLJ68" s="468"/>
      <c r="QLK68" s="468"/>
      <c r="QLL68" s="468"/>
      <c r="QLM68" s="468"/>
      <c r="QLN68" s="468"/>
      <c r="QLO68" s="468"/>
      <c r="QLP68" s="469"/>
      <c r="QLQ68" s="467"/>
      <c r="QLR68" s="468"/>
      <c r="QLS68" s="468"/>
      <c r="QLT68" s="468"/>
      <c r="QLU68" s="468"/>
      <c r="QLV68" s="468"/>
      <c r="QLW68" s="468"/>
      <c r="QLX68" s="468"/>
      <c r="QLY68" s="468"/>
      <c r="QLZ68" s="468"/>
      <c r="QMA68" s="468"/>
      <c r="QMB68" s="468"/>
      <c r="QMC68" s="468"/>
      <c r="QMD68" s="468"/>
      <c r="QME68" s="468"/>
      <c r="QMF68" s="468"/>
      <c r="QMG68" s="468"/>
      <c r="QMH68" s="468"/>
      <c r="QMI68" s="468"/>
      <c r="QMJ68" s="468"/>
      <c r="QMK68" s="468"/>
      <c r="QML68" s="468"/>
      <c r="QMM68" s="468"/>
      <c r="QMN68" s="468"/>
      <c r="QMO68" s="468"/>
      <c r="QMP68" s="468"/>
      <c r="QMQ68" s="468"/>
      <c r="QMR68" s="468"/>
      <c r="QMS68" s="468"/>
      <c r="QMT68" s="469"/>
      <c r="QMU68" s="467"/>
      <c r="QMV68" s="468"/>
      <c r="QMW68" s="468"/>
      <c r="QMX68" s="468"/>
      <c r="QMY68" s="468"/>
      <c r="QMZ68" s="468"/>
      <c r="QNA68" s="468"/>
      <c r="QNB68" s="468"/>
      <c r="QNC68" s="468"/>
      <c r="QND68" s="468"/>
      <c r="QNE68" s="468"/>
      <c r="QNF68" s="468"/>
      <c r="QNG68" s="468"/>
      <c r="QNH68" s="468"/>
      <c r="QNI68" s="468"/>
      <c r="QNJ68" s="468"/>
      <c r="QNK68" s="468"/>
      <c r="QNL68" s="468"/>
      <c r="QNM68" s="468"/>
      <c r="QNN68" s="468"/>
      <c r="QNO68" s="468"/>
      <c r="QNP68" s="468"/>
      <c r="QNQ68" s="468"/>
      <c r="QNR68" s="468"/>
      <c r="QNS68" s="468"/>
      <c r="QNT68" s="468"/>
      <c r="QNU68" s="468"/>
      <c r="QNV68" s="468"/>
      <c r="QNW68" s="468"/>
      <c r="QNX68" s="469"/>
      <c r="QNY68" s="467"/>
      <c r="QNZ68" s="468"/>
      <c r="QOA68" s="468"/>
      <c r="QOB68" s="468"/>
      <c r="QOC68" s="468"/>
      <c r="QOD68" s="468"/>
      <c r="QOE68" s="468"/>
      <c r="QOF68" s="468"/>
      <c r="QOG68" s="468"/>
      <c r="QOH68" s="468"/>
      <c r="QOI68" s="468"/>
      <c r="QOJ68" s="468"/>
      <c r="QOK68" s="468"/>
      <c r="QOL68" s="468"/>
      <c r="QOM68" s="468"/>
      <c r="QON68" s="468"/>
      <c r="QOO68" s="468"/>
      <c r="QOP68" s="468"/>
      <c r="QOQ68" s="468"/>
      <c r="QOR68" s="468"/>
      <c r="QOS68" s="468"/>
      <c r="QOT68" s="468"/>
      <c r="QOU68" s="468"/>
      <c r="QOV68" s="468"/>
      <c r="QOW68" s="468"/>
      <c r="QOX68" s="468"/>
      <c r="QOY68" s="468"/>
      <c r="QOZ68" s="468"/>
      <c r="QPA68" s="468"/>
      <c r="QPB68" s="469"/>
      <c r="QPC68" s="467"/>
      <c r="QPD68" s="468"/>
      <c r="QPE68" s="468"/>
      <c r="QPF68" s="468"/>
      <c r="QPG68" s="468"/>
      <c r="QPH68" s="468"/>
      <c r="QPI68" s="468"/>
      <c r="QPJ68" s="468"/>
      <c r="QPK68" s="468"/>
      <c r="QPL68" s="468"/>
      <c r="QPM68" s="468"/>
      <c r="QPN68" s="468"/>
      <c r="QPO68" s="468"/>
      <c r="QPP68" s="468"/>
      <c r="QPQ68" s="468"/>
      <c r="QPR68" s="468"/>
      <c r="QPS68" s="468"/>
      <c r="QPT68" s="468"/>
      <c r="QPU68" s="468"/>
      <c r="QPV68" s="468"/>
      <c r="QPW68" s="468"/>
      <c r="QPX68" s="468"/>
      <c r="QPY68" s="468"/>
      <c r="QPZ68" s="468"/>
      <c r="QQA68" s="468"/>
      <c r="QQB68" s="468"/>
      <c r="QQC68" s="468"/>
      <c r="QQD68" s="468"/>
      <c r="QQE68" s="468"/>
      <c r="QQF68" s="469"/>
      <c r="QQG68" s="467"/>
      <c r="QQH68" s="468"/>
      <c r="QQI68" s="468"/>
      <c r="QQJ68" s="468"/>
      <c r="QQK68" s="468"/>
      <c r="QQL68" s="468"/>
      <c r="QQM68" s="468"/>
      <c r="QQN68" s="468"/>
      <c r="QQO68" s="468"/>
      <c r="QQP68" s="468"/>
      <c r="QQQ68" s="468"/>
      <c r="QQR68" s="468"/>
      <c r="QQS68" s="468"/>
      <c r="QQT68" s="468"/>
      <c r="QQU68" s="468"/>
      <c r="QQV68" s="468"/>
      <c r="QQW68" s="468"/>
      <c r="QQX68" s="468"/>
      <c r="QQY68" s="468"/>
      <c r="QQZ68" s="468"/>
      <c r="QRA68" s="468"/>
      <c r="QRB68" s="468"/>
      <c r="QRC68" s="468"/>
      <c r="QRD68" s="468"/>
      <c r="QRE68" s="468"/>
      <c r="QRF68" s="468"/>
      <c r="QRG68" s="468"/>
      <c r="QRH68" s="468"/>
      <c r="QRI68" s="468"/>
      <c r="QRJ68" s="469"/>
      <c r="QRK68" s="467"/>
      <c r="QRL68" s="468"/>
      <c r="QRM68" s="468"/>
      <c r="QRN68" s="468"/>
      <c r="QRO68" s="468"/>
      <c r="QRP68" s="468"/>
      <c r="QRQ68" s="468"/>
      <c r="QRR68" s="468"/>
      <c r="QRS68" s="468"/>
      <c r="QRT68" s="468"/>
      <c r="QRU68" s="468"/>
      <c r="QRV68" s="468"/>
      <c r="QRW68" s="468"/>
      <c r="QRX68" s="468"/>
      <c r="QRY68" s="468"/>
      <c r="QRZ68" s="468"/>
      <c r="QSA68" s="468"/>
      <c r="QSB68" s="468"/>
      <c r="QSC68" s="468"/>
      <c r="QSD68" s="468"/>
      <c r="QSE68" s="468"/>
      <c r="QSF68" s="468"/>
      <c r="QSG68" s="468"/>
      <c r="QSH68" s="468"/>
      <c r="QSI68" s="468"/>
      <c r="QSJ68" s="468"/>
      <c r="QSK68" s="468"/>
      <c r="QSL68" s="468"/>
      <c r="QSM68" s="468"/>
      <c r="QSN68" s="469"/>
      <c r="QSO68" s="467"/>
      <c r="QSP68" s="468"/>
      <c r="QSQ68" s="468"/>
      <c r="QSR68" s="468"/>
      <c r="QSS68" s="468"/>
      <c r="QST68" s="468"/>
      <c r="QSU68" s="468"/>
      <c r="QSV68" s="468"/>
      <c r="QSW68" s="468"/>
      <c r="QSX68" s="468"/>
      <c r="QSY68" s="468"/>
      <c r="QSZ68" s="468"/>
      <c r="QTA68" s="468"/>
      <c r="QTB68" s="468"/>
      <c r="QTC68" s="468"/>
      <c r="QTD68" s="468"/>
      <c r="QTE68" s="468"/>
      <c r="QTF68" s="468"/>
      <c r="QTG68" s="468"/>
      <c r="QTH68" s="468"/>
      <c r="QTI68" s="468"/>
      <c r="QTJ68" s="468"/>
      <c r="QTK68" s="468"/>
      <c r="QTL68" s="468"/>
      <c r="QTM68" s="468"/>
      <c r="QTN68" s="468"/>
      <c r="QTO68" s="468"/>
      <c r="QTP68" s="468"/>
      <c r="QTQ68" s="468"/>
      <c r="QTR68" s="469"/>
      <c r="QTS68" s="467"/>
      <c r="QTT68" s="468"/>
      <c r="QTU68" s="468"/>
      <c r="QTV68" s="468"/>
      <c r="QTW68" s="468"/>
      <c r="QTX68" s="468"/>
      <c r="QTY68" s="468"/>
      <c r="QTZ68" s="468"/>
      <c r="QUA68" s="468"/>
      <c r="QUB68" s="468"/>
      <c r="QUC68" s="468"/>
      <c r="QUD68" s="468"/>
      <c r="QUE68" s="468"/>
      <c r="QUF68" s="468"/>
      <c r="QUG68" s="468"/>
      <c r="QUH68" s="468"/>
      <c r="QUI68" s="468"/>
      <c r="QUJ68" s="468"/>
      <c r="QUK68" s="468"/>
      <c r="QUL68" s="468"/>
      <c r="QUM68" s="468"/>
      <c r="QUN68" s="468"/>
      <c r="QUO68" s="468"/>
      <c r="QUP68" s="468"/>
      <c r="QUQ68" s="468"/>
      <c r="QUR68" s="468"/>
      <c r="QUS68" s="468"/>
      <c r="QUT68" s="468"/>
      <c r="QUU68" s="468"/>
      <c r="QUV68" s="469"/>
      <c r="QUW68" s="467"/>
      <c r="QUX68" s="468"/>
      <c r="QUY68" s="468"/>
      <c r="QUZ68" s="468"/>
      <c r="QVA68" s="468"/>
      <c r="QVB68" s="468"/>
      <c r="QVC68" s="468"/>
      <c r="QVD68" s="468"/>
      <c r="QVE68" s="468"/>
      <c r="QVF68" s="468"/>
      <c r="QVG68" s="468"/>
      <c r="QVH68" s="468"/>
      <c r="QVI68" s="468"/>
      <c r="QVJ68" s="468"/>
      <c r="QVK68" s="468"/>
      <c r="QVL68" s="468"/>
      <c r="QVM68" s="468"/>
      <c r="QVN68" s="468"/>
      <c r="QVO68" s="468"/>
      <c r="QVP68" s="468"/>
      <c r="QVQ68" s="468"/>
      <c r="QVR68" s="468"/>
      <c r="QVS68" s="468"/>
      <c r="QVT68" s="468"/>
      <c r="QVU68" s="468"/>
      <c r="QVV68" s="468"/>
      <c r="QVW68" s="468"/>
      <c r="QVX68" s="468"/>
      <c r="QVY68" s="468"/>
      <c r="QVZ68" s="469"/>
      <c r="QWA68" s="467"/>
      <c r="QWB68" s="468"/>
      <c r="QWC68" s="468"/>
      <c r="QWD68" s="468"/>
      <c r="QWE68" s="468"/>
      <c r="QWF68" s="468"/>
      <c r="QWG68" s="468"/>
      <c r="QWH68" s="468"/>
      <c r="QWI68" s="468"/>
      <c r="QWJ68" s="468"/>
      <c r="QWK68" s="468"/>
      <c r="QWL68" s="468"/>
      <c r="QWM68" s="468"/>
      <c r="QWN68" s="468"/>
      <c r="QWO68" s="468"/>
      <c r="QWP68" s="468"/>
      <c r="QWQ68" s="468"/>
      <c r="QWR68" s="468"/>
      <c r="QWS68" s="468"/>
      <c r="QWT68" s="468"/>
      <c r="QWU68" s="468"/>
      <c r="QWV68" s="468"/>
      <c r="QWW68" s="468"/>
      <c r="QWX68" s="468"/>
      <c r="QWY68" s="468"/>
      <c r="QWZ68" s="468"/>
      <c r="QXA68" s="468"/>
      <c r="QXB68" s="468"/>
      <c r="QXC68" s="468"/>
      <c r="QXD68" s="469"/>
      <c r="QXE68" s="467"/>
      <c r="QXF68" s="468"/>
      <c r="QXG68" s="468"/>
      <c r="QXH68" s="468"/>
      <c r="QXI68" s="468"/>
      <c r="QXJ68" s="468"/>
      <c r="QXK68" s="468"/>
      <c r="QXL68" s="468"/>
      <c r="QXM68" s="468"/>
      <c r="QXN68" s="468"/>
      <c r="QXO68" s="468"/>
      <c r="QXP68" s="468"/>
      <c r="QXQ68" s="468"/>
      <c r="QXR68" s="468"/>
      <c r="QXS68" s="468"/>
      <c r="QXT68" s="468"/>
      <c r="QXU68" s="468"/>
      <c r="QXV68" s="468"/>
      <c r="QXW68" s="468"/>
      <c r="QXX68" s="468"/>
      <c r="QXY68" s="468"/>
      <c r="QXZ68" s="468"/>
      <c r="QYA68" s="468"/>
      <c r="QYB68" s="468"/>
      <c r="QYC68" s="468"/>
      <c r="QYD68" s="468"/>
      <c r="QYE68" s="468"/>
      <c r="QYF68" s="468"/>
      <c r="QYG68" s="468"/>
      <c r="QYH68" s="469"/>
      <c r="QYI68" s="467"/>
      <c r="QYJ68" s="468"/>
      <c r="QYK68" s="468"/>
      <c r="QYL68" s="468"/>
      <c r="QYM68" s="468"/>
      <c r="QYN68" s="468"/>
      <c r="QYO68" s="468"/>
      <c r="QYP68" s="468"/>
      <c r="QYQ68" s="468"/>
      <c r="QYR68" s="468"/>
      <c r="QYS68" s="468"/>
      <c r="QYT68" s="468"/>
      <c r="QYU68" s="468"/>
      <c r="QYV68" s="468"/>
      <c r="QYW68" s="468"/>
      <c r="QYX68" s="468"/>
      <c r="QYY68" s="468"/>
      <c r="QYZ68" s="468"/>
      <c r="QZA68" s="468"/>
      <c r="QZB68" s="468"/>
      <c r="QZC68" s="468"/>
      <c r="QZD68" s="468"/>
      <c r="QZE68" s="468"/>
      <c r="QZF68" s="468"/>
      <c r="QZG68" s="468"/>
      <c r="QZH68" s="468"/>
      <c r="QZI68" s="468"/>
      <c r="QZJ68" s="468"/>
      <c r="QZK68" s="468"/>
      <c r="QZL68" s="469"/>
      <c r="QZM68" s="467"/>
      <c r="QZN68" s="468"/>
      <c r="QZO68" s="468"/>
      <c r="QZP68" s="468"/>
      <c r="QZQ68" s="468"/>
      <c r="QZR68" s="468"/>
      <c r="QZS68" s="468"/>
      <c r="QZT68" s="468"/>
      <c r="QZU68" s="468"/>
      <c r="QZV68" s="468"/>
      <c r="QZW68" s="468"/>
      <c r="QZX68" s="468"/>
      <c r="QZY68" s="468"/>
      <c r="QZZ68" s="468"/>
      <c r="RAA68" s="468"/>
      <c r="RAB68" s="468"/>
      <c r="RAC68" s="468"/>
      <c r="RAD68" s="468"/>
      <c r="RAE68" s="468"/>
      <c r="RAF68" s="468"/>
      <c r="RAG68" s="468"/>
      <c r="RAH68" s="468"/>
      <c r="RAI68" s="468"/>
      <c r="RAJ68" s="468"/>
      <c r="RAK68" s="468"/>
      <c r="RAL68" s="468"/>
      <c r="RAM68" s="468"/>
      <c r="RAN68" s="468"/>
      <c r="RAO68" s="468"/>
      <c r="RAP68" s="469"/>
      <c r="RAQ68" s="467"/>
      <c r="RAR68" s="468"/>
      <c r="RAS68" s="468"/>
      <c r="RAT68" s="468"/>
      <c r="RAU68" s="468"/>
      <c r="RAV68" s="468"/>
      <c r="RAW68" s="468"/>
      <c r="RAX68" s="468"/>
      <c r="RAY68" s="468"/>
      <c r="RAZ68" s="468"/>
      <c r="RBA68" s="468"/>
      <c r="RBB68" s="468"/>
      <c r="RBC68" s="468"/>
      <c r="RBD68" s="468"/>
      <c r="RBE68" s="468"/>
      <c r="RBF68" s="468"/>
      <c r="RBG68" s="468"/>
      <c r="RBH68" s="468"/>
      <c r="RBI68" s="468"/>
      <c r="RBJ68" s="468"/>
      <c r="RBK68" s="468"/>
      <c r="RBL68" s="468"/>
      <c r="RBM68" s="468"/>
      <c r="RBN68" s="468"/>
      <c r="RBO68" s="468"/>
      <c r="RBP68" s="468"/>
      <c r="RBQ68" s="468"/>
      <c r="RBR68" s="468"/>
      <c r="RBS68" s="468"/>
      <c r="RBT68" s="469"/>
      <c r="RBU68" s="467"/>
      <c r="RBV68" s="468"/>
      <c r="RBW68" s="468"/>
      <c r="RBX68" s="468"/>
      <c r="RBY68" s="468"/>
      <c r="RBZ68" s="468"/>
      <c r="RCA68" s="468"/>
      <c r="RCB68" s="468"/>
      <c r="RCC68" s="468"/>
      <c r="RCD68" s="468"/>
      <c r="RCE68" s="468"/>
      <c r="RCF68" s="468"/>
      <c r="RCG68" s="468"/>
      <c r="RCH68" s="468"/>
      <c r="RCI68" s="468"/>
      <c r="RCJ68" s="468"/>
      <c r="RCK68" s="468"/>
      <c r="RCL68" s="468"/>
      <c r="RCM68" s="468"/>
      <c r="RCN68" s="468"/>
      <c r="RCO68" s="468"/>
      <c r="RCP68" s="468"/>
      <c r="RCQ68" s="468"/>
      <c r="RCR68" s="468"/>
      <c r="RCS68" s="468"/>
      <c r="RCT68" s="468"/>
      <c r="RCU68" s="468"/>
      <c r="RCV68" s="468"/>
      <c r="RCW68" s="468"/>
      <c r="RCX68" s="469"/>
      <c r="RCY68" s="467"/>
      <c r="RCZ68" s="468"/>
      <c r="RDA68" s="468"/>
      <c r="RDB68" s="468"/>
      <c r="RDC68" s="468"/>
      <c r="RDD68" s="468"/>
      <c r="RDE68" s="468"/>
      <c r="RDF68" s="468"/>
      <c r="RDG68" s="468"/>
      <c r="RDH68" s="468"/>
      <c r="RDI68" s="468"/>
      <c r="RDJ68" s="468"/>
      <c r="RDK68" s="468"/>
      <c r="RDL68" s="468"/>
      <c r="RDM68" s="468"/>
      <c r="RDN68" s="468"/>
      <c r="RDO68" s="468"/>
      <c r="RDP68" s="468"/>
      <c r="RDQ68" s="468"/>
      <c r="RDR68" s="468"/>
      <c r="RDS68" s="468"/>
      <c r="RDT68" s="468"/>
      <c r="RDU68" s="468"/>
      <c r="RDV68" s="468"/>
      <c r="RDW68" s="468"/>
      <c r="RDX68" s="468"/>
      <c r="RDY68" s="468"/>
      <c r="RDZ68" s="468"/>
      <c r="REA68" s="468"/>
      <c r="REB68" s="469"/>
      <c r="REC68" s="467"/>
      <c r="RED68" s="468"/>
      <c r="REE68" s="468"/>
      <c r="REF68" s="468"/>
      <c r="REG68" s="468"/>
      <c r="REH68" s="468"/>
      <c r="REI68" s="468"/>
      <c r="REJ68" s="468"/>
      <c r="REK68" s="468"/>
      <c r="REL68" s="468"/>
      <c r="REM68" s="468"/>
      <c r="REN68" s="468"/>
      <c r="REO68" s="468"/>
      <c r="REP68" s="468"/>
      <c r="REQ68" s="468"/>
      <c r="RER68" s="468"/>
      <c r="RES68" s="468"/>
      <c r="RET68" s="468"/>
      <c r="REU68" s="468"/>
      <c r="REV68" s="468"/>
      <c r="REW68" s="468"/>
      <c r="REX68" s="468"/>
      <c r="REY68" s="468"/>
      <c r="REZ68" s="468"/>
      <c r="RFA68" s="468"/>
      <c r="RFB68" s="468"/>
      <c r="RFC68" s="468"/>
      <c r="RFD68" s="468"/>
      <c r="RFE68" s="468"/>
      <c r="RFF68" s="469"/>
      <c r="RFG68" s="467"/>
      <c r="RFH68" s="468"/>
      <c r="RFI68" s="468"/>
      <c r="RFJ68" s="468"/>
      <c r="RFK68" s="468"/>
      <c r="RFL68" s="468"/>
      <c r="RFM68" s="468"/>
      <c r="RFN68" s="468"/>
      <c r="RFO68" s="468"/>
      <c r="RFP68" s="468"/>
      <c r="RFQ68" s="468"/>
      <c r="RFR68" s="468"/>
      <c r="RFS68" s="468"/>
      <c r="RFT68" s="468"/>
      <c r="RFU68" s="468"/>
      <c r="RFV68" s="468"/>
      <c r="RFW68" s="468"/>
      <c r="RFX68" s="468"/>
      <c r="RFY68" s="468"/>
      <c r="RFZ68" s="468"/>
      <c r="RGA68" s="468"/>
      <c r="RGB68" s="468"/>
      <c r="RGC68" s="468"/>
      <c r="RGD68" s="468"/>
      <c r="RGE68" s="468"/>
      <c r="RGF68" s="468"/>
      <c r="RGG68" s="468"/>
      <c r="RGH68" s="468"/>
      <c r="RGI68" s="468"/>
      <c r="RGJ68" s="469"/>
      <c r="RGK68" s="467"/>
      <c r="RGL68" s="468"/>
      <c r="RGM68" s="468"/>
      <c r="RGN68" s="468"/>
      <c r="RGO68" s="468"/>
      <c r="RGP68" s="468"/>
      <c r="RGQ68" s="468"/>
      <c r="RGR68" s="468"/>
      <c r="RGS68" s="468"/>
      <c r="RGT68" s="468"/>
      <c r="RGU68" s="468"/>
      <c r="RGV68" s="468"/>
      <c r="RGW68" s="468"/>
      <c r="RGX68" s="468"/>
      <c r="RGY68" s="468"/>
      <c r="RGZ68" s="468"/>
      <c r="RHA68" s="468"/>
      <c r="RHB68" s="468"/>
      <c r="RHC68" s="468"/>
      <c r="RHD68" s="468"/>
      <c r="RHE68" s="468"/>
      <c r="RHF68" s="468"/>
      <c r="RHG68" s="468"/>
      <c r="RHH68" s="468"/>
      <c r="RHI68" s="468"/>
      <c r="RHJ68" s="468"/>
      <c r="RHK68" s="468"/>
      <c r="RHL68" s="468"/>
      <c r="RHM68" s="468"/>
      <c r="RHN68" s="469"/>
      <c r="RHO68" s="467"/>
      <c r="RHP68" s="468"/>
      <c r="RHQ68" s="468"/>
      <c r="RHR68" s="468"/>
      <c r="RHS68" s="468"/>
      <c r="RHT68" s="468"/>
      <c r="RHU68" s="468"/>
      <c r="RHV68" s="468"/>
      <c r="RHW68" s="468"/>
      <c r="RHX68" s="468"/>
      <c r="RHY68" s="468"/>
      <c r="RHZ68" s="468"/>
      <c r="RIA68" s="468"/>
      <c r="RIB68" s="468"/>
      <c r="RIC68" s="468"/>
      <c r="RID68" s="468"/>
      <c r="RIE68" s="468"/>
      <c r="RIF68" s="468"/>
      <c r="RIG68" s="468"/>
      <c r="RIH68" s="468"/>
      <c r="RII68" s="468"/>
      <c r="RIJ68" s="468"/>
      <c r="RIK68" s="468"/>
      <c r="RIL68" s="468"/>
      <c r="RIM68" s="468"/>
      <c r="RIN68" s="468"/>
      <c r="RIO68" s="468"/>
      <c r="RIP68" s="468"/>
      <c r="RIQ68" s="468"/>
      <c r="RIR68" s="469"/>
      <c r="RIS68" s="467"/>
      <c r="RIT68" s="468"/>
      <c r="RIU68" s="468"/>
      <c r="RIV68" s="468"/>
      <c r="RIW68" s="468"/>
      <c r="RIX68" s="468"/>
      <c r="RIY68" s="468"/>
      <c r="RIZ68" s="468"/>
      <c r="RJA68" s="468"/>
      <c r="RJB68" s="468"/>
      <c r="RJC68" s="468"/>
      <c r="RJD68" s="468"/>
      <c r="RJE68" s="468"/>
      <c r="RJF68" s="468"/>
      <c r="RJG68" s="468"/>
      <c r="RJH68" s="468"/>
      <c r="RJI68" s="468"/>
      <c r="RJJ68" s="468"/>
      <c r="RJK68" s="468"/>
      <c r="RJL68" s="468"/>
      <c r="RJM68" s="468"/>
      <c r="RJN68" s="468"/>
      <c r="RJO68" s="468"/>
      <c r="RJP68" s="468"/>
      <c r="RJQ68" s="468"/>
      <c r="RJR68" s="468"/>
      <c r="RJS68" s="468"/>
      <c r="RJT68" s="468"/>
      <c r="RJU68" s="468"/>
      <c r="RJV68" s="469"/>
      <c r="RJW68" s="467"/>
      <c r="RJX68" s="468"/>
      <c r="RJY68" s="468"/>
      <c r="RJZ68" s="468"/>
      <c r="RKA68" s="468"/>
      <c r="RKB68" s="468"/>
      <c r="RKC68" s="468"/>
      <c r="RKD68" s="468"/>
      <c r="RKE68" s="468"/>
      <c r="RKF68" s="468"/>
      <c r="RKG68" s="468"/>
      <c r="RKH68" s="468"/>
      <c r="RKI68" s="468"/>
      <c r="RKJ68" s="468"/>
      <c r="RKK68" s="468"/>
      <c r="RKL68" s="468"/>
      <c r="RKM68" s="468"/>
      <c r="RKN68" s="468"/>
      <c r="RKO68" s="468"/>
      <c r="RKP68" s="468"/>
      <c r="RKQ68" s="468"/>
      <c r="RKR68" s="468"/>
      <c r="RKS68" s="468"/>
      <c r="RKT68" s="468"/>
      <c r="RKU68" s="468"/>
      <c r="RKV68" s="468"/>
      <c r="RKW68" s="468"/>
      <c r="RKX68" s="468"/>
      <c r="RKY68" s="468"/>
      <c r="RKZ68" s="469"/>
      <c r="RLA68" s="467"/>
      <c r="RLB68" s="468"/>
      <c r="RLC68" s="468"/>
      <c r="RLD68" s="468"/>
      <c r="RLE68" s="468"/>
      <c r="RLF68" s="468"/>
      <c r="RLG68" s="468"/>
      <c r="RLH68" s="468"/>
      <c r="RLI68" s="468"/>
      <c r="RLJ68" s="468"/>
      <c r="RLK68" s="468"/>
      <c r="RLL68" s="468"/>
      <c r="RLM68" s="468"/>
      <c r="RLN68" s="468"/>
      <c r="RLO68" s="468"/>
      <c r="RLP68" s="468"/>
      <c r="RLQ68" s="468"/>
      <c r="RLR68" s="468"/>
      <c r="RLS68" s="468"/>
      <c r="RLT68" s="468"/>
      <c r="RLU68" s="468"/>
      <c r="RLV68" s="468"/>
      <c r="RLW68" s="468"/>
      <c r="RLX68" s="468"/>
      <c r="RLY68" s="468"/>
      <c r="RLZ68" s="468"/>
      <c r="RMA68" s="468"/>
      <c r="RMB68" s="468"/>
      <c r="RMC68" s="468"/>
      <c r="RMD68" s="469"/>
      <c r="RME68" s="467"/>
      <c r="RMF68" s="468"/>
      <c r="RMG68" s="468"/>
      <c r="RMH68" s="468"/>
      <c r="RMI68" s="468"/>
      <c r="RMJ68" s="468"/>
      <c r="RMK68" s="468"/>
      <c r="RML68" s="468"/>
      <c r="RMM68" s="468"/>
      <c r="RMN68" s="468"/>
      <c r="RMO68" s="468"/>
      <c r="RMP68" s="468"/>
      <c r="RMQ68" s="468"/>
      <c r="RMR68" s="468"/>
      <c r="RMS68" s="468"/>
      <c r="RMT68" s="468"/>
      <c r="RMU68" s="468"/>
      <c r="RMV68" s="468"/>
      <c r="RMW68" s="468"/>
      <c r="RMX68" s="468"/>
      <c r="RMY68" s="468"/>
      <c r="RMZ68" s="468"/>
      <c r="RNA68" s="468"/>
      <c r="RNB68" s="468"/>
      <c r="RNC68" s="468"/>
      <c r="RND68" s="468"/>
      <c r="RNE68" s="468"/>
      <c r="RNF68" s="468"/>
      <c r="RNG68" s="468"/>
      <c r="RNH68" s="469"/>
      <c r="RNI68" s="467"/>
      <c r="RNJ68" s="468"/>
      <c r="RNK68" s="468"/>
      <c r="RNL68" s="468"/>
      <c r="RNM68" s="468"/>
      <c r="RNN68" s="468"/>
      <c r="RNO68" s="468"/>
      <c r="RNP68" s="468"/>
      <c r="RNQ68" s="468"/>
      <c r="RNR68" s="468"/>
      <c r="RNS68" s="468"/>
      <c r="RNT68" s="468"/>
      <c r="RNU68" s="468"/>
      <c r="RNV68" s="468"/>
      <c r="RNW68" s="468"/>
      <c r="RNX68" s="468"/>
      <c r="RNY68" s="468"/>
      <c r="RNZ68" s="468"/>
      <c r="ROA68" s="468"/>
      <c r="ROB68" s="468"/>
      <c r="ROC68" s="468"/>
      <c r="ROD68" s="468"/>
      <c r="ROE68" s="468"/>
      <c r="ROF68" s="468"/>
      <c r="ROG68" s="468"/>
      <c r="ROH68" s="468"/>
      <c r="ROI68" s="468"/>
      <c r="ROJ68" s="468"/>
      <c r="ROK68" s="468"/>
      <c r="ROL68" s="469"/>
      <c r="ROM68" s="467"/>
      <c r="RON68" s="468"/>
      <c r="ROO68" s="468"/>
      <c r="ROP68" s="468"/>
      <c r="ROQ68" s="468"/>
      <c r="ROR68" s="468"/>
      <c r="ROS68" s="468"/>
      <c r="ROT68" s="468"/>
      <c r="ROU68" s="468"/>
      <c r="ROV68" s="468"/>
      <c r="ROW68" s="468"/>
      <c r="ROX68" s="468"/>
      <c r="ROY68" s="468"/>
      <c r="ROZ68" s="468"/>
      <c r="RPA68" s="468"/>
      <c r="RPB68" s="468"/>
      <c r="RPC68" s="468"/>
      <c r="RPD68" s="468"/>
      <c r="RPE68" s="468"/>
      <c r="RPF68" s="468"/>
      <c r="RPG68" s="468"/>
      <c r="RPH68" s="468"/>
      <c r="RPI68" s="468"/>
      <c r="RPJ68" s="468"/>
      <c r="RPK68" s="468"/>
      <c r="RPL68" s="468"/>
      <c r="RPM68" s="468"/>
      <c r="RPN68" s="468"/>
      <c r="RPO68" s="468"/>
      <c r="RPP68" s="469"/>
      <c r="RPQ68" s="467"/>
      <c r="RPR68" s="468"/>
      <c r="RPS68" s="468"/>
      <c r="RPT68" s="468"/>
      <c r="RPU68" s="468"/>
      <c r="RPV68" s="468"/>
      <c r="RPW68" s="468"/>
      <c r="RPX68" s="468"/>
      <c r="RPY68" s="468"/>
      <c r="RPZ68" s="468"/>
      <c r="RQA68" s="468"/>
      <c r="RQB68" s="468"/>
      <c r="RQC68" s="468"/>
      <c r="RQD68" s="468"/>
      <c r="RQE68" s="468"/>
      <c r="RQF68" s="468"/>
      <c r="RQG68" s="468"/>
      <c r="RQH68" s="468"/>
      <c r="RQI68" s="468"/>
      <c r="RQJ68" s="468"/>
      <c r="RQK68" s="468"/>
      <c r="RQL68" s="468"/>
      <c r="RQM68" s="468"/>
      <c r="RQN68" s="468"/>
      <c r="RQO68" s="468"/>
      <c r="RQP68" s="468"/>
      <c r="RQQ68" s="468"/>
      <c r="RQR68" s="468"/>
      <c r="RQS68" s="468"/>
      <c r="RQT68" s="469"/>
      <c r="RQU68" s="467"/>
      <c r="RQV68" s="468"/>
      <c r="RQW68" s="468"/>
      <c r="RQX68" s="468"/>
      <c r="RQY68" s="468"/>
      <c r="RQZ68" s="468"/>
      <c r="RRA68" s="468"/>
      <c r="RRB68" s="468"/>
      <c r="RRC68" s="468"/>
      <c r="RRD68" s="468"/>
      <c r="RRE68" s="468"/>
      <c r="RRF68" s="468"/>
      <c r="RRG68" s="468"/>
      <c r="RRH68" s="468"/>
      <c r="RRI68" s="468"/>
      <c r="RRJ68" s="468"/>
      <c r="RRK68" s="468"/>
      <c r="RRL68" s="468"/>
      <c r="RRM68" s="468"/>
      <c r="RRN68" s="468"/>
      <c r="RRO68" s="468"/>
      <c r="RRP68" s="468"/>
      <c r="RRQ68" s="468"/>
      <c r="RRR68" s="468"/>
      <c r="RRS68" s="468"/>
      <c r="RRT68" s="468"/>
      <c r="RRU68" s="468"/>
      <c r="RRV68" s="468"/>
      <c r="RRW68" s="468"/>
      <c r="RRX68" s="469"/>
      <c r="RRY68" s="467"/>
      <c r="RRZ68" s="468"/>
      <c r="RSA68" s="468"/>
      <c r="RSB68" s="468"/>
      <c r="RSC68" s="468"/>
      <c r="RSD68" s="468"/>
      <c r="RSE68" s="468"/>
      <c r="RSF68" s="468"/>
      <c r="RSG68" s="468"/>
      <c r="RSH68" s="468"/>
      <c r="RSI68" s="468"/>
      <c r="RSJ68" s="468"/>
      <c r="RSK68" s="468"/>
      <c r="RSL68" s="468"/>
      <c r="RSM68" s="468"/>
      <c r="RSN68" s="468"/>
      <c r="RSO68" s="468"/>
      <c r="RSP68" s="468"/>
      <c r="RSQ68" s="468"/>
      <c r="RSR68" s="468"/>
      <c r="RSS68" s="468"/>
      <c r="RST68" s="468"/>
      <c r="RSU68" s="468"/>
      <c r="RSV68" s="468"/>
      <c r="RSW68" s="468"/>
      <c r="RSX68" s="468"/>
      <c r="RSY68" s="468"/>
      <c r="RSZ68" s="468"/>
      <c r="RTA68" s="468"/>
      <c r="RTB68" s="469"/>
      <c r="RTC68" s="467"/>
      <c r="RTD68" s="468"/>
      <c r="RTE68" s="468"/>
      <c r="RTF68" s="468"/>
      <c r="RTG68" s="468"/>
      <c r="RTH68" s="468"/>
      <c r="RTI68" s="468"/>
      <c r="RTJ68" s="468"/>
      <c r="RTK68" s="468"/>
      <c r="RTL68" s="468"/>
      <c r="RTM68" s="468"/>
      <c r="RTN68" s="468"/>
      <c r="RTO68" s="468"/>
      <c r="RTP68" s="468"/>
      <c r="RTQ68" s="468"/>
      <c r="RTR68" s="468"/>
      <c r="RTS68" s="468"/>
      <c r="RTT68" s="468"/>
      <c r="RTU68" s="468"/>
      <c r="RTV68" s="468"/>
      <c r="RTW68" s="468"/>
      <c r="RTX68" s="468"/>
      <c r="RTY68" s="468"/>
      <c r="RTZ68" s="468"/>
      <c r="RUA68" s="468"/>
      <c r="RUB68" s="468"/>
      <c r="RUC68" s="468"/>
      <c r="RUD68" s="468"/>
      <c r="RUE68" s="468"/>
      <c r="RUF68" s="469"/>
      <c r="RUG68" s="467"/>
      <c r="RUH68" s="468"/>
      <c r="RUI68" s="468"/>
      <c r="RUJ68" s="468"/>
      <c r="RUK68" s="468"/>
      <c r="RUL68" s="468"/>
      <c r="RUM68" s="468"/>
      <c r="RUN68" s="468"/>
      <c r="RUO68" s="468"/>
      <c r="RUP68" s="468"/>
      <c r="RUQ68" s="468"/>
      <c r="RUR68" s="468"/>
      <c r="RUS68" s="468"/>
      <c r="RUT68" s="468"/>
      <c r="RUU68" s="468"/>
      <c r="RUV68" s="468"/>
      <c r="RUW68" s="468"/>
      <c r="RUX68" s="468"/>
      <c r="RUY68" s="468"/>
      <c r="RUZ68" s="468"/>
      <c r="RVA68" s="468"/>
      <c r="RVB68" s="468"/>
      <c r="RVC68" s="468"/>
      <c r="RVD68" s="468"/>
      <c r="RVE68" s="468"/>
      <c r="RVF68" s="468"/>
      <c r="RVG68" s="468"/>
      <c r="RVH68" s="468"/>
      <c r="RVI68" s="468"/>
      <c r="RVJ68" s="469"/>
      <c r="RVK68" s="467"/>
      <c r="RVL68" s="468"/>
      <c r="RVM68" s="468"/>
      <c r="RVN68" s="468"/>
      <c r="RVO68" s="468"/>
      <c r="RVP68" s="468"/>
      <c r="RVQ68" s="468"/>
      <c r="RVR68" s="468"/>
      <c r="RVS68" s="468"/>
      <c r="RVT68" s="468"/>
      <c r="RVU68" s="468"/>
      <c r="RVV68" s="468"/>
      <c r="RVW68" s="468"/>
      <c r="RVX68" s="468"/>
      <c r="RVY68" s="468"/>
      <c r="RVZ68" s="468"/>
      <c r="RWA68" s="468"/>
      <c r="RWB68" s="468"/>
      <c r="RWC68" s="468"/>
      <c r="RWD68" s="468"/>
      <c r="RWE68" s="468"/>
      <c r="RWF68" s="468"/>
      <c r="RWG68" s="468"/>
      <c r="RWH68" s="468"/>
      <c r="RWI68" s="468"/>
      <c r="RWJ68" s="468"/>
      <c r="RWK68" s="468"/>
      <c r="RWL68" s="468"/>
      <c r="RWM68" s="468"/>
      <c r="RWN68" s="469"/>
      <c r="RWO68" s="467"/>
      <c r="RWP68" s="468"/>
      <c r="RWQ68" s="468"/>
      <c r="RWR68" s="468"/>
      <c r="RWS68" s="468"/>
      <c r="RWT68" s="468"/>
      <c r="RWU68" s="468"/>
      <c r="RWV68" s="468"/>
      <c r="RWW68" s="468"/>
      <c r="RWX68" s="468"/>
      <c r="RWY68" s="468"/>
      <c r="RWZ68" s="468"/>
      <c r="RXA68" s="468"/>
      <c r="RXB68" s="468"/>
      <c r="RXC68" s="468"/>
      <c r="RXD68" s="468"/>
      <c r="RXE68" s="468"/>
      <c r="RXF68" s="468"/>
      <c r="RXG68" s="468"/>
      <c r="RXH68" s="468"/>
      <c r="RXI68" s="468"/>
      <c r="RXJ68" s="468"/>
      <c r="RXK68" s="468"/>
      <c r="RXL68" s="468"/>
      <c r="RXM68" s="468"/>
      <c r="RXN68" s="468"/>
      <c r="RXO68" s="468"/>
      <c r="RXP68" s="468"/>
      <c r="RXQ68" s="468"/>
      <c r="RXR68" s="469"/>
      <c r="RXS68" s="467"/>
      <c r="RXT68" s="468"/>
      <c r="RXU68" s="468"/>
      <c r="RXV68" s="468"/>
      <c r="RXW68" s="468"/>
      <c r="RXX68" s="468"/>
      <c r="RXY68" s="468"/>
      <c r="RXZ68" s="468"/>
      <c r="RYA68" s="468"/>
      <c r="RYB68" s="468"/>
      <c r="RYC68" s="468"/>
      <c r="RYD68" s="468"/>
      <c r="RYE68" s="468"/>
      <c r="RYF68" s="468"/>
      <c r="RYG68" s="468"/>
      <c r="RYH68" s="468"/>
      <c r="RYI68" s="468"/>
      <c r="RYJ68" s="468"/>
      <c r="RYK68" s="468"/>
      <c r="RYL68" s="468"/>
      <c r="RYM68" s="468"/>
      <c r="RYN68" s="468"/>
      <c r="RYO68" s="468"/>
      <c r="RYP68" s="468"/>
      <c r="RYQ68" s="468"/>
      <c r="RYR68" s="468"/>
      <c r="RYS68" s="468"/>
      <c r="RYT68" s="468"/>
      <c r="RYU68" s="468"/>
      <c r="RYV68" s="469"/>
      <c r="RYW68" s="467"/>
      <c r="RYX68" s="468"/>
      <c r="RYY68" s="468"/>
      <c r="RYZ68" s="468"/>
      <c r="RZA68" s="468"/>
      <c r="RZB68" s="468"/>
      <c r="RZC68" s="468"/>
      <c r="RZD68" s="468"/>
      <c r="RZE68" s="468"/>
      <c r="RZF68" s="468"/>
      <c r="RZG68" s="468"/>
      <c r="RZH68" s="468"/>
      <c r="RZI68" s="468"/>
      <c r="RZJ68" s="468"/>
      <c r="RZK68" s="468"/>
      <c r="RZL68" s="468"/>
      <c r="RZM68" s="468"/>
      <c r="RZN68" s="468"/>
      <c r="RZO68" s="468"/>
      <c r="RZP68" s="468"/>
      <c r="RZQ68" s="468"/>
      <c r="RZR68" s="468"/>
      <c r="RZS68" s="468"/>
      <c r="RZT68" s="468"/>
      <c r="RZU68" s="468"/>
      <c r="RZV68" s="468"/>
      <c r="RZW68" s="468"/>
      <c r="RZX68" s="468"/>
      <c r="RZY68" s="468"/>
      <c r="RZZ68" s="469"/>
      <c r="SAA68" s="467"/>
      <c r="SAB68" s="468"/>
      <c r="SAC68" s="468"/>
      <c r="SAD68" s="468"/>
      <c r="SAE68" s="468"/>
      <c r="SAF68" s="468"/>
      <c r="SAG68" s="468"/>
      <c r="SAH68" s="468"/>
      <c r="SAI68" s="468"/>
      <c r="SAJ68" s="468"/>
      <c r="SAK68" s="468"/>
      <c r="SAL68" s="468"/>
      <c r="SAM68" s="468"/>
      <c r="SAN68" s="468"/>
      <c r="SAO68" s="468"/>
      <c r="SAP68" s="468"/>
      <c r="SAQ68" s="468"/>
      <c r="SAR68" s="468"/>
      <c r="SAS68" s="468"/>
      <c r="SAT68" s="468"/>
      <c r="SAU68" s="468"/>
      <c r="SAV68" s="468"/>
      <c r="SAW68" s="468"/>
      <c r="SAX68" s="468"/>
      <c r="SAY68" s="468"/>
      <c r="SAZ68" s="468"/>
      <c r="SBA68" s="468"/>
      <c r="SBB68" s="468"/>
      <c r="SBC68" s="468"/>
      <c r="SBD68" s="469"/>
      <c r="SBE68" s="467"/>
      <c r="SBF68" s="468"/>
      <c r="SBG68" s="468"/>
      <c r="SBH68" s="468"/>
      <c r="SBI68" s="468"/>
      <c r="SBJ68" s="468"/>
      <c r="SBK68" s="468"/>
      <c r="SBL68" s="468"/>
      <c r="SBM68" s="468"/>
      <c r="SBN68" s="468"/>
      <c r="SBO68" s="468"/>
      <c r="SBP68" s="468"/>
      <c r="SBQ68" s="468"/>
      <c r="SBR68" s="468"/>
      <c r="SBS68" s="468"/>
      <c r="SBT68" s="468"/>
      <c r="SBU68" s="468"/>
      <c r="SBV68" s="468"/>
      <c r="SBW68" s="468"/>
      <c r="SBX68" s="468"/>
      <c r="SBY68" s="468"/>
      <c r="SBZ68" s="468"/>
      <c r="SCA68" s="468"/>
      <c r="SCB68" s="468"/>
      <c r="SCC68" s="468"/>
      <c r="SCD68" s="468"/>
      <c r="SCE68" s="468"/>
      <c r="SCF68" s="468"/>
      <c r="SCG68" s="468"/>
      <c r="SCH68" s="469"/>
      <c r="SCI68" s="467"/>
      <c r="SCJ68" s="468"/>
      <c r="SCK68" s="468"/>
      <c r="SCL68" s="468"/>
      <c r="SCM68" s="468"/>
      <c r="SCN68" s="468"/>
      <c r="SCO68" s="468"/>
      <c r="SCP68" s="468"/>
      <c r="SCQ68" s="468"/>
      <c r="SCR68" s="468"/>
      <c r="SCS68" s="468"/>
      <c r="SCT68" s="468"/>
      <c r="SCU68" s="468"/>
      <c r="SCV68" s="468"/>
      <c r="SCW68" s="468"/>
      <c r="SCX68" s="468"/>
      <c r="SCY68" s="468"/>
      <c r="SCZ68" s="468"/>
      <c r="SDA68" s="468"/>
      <c r="SDB68" s="468"/>
      <c r="SDC68" s="468"/>
      <c r="SDD68" s="468"/>
      <c r="SDE68" s="468"/>
      <c r="SDF68" s="468"/>
      <c r="SDG68" s="468"/>
      <c r="SDH68" s="468"/>
      <c r="SDI68" s="468"/>
      <c r="SDJ68" s="468"/>
      <c r="SDK68" s="468"/>
      <c r="SDL68" s="469"/>
      <c r="SDM68" s="467"/>
      <c r="SDN68" s="468"/>
      <c r="SDO68" s="468"/>
      <c r="SDP68" s="468"/>
      <c r="SDQ68" s="468"/>
      <c r="SDR68" s="468"/>
      <c r="SDS68" s="468"/>
      <c r="SDT68" s="468"/>
      <c r="SDU68" s="468"/>
      <c r="SDV68" s="468"/>
      <c r="SDW68" s="468"/>
      <c r="SDX68" s="468"/>
      <c r="SDY68" s="468"/>
      <c r="SDZ68" s="468"/>
      <c r="SEA68" s="468"/>
      <c r="SEB68" s="468"/>
      <c r="SEC68" s="468"/>
      <c r="SED68" s="468"/>
      <c r="SEE68" s="468"/>
      <c r="SEF68" s="468"/>
      <c r="SEG68" s="468"/>
      <c r="SEH68" s="468"/>
      <c r="SEI68" s="468"/>
      <c r="SEJ68" s="468"/>
      <c r="SEK68" s="468"/>
      <c r="SEL68" s="468"/>
      <c r="SEM68" s="468"/>
      <c r="SEN68" s="468"/>
      <c r="SEO68" s="468"/>
      <c r="SEP68" s="469"/>
      <c r="SEQ68" s="467"/>
      <c r="SER68" s="468"/>
      <c r="SES68" s="468"/>
      <c r="SET68" s="468"/>
      <c r="SEU68" s="468"/>
      <c r="SEV68" s="468"/>
      <c r="SEW68" s="468"/>
      <c r="SEX68" s="468"/>
      <c r="SEY68" s="468"/>
      <c r="SEZ68" s="468"/>
      <c r="SFA68" s="468"/>
      <c r="SFB68" s="468"/>
      <c r="SFC68" s="468"/>
      <c r="SFD68" s="468"/>
      <c r="SFE68" s="468"/>
      <c r="SFF68" s="468"/>
      <c r="SFG68" s="468"/>
      <c r="SFH68" s="468"/>
      <c r="SFI68" s="468"/>
      <c r="SFJ68" s="468"/>
      <c r="SFK68" s="468"/>
      <c r="SFL68" s="468"/>
      <c r="SFM68" s="468"/>
      <c r="SFN68" s="468"/>
      <c r="SFO68" s="468"/>
      <c r="SFP68" s="468"/>
      <c r="SFQ68" s="468"/>
      <c r="SFR68" s="468"/>
      <c r="SFS68" s="468"/>
      <c r="SFT68" s="469"/>
      <c r="SFU68" s="467"/>
      <c r="SFV68" s="468"/>
      <c r="SFW68" s="468"/>
      <c r="SFX68" s="468"/>
      <c r="SFY68" s="468"/>
      <c r="SFZ68" s="468"/>
      <c r="SGA68" s="468"/>
      <c r="SGB68" s="468"/>
      <c r="SGC68" s="468"/>
      <c r="SGD68" s="468"/>
      <c r="SGE68" s="468"/>
      <c r="SGF68" s="468"/>
      <c r="SGG68" s="468"/>
      <c r="SGH68" s="468"/>
      <c r="SGI68" s="468"/>
      <c r="SGJ68" s="468"/>
      <c r="SGK68" s="468"/>
      <c r="SGL68" s="468"/>
      <c r="SGM68" s="468"/>
      <c r="SGN68" s="468"/>
      <c r="SGO68" s="468"/>
      <c r="SGP68" s="468"/>
      <c r="SGQ68" s="468"/>
      <c r="SGR68" s="468"/>
      <c r="SGS68" s="468"/>
      <c r="SGT68" s="468"/>
      <c r="SGU68" s="468"/>
      <c r="SGV68" s="468"/>
      <c r="SGW68" s="468"/>
      <c r="SGX68" s="469"/>
      <c r="SGY68" s="467"/>
      <c r="SGZ68" s="468"/>
      <c r="SHA68" s="468"/>
      <c r="SHB68" s="468"/>
      <c r="SHC68" s="468"/>
      <c r="SHD68" s="468"/>
      <c r="SHE68" s="468"/>
      <c r="SHF68" s="468"/>
      <c r="SHG68" s="468"/>
      <c r="SHH68" s="468"/>
      <c r="SHI68" s="468"/>
      <c r="SHJ68" s="468"/>
      <c r="SHK68" s="468"/>
      <c r="SHL68" s="468"/>
      <c r="SHM68" s="468"/>
      <c r="SHN68" s="468"/>
      <c r="SHO68" s="468"/>
      <c r="SHP68" s="468"/>
      <c r="SHQ68" s="468"/>
      <c r="SHR68" s="468"/>
      <c r="SHS68" s="468"/>
      <c r="SHT68" s="468"/>
      <c r="SHU68" s="468"/>
      <c r="SHV68" s="468"/>
      <c r="SHW68" s="468"/>
      <c r="SHX68" s="468"/>
      <c r="SHY68" s="468"/>
      <c r="SHZ68" s="468"/>
      <c r="SIA68" s="468"/>
      <c r="SIB68" s="469"/>
      <c r="SIC68" s="467"/>
      <c r="SID68" s="468"/>
      <c r="SIE68" s="468"/>
      <c r="SIF68" s="468"/>
      <c r="SIG68" s="468"/>
      <c r="SIH68" s="468"/>
      <c r="SII68" s="468"/>
      <c r="SIJ68" s="468"/>
      <c r="SIK68" s="468"/>
      <c r="SIL68" s="468"/>
      <c r="SIM68" s="468"/>
      <c r="SIN68" s="468"/>
      <c r="SIO68" s="468"/>
      <c r="SIP68" s="468"/>
      <c r="SIQ68" s="468"/>
      <c r="SIR68" s="468"/>
      <c r="SIS68" s="468"/>
      <c r="SIT68" s="468"/>
      <c r="SIU68" s="468"/>
      <c r="SIV68" s="468"/>
      <c r="SIW68" s="468"/>
      <c r="SIX68" s="468"/>
      <c r="SIY68" s="468"/>
      <c r="SIZ68" s="468"/>
      <c r="SJA68" s="468"/>
      <c r="SJB68" s="468"/>
      <c r="SJC68" s="468"/>
      <c r="SJD68" s="468"/>
      <c r="SJE68" s="468"/>
      <c r="SJF68" s="469"/>
      <c r="SJG68" s="467"/>
      <c r="SJH68" s="468"/>
      <c r="SJI68" s="468"/>
      <c r="SJJ68" s="468"/>
      <c r="SJK68" s="468"/>
      <c r="SJL68" s="468"/>
      <c r="SJM68" s="468"/>
      <c r="SJN68" s="468"/>
      <c r="SJO68" s="468"/>
      <c r="SJP68" s="468"/>
      <c r="SJQ68" s="468"/>
      <c r="SJR68" s="468"/>
      <c r="SJS68" s="468"/>
      <c r="SJT68" s="468"/>
      <c r="SJU68" s="468"/>
      <c r="SJV68" s="468"/>
      <c r="SJW68" s="468"/>
      <c r="SJX68" s="468"/>
      <c r="SJY68" s="468"/>
      <c r="SJZ68" s="468"/>
      <c r="SKA68" s="468"/>
      <c r="SKB68" s="468"/>
      <c r="SKC68" s="468"/>
      <c r="SKD68" s="468"/>
      <c r="SKE68" s="468"/>
      <c r="SKF68" s="468"/>
      <c r="SKG68" s="468"/>
      <c r="SKH68" s="468"/>
      <c r="SKI68" s="468"/>
      <c r="SKJ68" s="469"/>
      <c r="SKK68" s="467"/>
      <c r="SKL68" s="468"/>
      <c r="SKM68" s="468"/>
      <c r="SKN68" s="468"/>
      <c r="SKO68" s="468"/>
      <c r="SKP68" s="468"/>
      <c r="SKQ68" s="468"/>
      <c r="SKR68" s="468"/>
      <c r="SKS68" s="468"/>
      <c r="SKT68" s="468"/>
      <c r="SKU68" s="468"/>
      <c r="SKV68" s="468"/>
      <c r="SKW68" s="468"/>
      <c r="SKX68" s="468"/>
      <c r="SKY68" s="468"/>
      <c r="SKZ68" s="468"/>
      <c r="SLA68" s="468"/>
      <c r="SLB68" s="468"/>
      <c r="SLC68" s="468"/>
      <c r="SLD68" s="468"/>
      <c r="SLE68" s="468"/>
      <c r="SLF68" s="468"/>
      <c r="SLG68" s="468"/>
      <c r="SLH68" s="468"/>
      <c r="SLI68" s="468"/>
      <c r="SLJ68" s="468"/>
      <c r="SLK68" s="468"/>
      <c r="SLL68" s="468"/>
      <c r="SLM68" s="468"/>
      <c r="SLN68" s="469"/>
      <c r="SLO68" s="467"/>
      <c r="SLP68" s="468"/>
      <c r="SLQ68" s="468"/>
      <c r="SLR68" s="468"/>
      <c r="SLS68" s="468"/>
      <c r="SLT68" s="468"/>
      <c r="SLU68" s="468"/>
      <c r="SLV68" s="468"/>
      <c r="SLW68" s="468"/>
      <c r="SLX68" s="468"/>
      <c r="SLY68" s="468"/>
      <c r="SLZ68" s="468"/>
      <c r="SMA68" s="468"/>
      <c r="SMB68" s="468"/>
      <c r="SMC68" s="468"/>
      <c r="SMD68" s="468"/>
      <c r="SME68" s="468"/>
      <c r="SMF68" s="468"/>
      <c r="SMG68" s="468"/>
      <c r="SMH68" s="468"/>
      <c r="SMI68" s="468"/>
      <c r="SMJ68" s="468"/>
      <c r="SMK68" s="468"/>
      <c r="SML68" s="468"/>
      <c r="SMM68" s="468"/>
      <c r="SMN68" s="468"/>
      <c r="SMO68" s="468"/>
      <c r="SMP68" s="468"/>
      <c r="SMQ68" s="468"/>
      <c r="SMR68" s="469"/>
      <c r="SMS68" s="467"/>
      <c r="SMT68" s="468"/>
      <c r="SMU68" s="468"/>
      <c r="SMV68" s="468"/>
      <c r="SMW68" s="468"/>
      <c r="SMX68" s="468"/>
      <c r="SMY68" s="468"/>
      <c r="SMZ68" s="468"/>
      <c r="SNA68" s="468"/>
      <c r="SNB68" s="468"/>
      <c r="SNC68" s="468"/>
      <c r="SND68" s="468"/>
      <c r="SNE68" s="468"/>
      <c r="SNF68" s="468"/>
      <c r="SNG68" s="468"/>
      <c r="SNH68" s="468"/>
      <c r="SNI68" s="468"/>
      <c r="SNJ68" s="468"/>
      <c r="SNK68" s="468"/>
      <c r="SNL68" s="468"/>
      <c r="SNM68" s="468"/>
      <c r="SNN68" s="468"/>
      <c r="SNO68" s="468"/>
      <c r="SNP68" s="468"/>
      <c r="SNQ68" s="468"/>
      <c r="SNR68" s="468"/>
      <c r="SNS68" s="468"/>
      <c r="SNT68" s="468"/>
      <c r="SNU68" s="468"/>
      <c r="SNV68" s="469"/>
      <c r="SNW68" s="467"/>
      <c r="SNX68" s="468"/>
      <c r="SNY68" s="468"/>
      <c r="SNZ68" s="468"/>
      <c r="SOA68" s="468"/>
      <c r="SOB68" s="468"/>
      <c r="SOC68" s="468"/>
      <c r="SOD68" s="468"/>
      <c r="SOE68" s="468"/>
      <c r="SOF68" s="468"/>
      <c r="SOG68" s="468"/>
      <c r="SOH68" s="468"/>
      <c r="SOI68" s="468"/>
      <c r="SOJ68" s="468"/>
      <c r="SOK68" s="468"/>
      <c r="SOL68" s="468"/>
      <c r="SOM68" s="468"/>
      <c r="SON68" s="468"/>
      <c r="SOO68" s="468"/>
      <c r="SOP68" s="468"/>
      <c r="SOQ68" s="468"/>
      <c r="SOR68" s="468"/>
      <c r="SOS68" s="468"/>
      <c r="SOT68" s="468"/>
      <c r="SOU68" s="468"/>
      <c r="SOV68" s="468"/>
      <c r="SOW68" s="468"/>
      <c r="SOX68" s="468"/>
      <c r="SOY68" s="468"/>
      <c r="SOZ68" s="469"/>
      <c r="SPA68" s="467"/>
      <c r="SPB68" s="468"/>
      <c r="SPC68" s="468"/>
      <c r="SPD68" s="468"/>
      <c r="SPE68" s="468"/>
      <c r="SPF68" s="468"/>
      <c r="SPG68" s="468"/>
      <c r="SPH68" s="468"/>
      <c r="SPI68" s="468"/>
      <c r="SPJ68" s="468"/>
      <c r="SPK68" s="468"/>
      <c r="SPL68" s="468"/>
      <c r="SPM68" s="468"/>
      <c r="SPN68" s="468"/>
      <c r="SPO68" s="468"/>
      <c r="SPP68" s="468"/>
      <c r="SPQ68" s="468"/>
      <c r="SPR68" s="468"/>
      <c r="SPS68" s="468"/>
      <c r="SPT68" s="468"/>
      <c r="SPU68" s="468"/>
      <c r="SPV68" s="468"/>
      <c r="SPW68" s="468"/>
      <c r="SPX68" s="468"/>
      <c r="SPY68" s="468"/>
      <c r="SPZ68" s="468"/>
      <c r="SQA68" s="468"/>
      <c r="SQB68" s="468"/>
      <c r="SQC68" s="468"/>
      <c r="SQD68" s="469"/>
      <c r="SQE68" s="467"/>
      <c r="SQF68" s="468"/>
      <c r="SQG68" s="468"/>
      <c r="SQH68" s="468"/>
      <c r="SQI68" s="468"/>
      <c r="SQJ68" s="468"/>
      <c r="SQK68" s="468"/>
      <c r="SQL68" s="468"/>
      <c r="SQM68" s="468"/>
      <c r="SQN68" s="468"/>
      <c r="SQO68" s="468"/>
      <c r="SQP68" s="468"/>
      <c r="SQQ68" s="468"/>
      <c r="SQR68" s="468"/>
      <c r="SQS68" s="468"/>
      <c r="SQT68" s="468"/>
      <c r="SQU68" s="468"/>
      <c r="SQV68" s="468"/>
      <c r="SQW68" s="468"/>
      <c r="SQX68" s="468"/>
      <c r="SQY68" s="468"/>
      <c r="SQZ68" s="468"/>
      <c r="SRA68" s="468"/>
      <c r="SRB68" s="468"/>
      <c r="SRC68" s="468"/>
      <c r="SRD68" s="468"/>
      <c r="SRE68" s="468"/>
      <c r="SRF68" s="468"/>
      <c r="SRG68" s="468"/>
      <c r="SRH68" s="469"/>
      <c r="SRI68" s="467"/>
      <c r="SRJ68" s="468"/>
      <c r="SRK68" s="468"/>
      <c r="SRL68" s="468"/>
      <c r="SRM68" s="468"/>
      <c r="SRN68" s="468"/>
      <c r="SRO68" s="468"/>
      <c r="SRP68" s="468"/>
      <c r="SRQ68" s="468"/>
      <c r="SRR68" s="468"/>
      <c r="SRS68" s="468"/>
      <c r="SRT68" s="468"/>
      <c r="SRU68" s="468"/>
      <c r="SRV68" s="468"/>
      <c r="SRW68" s="468"/>
      <c r="SRX68" s="468"/>
      <c r="SRY68" s="468"/>
      <c r="SRZ68" s="468"/>
      <c r="SSA68" s="468"/>
      <c r="SSB68" s="468"/>
      <c r="SSC68" s="468"/>
      <c r="SSD68" s="468"/>
      <c r="SSE68" s="468"/>
      <c r="SSF68" s="468"/>
      <c r="SSG68" s="468"/>
      <c r="SSH68" s="468"/>
      <c r="SSI68" s="468"/>
      <c r="SSJ68" s="468"/>
      <c r="SSK68" s="468"/>
      <c r="SSL68" s="469"/>
      <c r="SSM68" s="467"/>
      <c r="SSN68" s="468"/>
      <c r="SSO68" s="468"/>
      <c r="SSP68" s="468"/>
      <c r="SSQ68" s="468"/>
      <c r="SSR68" s="468"/>
      <c r="SSS68" s="468"/>
      <c r="SST68" s="468"/>
      <c r="SSU68" s="468"/>
      <c r="SSV68" s="468"/>
      <c r="SSW68" s="468"/>
      <c r="SSX68" s="468"/>
      <c r="SSY68" s="468"/>
      <c r="SSZ68" s="468"/>
      <c r="STA68" s="468"/>
      <c r="STB68" s="468"/>
      <c r="STC68" s="468"/>
      <c r="STD68" s="468"/>
      <c r="STE68" s="468"/>
      <c r="STF68" s="468"/>
      <c r="STG68" s="468"/>
      <c r="STH68" s="468"/>
      <c r="STI68" s="468"/>
      <c r="STJ68" s="468"/>
      <c r="STK68" s="468"/>
      <c r="STL68" s="468"/>
      <c r="STM68" s="468"/>
      <c r="STN68" s="468"/>
      <c r="STO68" s="468"/>
      <c r="STP68" s="469"/>
      <c r="STQ68" s="467"/>
      <c r="STR68" s="468"/>
      <c r="STS68" s="468"/>
      <c r="STT68" s="468"/>
      <c r="STU68" s="468"/>
      <c r="STV68" s="468"/>
      <c r="STW68" s="468"/>
      <c r="STX68" s="468"/>
      <c r="STY68" s="468"/>
      <c r="STZ68" s="468"/>
      <c r="SUA68" s="468"/>
      <c r="SUB68" s="468"/>
      <c r="SUC68" s="468"/>
      <c r="SUD68" s="468"/>
      <c r="SUE68" s="468"/>
      <c r="SUF68" s="468"/>
      <c r="SUG68" s="468"/>
      <c r="SUH68" s="468"/>
      <c r="SUI68" s="468"/>
      <c r="SUJ68" s="468"/>
      <c r="SUK68" s="468"/>
      <c r="SUL68" s="468"/>
      <c r="SUM68" s="468"/>
      <c r="SUN68" s="468"/>
      <c r="SUO68" s="468"/>
      <c r="SUP68" s="468"/>
      <c r="SUQ68" s="468"/>
      <c r="SUR68" s="468"/>
      <c r="SUS68" s="468"/>
      <c r="SUT68" s="469"/>
      <c r="SUU68" s="467"/>
      <c r="SUV68" s="468"/>
      <c r="SUW68" s="468"/>
      <c r="SUX68" s="468"/>
      <c r="SUY68" s="468"/>
      <c r="SUZ68" s="468"/>
      <c r="SVA68" s="468"/>
      <c r="SVB68" s="468"/>
      <c r="SVC68" s="468"/>
      <c r="SVD68" s="468"/>
      <c r="SVE68" s="468"/>
      <c r="SVF68" s="468"/>
      <c r="SVG68" s="468"/>
      <c r="SVH68" s="468"/>
      <c r="SVI68" s="468"/>
      <c r="SVJ68" s="468"/>
      <c r="SVK68" s="468"/>
      <c r="SVL68" s="468"/>
      <c r="SVM68" s="468"/>
      <c r="SVN68" s="468"/>
      <c r="SVO68" s="468"/>
      <c r="SVP68" s="468"/>
      <c r="SVQ68" s="468"/>
      <c r="SVR68" s="468"/>
      <c r="SVS68" s="468"/>
      <c r="SVT68" s="468"/>
      <c r="SVU68" s="468"/>
      <c r="SVV68" s="468"/>
      <c r="SVW68" s="468"/>
      <c r="SVX68" s="469"/>
      <c r="SVY68" s="467"/>
      <c r="SVZ68" s="468"/>
      <c r="SWA68" s="468"/>
      <c r="SWB68" s="468"/>
      <c r="SWC68" s="468"/>
      <c r="SWD68" s="468"/>
      <c r="SWE68" s="468"/>
      <c r="SWF68" s="468"/>
      <c r="SWG68" s="468"/>
      <c r="SWH68" s="468"/>
      <c r="SWI68" s="468"/>
      <c r="SWJ68" s="468"/>
      <c r="SWK68" s="468"/>
      <c r="SWL68" s="468"/>
      <c r="SWM68" s="468"/>
      <c r="SWN68" s="468"/>
      <c r="SWO68" s="468"/>
      <c r="SWP68" s="468"/>
      <c r="SWQ68" s="468"/>
      <c r="SWR68" s="468"/>
      <c r="SWS68" s="468"/>
      <c r="SWT68" s="468"/>
      <c r="SWU68" s="468"/>
      <c r="SWV68" s="468"/>
      <c r="SWW68" s="468"/>
      <c r="SWX68" s="468"/>
      <c r="SWY68" s="468"/>
      <c r="SWZ68" s="468"/>
      <c r="SXA68" s="468"/>
      <c r="SXB68" s="469"/>
      <c r="SXC68" s="467"/>
      <c r="SXD68" s="468"/>
      <c r="SXE68" s="468"/>
      <c r="SXF68" s="468"/>
      <c r="SXG68" s="468"/>
      <c r="SXH68" s="468"/>
      <c r="SXI68" s="468"/>
      <c r="SXJ68" s="468"/>
      <c r="SXK68" s="468"/>
      <c r="SXL68" s="468"/>
      <c r="SXM68" s="468"/>
      <c r="SXN68" s="468"/>
      <c r="SXO68" s="468"/>
      <c r="SXP68" s="468"/>
      <c r="SXQ68" s="468"/>
      <c r="SXR68" s="468"/>
      <c r="SXS68" s="468"/>
      <c r="SXT68" s="468"/>
      <c r="SXU68" s="468"/>
      <c r="SXV68" s="468"/>
      <c r="SXW68" s="468"/>
      <c r="SXX68" s="468"/>
      <c r="SXY68" s="468"/>
      <c r="SXZ68" s="468"/>
      <c r="SYA68" s="468"/>
      <c r="SYB68" s="468"/>
      <c r="SYC68" s="468"/>
      <c r="SYD68" s="468"/>
      <c r="SYE68" s="468"/>
      <c r="SYF68" s="469"/>
      <c r="SYG68" s="467"/>
      <c r="SYH68" s="468"/>
      <c r="SYI68" s="468"/>
      <c r="SYJ68" s="468"/>
      <c r="SYK68" s="468"/>
      <c r="SYL68" s="468"/>
      <c r="SYM68" s="468"/>
      <c r="SYN68" s="468"/>
      <c r="SYO68" s="468"/>
      <c r="SYP68" s="468"/>
      <c r="SYQ68" s="468"/>
      <c r="SYR68" s="468"/>
      <c r="SYS68" s="468"/>
      <c r="SYT68" s="468"/>
      <c r="SYU68" s="468"/>
      <c r="SYV68" s="468"/>
      <c r="SYW68" s="468"/>
      <c r="SYX68" s="468"/>
      <c r="SYY68" s="468"/>
      <c r="SYZ68" s="468"/>
      <c r="SZA68" s="468"/>
      <c r="SZB68" s="468"/>
      <c r="SZC68" s="468"/>
      <c r="SZD68" s="468"/>
      <c r="SZE68" s="468"/>
      <c r="SZF68" s="468"/>
      <c r="SZG68" s="468"/>
      <c r="SZH68" s="468"/>
      <c r="SZI68" s="468"/>
      <c r="SZJ68" s="469"/>
      <c r="SZK68" s="467"/>
      <c r="SZL68" s="468"/>
      <c r="SZM68" s="468"/>
      <c r="SZN68" s="468"/>
      <c r="SZO68" s="468"/>
      <c r="SZP68" s="468"/>
      <c r="SZQ68" s="468"/>
      <c r="SZR68" s="468"/>
      <c r="SZS68" s="468"/>
      <c r="SZT68" s="468"/>
      <c r="SZU68" s="468"/>
      <c r="SZV68" s="468"/>
      <c r="SZW68" s="468"/>
      <c r="SZX68" s="468"/>
      <c r="SZY68" s="468"/>
      <c r="SZZ68" s="468"/>
      <c r="TAA68" s="468"/>
      <c r="TAB68" s="468"/>
      <c r="TAC68" s="468"/>
      <c r="TAD68" s="468"/>
      <c r="TAE68" s="468"/>
      <c r="TAF68" s="468"/>
      <c r="TAG68" s="468"/>
      <c r="TAH68" s="468"/>
      <c r="TAI68" s="468"/>
      <c r="TAJ68" s="468"/>
      <c r="TAK68" s="468"/>
      <c r="TAL68" s="468"/>
      <c r="TAM68" s="468"/>
      <c r="TAN68" s="469"/>
      <c r="TAO68" s="467"/>
      <c r="TAP68" s="468"/>
      <c r="TAQ68" s="468"/>
      <c r="TAR68" s="468"/>
      <c r="TAS68" s="468"/>
      <c r="TAT68" s="468"/>
      <c r="TAU68" s="468"/>
      <c r="TAV68" s="468"/>
      <c r="TAW68" s="468"/>
      <c r="TAX68" s="468"/>
      <c r="TAY68" s="468"/>
      <c r="TAZ68" s="468"/>
      <c r="TBA68" s="468"/>
      <c r="TBB68" s="468"/>
      <c r="TBC68" s="468"/>
      <c r="TBD68" s="468"/>
      <c r="TBE68" s="468"/>
      <c r="TBF68" s="468"/>
      <c r="TBG68" s="468"/>
      <c r="TBH68" s="468"/>
      <c r="TBI68" s="468"/>
      <c r="TBJ68" s="468"/>
      <c r="TBK68" s="468"/>
      <c r="TBL68" s="468"/>
      <c r="TBM68" s="468"/>
      <c r="TBN68" s="468"/>
      <c r="TBO68" s="468"/>
      <c r="TBP68" s="468"/>
      <c r="TBQ68" s="468"/>
      <c r="TBR68" s="469"/>
      <c r="TBS68" s="467"/>
      <c r="TBT68" s="468"/>
      <c r="TBU68" s="468"/>
      <c r="TBV68" s="468"/>
      <c r="TBW68" s="468"/>
      <c r="TBX68" s="468"/>
      <c r="TBY68" s="468"/>
      <c r="TBZ68" s="468"/>
      <c r="TCA68" s="468"/>
      <c r="TCB68" s="468"/>
      <c r="TCC68" s="468"/>
      <c r="TCD68" s="468"/>
      <c r="TCE68" s="468"/>
      <c r="TCF68" s="468"/>
      <c r="TCG68" s="468"/>
      <c r="TCH68" s="468"/>
      <c r="TCI68" s="468"/>
      <c r="TCJ68" s="468"/>
      <c r="TCK68" s="468"/>
      <c r="TCL68" s="468"/>
      <c r="TCM68" s="468"/>
      <c r="TCN68" s="468"/>
      <c r="TCO68" s="468"/>
      <c r="TCP68" s="468"/>
      <c r="TCQ68" s="468"/>
      <c r="TCR68" s="468"/>
      <c r="TCS68" s="468"/>
      <c r="TCT68" s="468"/>
      <c r="TCU68" s="468"/>
      <c r="TCV68" s="469"/>
      <c r="TCW68" s="467"/>
      <c r="TCX68" s="468"/>
      <c r="TCY68" s="468"/>
      <c r="TCZ68" s="468"/>
      <c r="TDA68" s="468"/>
      <c r="TDB68" s="468"/>
      <c r="TDC68" s="468"/>
      <c r="TDD68" s="468"/>
      <c r="TDE68" s="468"/>
      <c r="TDF68" s="468"/>
      <c r="TDG68" s="468"/>
      <c r="TDH68" s="468"/>
      <c r="TDI68" s="468"/>
      <c r="TDJ68" s="468"/>
      <c r="TDK68" s="468"/>
      <c r="TDL68" s="468"/>
      <c r="TDM68" s="468"/>
      <c r="TDN68" s="468"/>
      <c r="TDO68" s="468"/>
      <c r="TDP68" s="468"/>
      <c r="TDQ68" s="468"/>
      <c r="TDR68" s="468"/>
      <c r="TDS68" s="468"/>
      <c r="TDT68" s="468"/>
      <c r="TDU68" s="468"/>
      <c r="TDV68" s="468"/>
      <c r="TDW68" s="468"/>
      <c r="TDX68" s="468"/>
      <c r="TDY68" s="468"/>
      <c r="TDZ68" s="469"/>
      <c r="TEA68" s="467"/>
      <c r="TEB68" s="468"/>
      <c r="TEC68" s="468"/>
      <c r="TED68" s="468"/>
      <c r="TEE68" s="468"/>
      <c r="TEF68" s="468"/>
      <c r="TEG68" s="468"/>
      <c r="TEH68" s="468"/>
      <c r="TEI68" s="468"/>
      <c r="TEJ68" s="468"/>
      <c r="TEK68" s="468"/>
      <c r="TEL68" s="468"/>
      <c r="TEM68" s="468"/>
      <c r="TEN68" s="468"/>
      <c r="TEO68" s="468"/>
      <c r="TEP68" s="468"/>
      <c r="TEQ68" s="468"/>
      <c r="TER68" s="468"/>
      <c r="TES68" s="468"/>
      <c r="TET68" s="468"/>
      <c r="TEU68" s="468"/>
      <c r="TEV68" s="468"/>
      <c r="TEW68" s="468"/>
      <c r="TEX68" s="468"/>
      <c r="TEY68" s="468"/>
      <c r="TEZ68" s="468"/>
      <c r="TFA68" s="468"/>
      <c r="TFB68" s="468"/>
      <c r="TFC68" s="468"/>
      <c r="TFD68" s="469"/>
      <c r="TFE68" s="467"/>
      <c r="TFF68" s="468"/>
      <c r="TFG68" s="468"/>
      <c r="TFH68" s="468"/>
      <c r="TFI68" s="468"/>
      <c r="TFJ68" s="468"/>
      <c r="TFK68" s="468"/>
      <c r="TFL68" s="468"/>
      <c r="TFM68" s="468"/>
      <c r="TFN68" s="468"/>
      <c r="TFO68" s="468"/>
      <c r="TFP68" s="468"/>
      <c r="TFQ68" s="468"/>
      <c r="TFR68" s="468"/>
      <c r="TFS68" s="468"/>
      <c r="TFT68" s="468"/>
      <c r="TFU68" s="468"/>
      <c r="TFV68" s="468"/>
      <c r="TFW68" s="468"/>
      <c r="TFX68" s="468"/>
      <c r="TFY68" s="468"/>
      <c r="TFZ68" s="468"/>
      <c r="TGA68" s="468"/>
      <c r="TGB68" s="468"/>
      <c r="TGC68" s="468"/>
      <c r="TGD68" s="468"/>
      <c r="TGE68" s="468"/>
      <c r="TGF68" s="468"/>
      <c r="TGG68" s="468"/>
      <c r="TGH68" s="469"/>
      <c r="TGI68" s="467"/>
      <c r="TGJ68" s="468"/>
      <c r="TGK68" s="468"/>
      <c r="TGL68" s="468"/>
      <c r="TGM68" s="468"/>
      <c r="TGN68" s="468"/>
      <c r="TGO68" s="468"/>
      <c r="TGP68" s="468"/>
      <c r="TGQ68" s="468"/>
      <c r="TGR68" s="468"/>
      <c r="TGS68" s="468"/>
      <c r="TGT68" s="468"/>
      <c r="TGU68" s="468"/>
      <c r="TGV68" s="468"/>
      <c r="TGW68" s="468"/>
      <c r="TGX68" s="468"/>
      <c r="TGY68" s="468"/>
      <c r="TGZ68" s="468"/>
      <c r="THA68" s="468"/>
      <c r="THB68" s="468"/>
      <c r="THC68" s="468"/>
      <c r="THD68" s="468"/>
      <c r="THE68" s="468"/>
      <c r="THF68" s="468"/>
      <c r="THG68" s="468"/>
      <c r="THH68" s="468"/>
      <c r="THI68" s="468"/>
      <c r="THJ68" s="468"/>
      <c r="THK68" s="468"/>
      <c r="THL68" s="469"/>
      <c r="THM68" s="467"/>
      <c r="THN68" s="468"/>
      <c r="THO68" s="468"/>
      <c r="THP68" s="468"/>
      <c r="THQ68" s="468"/>
      <c r="THR68" s="468"/>
      <c r="THS68" s="468"/>
      <c r="THT68" s="468"/>
      <c r="THU68" s="468"/>
      <c r="THV68" s="468"/>
      <c r="THW68" s="468"/>
      <c r="THX68" s="468"/>
      <c r="THY68" s="468"/>
      <c r="THZ68" s="468"/>
      <c r="TIA68" s="468"/>
      <c r="TIB68" s="468"/>
      <c r="TIC68" s="468"/>
      <c r="TID68" s="468"/>
      <c r="TIE68" s="468"/>
      <c r="TIF68" s="468"/>
      <c r="TIG68" s="468"/>
      <c r="TIH68" s="468"/>
      <c r="TII68" s="468"/>
      <c r="TIJ68" s="468"/>
      <c r="TIK68" s="468"/>
      <c r="TIL68" s="468"/>
      <c r="TIM68" s="468"/>
      <c r="TIN68" s="468"/>
      <c r="TIO68" s="468"/>
      <c r="TIP68" s="469"/>
      <c r="TIQ68" s="467"/>
      <c r="TIR68" s="468"/>
      <c r="TIS68" s="468"/>
      <c r="TIT68" s="468"/>
      <c r="TIU68" s="468"/>
      <c r="TIV68" s="468"/>
      <c r="TIW68" s="468"/>
      <c r="TIX68" s="468"/>
      <c r="TIY68" s="468"/>
      <c r="TIZ68" s="468"/>
      <c r="TJA68" s="468"/>
      <c r="TJB68" s="468"/>
      <c r="TJC68" s="468"/>
      <c r="TJD68" s="468"/>
      <c r="TJE68" s="468"/>
      <c r="TJF68" s="468"/>
      <c r="TJG68" s="468"/>
      <c r="TJH68" s="468"/>
      <c r="TJI68" s="468"/>
      <c r="TJJ68" s="468"/>
      <c r="TJK68" s="468"/>
      <c r="TJL68" s="468"/>
      <c r="TJM68" s="468"/>
      <c r="TJN68" s="468"/>
      <c r="TJO68" s="468"/>
      <c r="TJP68" s="468"/>
      <c r="TJQ68" s="468"/>
      <c r="TJR68" s="468"/>
      <c r="TJS68" s="468"/>
      <c r="TJT68" s="469"/>
      <c r="TJU68" s="467"/>
      <c r="TJV68" s="468"/>
      <c r="TJW68" s="468"/>
      <c r="TJX68" s="468"/>
      <c r="TJY68" s="468"/>
      <c r="TJZ68" s="468"/>
      <c r="TKA68" s="468"/>
      <c r="TKB68" s="468"/>
      <c r="TKC68" s="468"/>
      <c r="TKD68" s="468"/>
      <c r="TKE68" s="468"/>
      <c r="TKF68" s="468"/>
      <c r="TKG68" s="468"/>
      <c r="TKH68" s="468"/>
      <c r="TKI68" s="468"/>
      <c r="TKJ68" s="468"/>
      <c r="TKK68" s="468"/>
      <c r="TKL68" s="468"/>
      <c r="TKM68" s="468"/>
      <c r="TKN68" s="468"/>
      <c r="TKO68" s="468"/>
      <c r="TKP68" s="468"/>
      <c r="TKQ68" s="468"/>
      <c r="TKR68" s="468"/>
      <c r="TKS68" s="468"/>
      <c r="TKT68" s="468"/>
      <c r="TKU68" s="468"/>
      <c r="TKV68" s="468"/>
      <c r="TKW68" s="468"/>
      <c r="TKX68" s="469"/>
      <c r="TKY68" s="467"/>
      <c r="TKZ68" s="468"/>
      <c r="TLA68" s="468"/>
      <c r="TLB68" s="468"/>
      <c r="TLC68" s="468"/>
      <c r="TLD68" s="468"/>
      <c r="TLE68" s="468"/>
      <c r="TLF68" s="468"/>
      <c r="TLG68" s="468"/>
      <c r="TLH68" s="468"/>
      <c r="TLI68" s="468"/>
      <c r="TLJ68" s="468"/>
      <c r="TLK68" s="468"/>
      <c r="TLL68" s="468"/>
      <c r="TLM68" s="468"/>
      <c r="TLN68" s="468"/>
      <c r="TLO68" s="468"/>
      <c r="TLP68" s="468"/>
      <c r="TLQ68" s="468"/>
      <c r="TLR68" s="468"/>
      <c r="TLS68" s="468"/>
      <c r="TLT68" s="468"/>
      <c r="TLU68" s="468"/>
      <c r="TLV68" s="468"/>
      <c r="TLW68" s="468"/>
      <c r="TLX68" s="468"/>
      <c r="TLY68" s="468"/>
      <c r="TLZ68" s="468"/>
      <c r="TMA68" s="468"/>
      <c r="TMB68" s="469"/>
      <c r="TMC68" s="467"/>
      <c r="TMD68" s="468"/>
      <c r="TME68" s="468"/>
      <c r="TMF68" s="468"/>
      <c r="TMG68" s="468"/>
      <c r="TMH68" s="468"/>
      <c r="TMI68" s="468"/>
      <c r="TMJ68" s="468"/>
      <c r="TMK68" s="468"/>
      <c r="TML68" s="468"/>
      <c r="TMM68" s="468"/>
      <c r="TMN68" s="468"/>
      <c r="TMO68" s="468"/>
      <c r="TMP68" s="468"/>
      <c r="TMQ68" s="468"/>
      <c r="TMR68" s="468"/>
      <c r="TMS68" s="468"/>
      <c r="TMT68" s="468"/>
      <c r="TMU68" s="468"/>
      <c r="TMV68" s="468"/>
      <c r="TMW68" s="468"/>
      <c r="TMX68" s="468"/>
      <c r="TMY68" s="468"/>
      <c r="TMZ68" s="468"/>
      <c r="TNA68" s="468"/>
      <c r="TNB68" s="468"/>
      <c r="TNC68" s="468"/>
      <c r="TND68" s="468"/>
      <c r="TNE68" s="468"/>
      <c r="TNF68" s="469"/>
      <c r="TNG68" s="467"/>
      <c r="TNH68" s="468"/>
      <c r="TNI68" s="468"/>
      <c r="TNJ68" s="468"/>
      <c r="TNK68" s="468"/>
      <c r="TNL68" s="468"/>
      <c r="TNM68" s="468"/>
      <c r="TNN68" s="468"/>
      <c r="TNO68" s="468"/>
      <c r="TNP68" s="468"/>
      <c r="TNQ68" s="468"/>
      <c r="TNR68" s="468"/>
      <c r="TNS68" s="468"/>
      <c r="TNT68" s="468"/>
      <c r="TNU68" s="468"/>
      <c r="TNV68" s="468"/>
      <c r="TNW68" s="468"/>
      <c r="TNX68" s="468"/>
      <c r="TNY68" s="468"/>
      <c r="TNZ68" s="468"/>
      <c r="TOA68" s="468"/>
      <c r="TOB68" s="468"/>
      <c r="TOC68" s="468"/>
      <c r="TOD68" s="468"/>
      <c r="TOE68" s="468"/>
      <c r="TOF68" s="468"/>
      <c r="TOG68" s="468"/>
      <c r="TOH68" s="468"/>
      <c r="TOI68" s="468"/>
      <c r="TOJ68" s="469"/>
      <c r="TOK68" s="467"/>
      <c r="TOL68" s="468"/>
      <c r="TOM68" s="468"/>
      <c r="TON68" s="468"/>
      <c r="TOO68" s="468"/>
      <c r="TOP68" s="468"/>
      <c r="TOQ68" s="468"/>
      <c r="TOR68" s="468"/>
      <c r="TOS68" s="468"/>
      <c r="TOT68" s="468"/>
      <c r="TOU68" s="468"/>
      <c r="TOV68" s="468"/>
      <c r="TOW68" s="468"/>
      <c r="TOX68" s="468"/>
      <c r="TOY68" s="468"/>
      <c r="TOZ68" s="468"/>
      <c r="TPA68" s="468"/>
      <c r="TPB68" s="468"/>
      <c r="TPC68" s="468"/>
      <c r="TPD68" s="468"/>
      <c r="TPE68" s="468"/>
      <c r="TPF68" s="468"/>
      <c r="TPG68" s="468"/>
      <c r="TPH68" s="468"/>
      <c r="TPI68" s="468"/>
      <c r="TPJ68" s="468"/>
      <c r="TPK68" s="468"/>
      <c r="TPL68" s="468"/>
      <c r="TPM68" s="468"/>
      <c r="TPN68" s="469"/>
      <c r="TPO68" s="467"/>
      <c r="TPP68" s="468"/>
      <c r="TPQ68" s="468"/>
      <c r="TPR68" s="468"/>
      <c r="TPS68" s="468"/>
      <c r="TPT68" s="468"/>
      <c r="TPU68" s="468"/>
      <c r="TPV68" s="468"/>
      <c r="TPW68" s="468"/>
      <c r="TPX68" s="468"/>
      <c r="TPY68" s="468"/>
      <c r="TPZ68" s="468"/>
      <c r="TQA68" s="468"/>
      <c r="TQB68" s="468"/>
      <c r="TQC68" s="468"/>
      <c r="TQD68" s="468"/>
      <c r="TQE68" s="468"/>
      <c r="TQF68" s="468"/>
      <c r="TQG68" s="468"/>
      <c r="TQH68" s="468"/>
      <c r="TQI68" s="468"/>
      <c r="TQJ68" s="468"/>
      <c r="TQK68" s="468"/>
      <c r="TQL68" s="468"/>
      <c r="TQM68" s="468"/>
      <c r="TQN68" s="468"/>
      <c r="TQO68" s="468"/>
      <c r="TQP68" s="468"/>
      <c r="TQQ68" s="468"/>
      <c r="TQR68" s="469"/>
      <c r="TQS68" s="467"/>
      <c r="TQT68" s="468"/>
      <c r="TQU68" s="468"/>
      <c r="TQV68" s="468"/>
      <c r="TQW68" s="468"/>
      <c r="TQX68" s="468"/>
      <c r="TQY68" s="468"/>
      <c r="TQZ68" s="468"/>
      <c r="TRA68" s="468"/>
      <c r="TRB68" s="468"/>
      <c r="TRC68" s="468"/>
      <c r="TRD68" s="468"/>
      <c r="TRE68" s="468"/>
      <c r="TRF68" s="468"/>
      <c r="TRG68" s="468"/>
      <c r="TRH68" s="468"/>
      <c r="TRI68" s="468"/>
      <c r="TRJ68" s="468"/>
      <c r="TRK68" s="468"/>
      <c r="TRL68" s="468"/>
      <c r="TRM68" s="468"/>
      <c r="TRN68" s="468"/>
      <c r="TRO68" s="468"/>
      <c r="TRP68" s="468"/>
      <c r="TRQ68" s="468"/>
      <c r="TRR68" s="468"/>
      <c r="TRS68" s="468"/>
      <c r="TRT68" s="468"/>
      <c r="TRU68" s="468"/>
      <c r="TRV68" s="469"/>
      <c r="TRW68" s="467"/>
      <c r="TRX68" s="468"/>
      <c r="TRY68" s="468"/>
      <c r="TRZ68" s="468"/>
      <c r="TSA68" s="468"/>
      <c r="TSB68" s="468"/>
      <c r="TSC68" s="468"/>
      <c r="TSD68" s="468"/>
      <c r="TSE68" s="468"/>
      <c r="TSF68" s="468"/>
      <c r="TSG68" s="468"/>
      <c r="TSH68" s="468"/>
      <c r="TSI68" s="468"/>
      <c r="TSJ68" s="468"/>
      <c r="TSK68" s="468"/>
      <c r="TSL68" s="468"/>
      <c r="TSM68" s="468"/>
      <c r="TSN68" s="468"/>
      <c r="TSO68" s="468"/>
      <c r="TSP68" s="468"/>
      <c r="TSQ68" s="468"/>
      <c r="TSR68" s="468"/>
      <c r="TSS68" s="468"/>
      <c r="TST68" s="468"/>
      <c r="TSU68" s="468"/>
      <c r="TSV68" s="468"/>
      <c r="TSW68" s="468"/>
      <c r="TSX68" s="468"/>
      <c r="TSY68" s="468"/>
      <c r="TSZ68" s="469"/>
      <c r="TTA68" s="467"/>
      <c r="TTB68" s="468"/>
      <c r="TTC68" s="468"/>
      <c r="TTD68" s="468"/>
      <c r="TTE68" s="468"/>
      <c r="TTF68" s="468"/>
      <c r="TTG68" s="468"/>
      <c r="TTH68" s="468"/>
      <c r="TTI68" s="468"/>
      <c r="TTJ68" s="468"/>
      <c r="TTK68" s="468"/>
      <c r="TTL68" s="468"/>
      <c r="TTM68" s="468"/>
      <c r="TTN68" s="468"/>
      <c r="TTO68" s="468"/>
      <c r="TTP68" s="468"/>
      <c r="TTQ68" s="468"/>
      <c r="TTR68" s="468"/>
      <c r="TTS68" s="468"/>
      <c r="TTT68" s="468"/>
      <c r="TTU68" s="468"/>
      <c r="TTV68" s="468"/>
      <c r="TTW68" s="468"/>
      <c r="TTX68" s="468"/>
      <c r="TTY68" s="468"/>
      <c r="TTZ68" s="468"/>
      <c r="TUA68" s="468"/>
      <c r="TUB68" s="468"/>
      <c r="TUC68" s="468"/>
      <c r="TUD68" s="469"/>
      <c r="TUE68" s="467"/>
      <c r="TUF68" s="468"/>
      <c r="TUG68" s="468"/>
      <c r="TUH68" s="468"/>
      <c r="TUI68" s="468"/>
      <c r="TUJ68" s="468"/>
      <c r="TUK68" s="468"/>
      <c r="TUL68" s="468"/>
      <c r="TUM68" s="468"/>
      <c r="TUN68" s="468"/>
      <c r="TUO68" s="468"/>
      <c r="TUP68" s="468"/>
      <c r="TUQ68" s="468"/>
      <c r="TUR68" s="468"/>
      <c r="TUS68" s="468"/>
      <c r="TUT68" s="468"/>
      <c r="TUU68" s="468"/>
      <c r="TUV68" s="468"/>
      <c r="TUW68" s="468"/>
      <c r="TUX68" s="468"/>
      <c r="TUY68" s="468"/>
      <c r="TUZ68" s="468"/>
      <c r="TVA68" s="468"/>
      <c r="TVB68" s="468"/>
      <c r="TVC68" s="468"/>
      <c r="TVD68" s="468"/>
      <c r="TVE68" s="468"/>
      <c r="TVF68" s="468"/>
      <c r="TVG68" s="468"/>
      <c r="TVH68" s="469"/>
      <c r="TVI68" s="467"/>
      <c r="TVJ68" s="468"/>
      <c r="TVK68" s="468"/>
      <c r="TVL68" s="468"/>
      <c r="TVM68" s="468"/>
      <c r="TVN68" s="468"/>
      <c r="TVO68" s="468"/>
      <c r="TVP68" s="468"/>
      <c r="TVQ68" s="468"/>
      <c r="TVR68" s="468"/>
      <c r="TVS68" s="468"/>
      <c r="TVT68" s="468"/>
      <c r="TVU68" s="468"/>
      <c r="TVV68" s="468"/>
      <c r="TVW68" s="468"/>
      <c r="TVX68" s="468"/>
      <c r="TVY68" s="468"/>
      <c r="TVZ68" s="468"/>
      <c r="TWA68" s="468"/>
      <c r="TWB68" s="468"/>
      <c r="TWC68" s="468"/>
      <c r="TWD68" s="468"/>
      <c r="TWE68" s="468"/>
      <c r="TWF68" s="468"/>
      <c r="TWG68" s="468"/>
      <c r="TWH68" s="468"/>
      <c r="TWI68" s="468"/>
      <c r="TWJ68" s="468"/>
      <c r="TWK68" s="468"/>
      <c r="TWL68" s="469"/>
      <c r="TWM68" s="467"/>
      <c r="TWN68" s="468"/>
      <c r="TWO68" s="468"/>
      <c r="TWP68" s="468"/>
      <c r="TWQ68" s="468"/>
      <c r="TWR68" s="468"/>
      <c r="TWS68" s="468"/>
      <c r="TWT68" s="468"/>
      <c r="TWU68" s="468"/>
      <c r="TWV68" s="468"/>
      <c r="TWW68" s="468"/>
      <c r="TWX68" s="468"/>
      <c r="TWY68" s="468"/>
      <c r="TWZ68" s="468"/>
      <c r="TXA68" s="468"/>
      <c r="TXB68" s="468"/>
      <c r="TXC68" s="468"/>
      <c r="TXD68" s="468"/>
      <c r="TXE68" s="468"/>
      <c r="TXF68" s="468"/>
      <c r="TXG68" s="468"/>
      <c r="TXH68" s="468"/>
      <c r="TXI68" s="468"/>
      <c r="TXJ68" s="468"/>
      <c r="TXK68" s="468"/>
      <c r="TXL68" s="468"/>
      <c r="TXM68" s="468"/>
      <c r="TXN68" s="468"/>
      <c r="TXO68" s="468"/>
      <c r="TXP68" s="469"/>
      <c r="TXQ68" s="467"/>
      <c r="TXR68" s="468"/>
      <c r="TXS68" s="468"/>
      <c r="TXT68" s="468"/>
      <c r="TXU68" s="468"/>
      <c r="TXV68" s="468"/>
      <c r="TXW68" s="468"/>
      <c r="TXX68" s="468"/>
      <c r="TXY68" s="468"/>
      <c r="TXZ68" s="468"/>
      <c r="TYA68" s="468"/>
      <c r="TYB68" s="468"/>
      <c r="TYC68" s="468"/>
      <c r="TYD68" s="468"/>
      <c r="TYE68" s="468"/>
      <c r="TYF68" s="468"/>
      <c r="TYG68" s="468"/>
      <c r="TYH68" s="468"/>
      <c r="TYI68" s="468"/>
      <c r="TYJ68" s="468"/>
      <c r="TYK68" s="468"/>
      <c r="TYL68" s="468"/>
      <c r="TYM68" s="468"/>
      <c r="TYN68" s="468"/>
      <c r="TYO68" s="468"/>
      <c r="TYP68" s="468"/>
      <c r="TYQ68" s="468"/>
      <c r="TYR68" s="468"/>
      <c r="TYS68" s="468"/>
      <c r="TYT68" s="469"/>
      <c r="TYU68" s="467"/>
      <c r="TYV68" s="468"/>
      <c r="TYW68" s="468"/>
      <c r="TYX68" s="468"/>
      <c r="TYY68" s="468"/>
      <c r="TYZ68" s="468"/>
      <c r="TZA68" s="468"/>
      <c r="TZB68" s="468"/>
      <c r="TZC68" s="468"/>
      <c r="TZD68" s="468"/>
      <c r="TZE68" s="468"/>
      <c r="TZF68" s="468"/>
      <c r="TZG68" s="468"/>
      <c r="TZH68" s="468"/>
      <c r="TZI68" s="468"/>
      <c r="TZJ68" s="468"/>
      <c r="TZK68" s="468"/>
      <c r="TZL68" s="468"/>
      <c r="TZM68" s="468"/>
      <c r="TZN68" s="468"/>
      <c r="TZO68" s="468"/>
      <c r="TZP68" s="468"/>
      <c r="TZQ68" s="468"/>
      <c r="TZR68" s="468"/>
      <c r="TZS68" s="468"/>
      <c r="TZT68" s="468"/>
      <c r="TZU68" s="468"/>
      <c r="TZV68" s="468"/>
      <c r="TZW68" s="468"/>
      <c r="TZX68" s="469"/>
      <c r="TZY68" s="467"/>
      <c r="TZZ68" s="468"/>
      <c r="UAA68" s="468"/>
      <c r="UAB68" s="468"/>
      <c r="UAC68" s="468"/>
      <c r="UAD68" s="468"/>
      <c r="UAE68" s="468"/>
      <c r="UAF68" s="468"/>
      <c r="UAG68" s="468"/>
      <c r="UAH68" s="468"/>
      <c r="UAI68" s="468"/>
      <c r="UAJ68" s="468"/>
      <c r="UAK68" s="468"/>
      <c r="UAL68" s="468"/>
      <c r="UAM68" s="468"/>
      <c r="UAN68" s="468"/>
      <c r="UAO68" s="468"/>
      <c r="UAP68" s="468"/>
      <c r="UAQ68" s="468"/>
      <c r="UAR68" s="468"/>
      <c r="UAS68" s="468"/>
      <c r="UAT68" s="468"/>
      <c r="UAU68" s="468"/>
      <c r="UAV68" s="468"/>
      <c r="UAW68" s="468"/>
      <c r="UAX68" s="468"/>
      <c r="UAY68" s="468"/>
      <c r="UAZ68" s="468"/>
      <c r="UBA68" s="468"/>
      <c r="UBB68" s="469"/>
      <c r="UBC68" s="467"/>
      <c r="UBD68" s="468"/>
      <c r="UBE68" s="468"/>
      <c r="UBF68" s="468"/>
      <c r="UBG68" s="468"/>
      <c r="UBH68" s="468"/>
      <c r="UBI68" s="468"/>
      <c r="UBJ68" s="468"/>
      <c r="UBK68" s="468"/>
      <c r="UBL68" s="468"/>
      <c r="UBM68" s="468"/>
      <c r="UBN68" s="468"/>
      <c r="UBO68" s="468"/>
      <c r="UBP68" s="468"/>
      <c r="UBQ68" s="468"/>
      <c r="UBR68" s="468"/>
      <c r="UBS68" s="468"/>
      <c r="UBT68" s="468"/>
      <c r="UBU68" s="468"/>
      <c r="UBV68" s="468"/>
      <c r="UBW68" s="468"/>
      <c r="UBX68" s="468"/>
      <c r="UBY68" s="468"/>
      <c r="UBZ68" s="468"/>
      <c r="UCA68" s="468"/>
      <c r="UCB68" s="468"/>
      <c r="UCC68" s="468"/>
      <c r="UCD68" s="468"/>
      <c r="UCE68" s="468"/>
      <c r="UCF68" s="469"/>
      <c r="UCG68" s="467"/>
      <c r="UCH68" s="468"/>
      <c r="UCI68" s="468"/>
      <c r="UCJ68" s="468"/>
      <c r="UCK68" s="468"/>
      <c r="UCL68" s="468"/>
      <c r="UCM68" s="468"/>
      <c r="UCN68" s="468"/>
      <c r="UCO68" s="468"/>
      <c r="UCP68" s="468"/>
      <c r="UCQ68" s="468"/>
      <c r="UCR68" s="468"/>
      <c r="UCS68" s="468"/>
      <c r="UCT68" s="468"/>
      <c r="UCU68" s="468"/>
      <c r="UCV68" s="468"/>
      <c r="UCW68" s="468"/>
      <c r="UCX68" s="468"/>
      <c r="UCY68" s="468"/>
      <c r="UCZ68" s="468"/>
      <c r="UDA68" s="468"/>
      <c r="UDB68" s="468"/>
      <c r="UDC68" s="468"/>
      <c r="UDD68" s="468"/>
      <c r="UDE68" s="468"/>
      <c r="UDF68" s="468"/>
      <c r="UDG68" s="468"/>
      <c r="UDH68" s="468"/>
      <c r="UDI68" s="468"/>
      <c r="UDJ68" s="469"/>
      <c r="UDK68" s="467"/>
      <c r="UDL68" s="468"/>
      <c r="UDM68" s="468"/>
      <c r="UDN68" s="468"/>
      <c r="UDO68" s="468"/>
      <c r="UDP68" s="468"/>
      <c r="UDQ68" s="468"/>
      <c r="UDR68" s="468"/>
      <c r="UDS68" s="468"/>
      <c r="UDT68" s="468"/>
      <c r="UDU68" s="468"/>
      <c r="UDV68" s="468"/>
      <c r="UDW68" s="468"/>
      <c r="UDX68" s="468"/>
      <c r="UDY68" s="468"/>
      <c r="UDZ68" s="468"/>
      <c r="UEA68" s="468"/>
      <c r="UEB68" s="468"/>
      <c r="UEC68" s="468"/>
      <c r="UED68" s="468"/>
      <c r="UEE68" s="468"/>
      <c r="UEF68" s="468"/>
      <c r="UEG68" s="468"/>
      <c r="UEH68" s="468"/>
      <c r="UEI68" s="468"/>
      <c r="UEJ68" s="468"/>
      <c r="UEK68" s="468"/>
      <c r="UEL68" s="468"/>
      <c r="UEM68" s="468"/>
      <c r="UEN68" s="469"/>
      <c r="UEO68" s="467"/>
      <c r="UEP68" s="468"/>
      <c r="UEQ68" s="468"/>
      <c r="UER68" s="468"/>
      <c r="UES68" s="468"/>
      <c r="UET68" s="468"/>
      <c r="UEU68" s="468"/>
      <c r="UEV68" s="468"/>
      <c r="UEW68" s="468"/>
      <c r="UEX68" s="468"/>
      <c r="UEY68" s="468"/>
      <c r="UEZ68" s="468"/>
      <c r="UFA68" s="468"/>
      <c r="UFB68" s="468"/>
      <c r="UFC68" s="468"/>
      <c r="UFD68" s="468"/>
      <c r="UFE68" s="468"/>
      <c r="UFF68" s="468"/>
      <c r="UFG68" s="468"/>
      <c r="UFH68" s="468"/>
      <c r="UFI68" s="468"/>
      <c r="UFJ68" s="468"/>
      <c r="UFK68" s="468"/>
      <c r="UFL68" s="468"/>
      <c r="UFM68" s="468"/>
      <c r="UFN68" s="468"/>
      <c r="UFO68" s="468"/>
      <c r="UFP68" s="468"/>
      <c r="UFQ68" s="468"/>
      <c r="UFR68" s="469"/>
      <c r="UFS68" s="467"/>
      <c r="UFT68" s="468"/>
      <c r="UFU68" s="468"/>
      <c r="UFV68" s="468"/>
      <c r="UFW68" s="468"/>
      <c r="UFX68" s="468"/>
      <c r="UFY68" s="468"/>
      <c r="UFZ68" s="468"/>
      <c r="UGA68" s="468"/>
      <c r="UGB68" s="468"/>
      <c r="UGC68" s="468"/>
      <c r="UGD68" s="468"/>
      <c r="UGE68" s="468"/>
      <c r="UGF68" s="468"/>
      <c r="UGG68" s="468"/>
      <c r="UGH68" s="468"/>
      <c r="UGI68" s="468"/>
      <c r="UGJ68" s="468"/>
      <c r="UGK68" s="468"/>
      <c r="UGL68" s="468"/>
      <c r="UGM68" s="468"/>
      <c r="UGN68" s="468"/>
      <c r="UGO68" s="468"/>
      <c r="UGP68" s="468"/>
      <c r="UGQ68" s="468"/>
      <c r="UGR68" s="468"/>
      <c r="UGS68" s="468"/>
      <c r="UGT68" s="468"/>
      <c r="UGU68" s="468"/>
      <c r="UGV68" s="469"/>
      <c r="UGW68" s="467"/>
      <c r="UGX68" s="468"/>
      <c r="UGY68" s="468"/>
      <c r="UGZ68" s="468"/>
      <c r="UHA68" s="468"/>
      <c r="UHB68" s="468"/>
      <c r="UHC68" s="468"/>
      <c r="UHD68" s="468"/>
      <c r="UHE68" s="468"/>
      <c r="UHF68" s="468"/>
      <c r="UHG68" s="468"/>
      <c r="UHH68" s="468"/>
      <c r="UHI68" s="468"/>
      <c r="UHJ68" s="468"/>
      <c r="UHK68" s="468"/>
      <c r="UHL68" s="468"/>
      <c r="UHM68" s="468"/>
      <c r="UHN68" s="468"/>
      <c r="UHO68" s="468"/>
      <c r="UHP68" s="468"/>
      <c r="UHQ68" s="468"/>
      <c r="UHR68" s="468"/>
      <c r="UHS68" s="468"/>
      <c r="UHT68" s="468"/>
      <c r="UHU68" s="468"/>
      <c r="UHV68" s="468"/>
      <c r="UHW68" s="468"/>
      <c r="UHX68" s="468"/>
      <c r="UHY68" s="468"/>
      <c r="UHZ68" s="469"/>
      <c r="UIA68" s="467"/>
      <c r="UIB68" s="468"/>
      <c r="UIC68" s="468"/>
      <c r="UID68" s="468"/>
      <c r="UIE68" s="468"/>
      <c r="UIF68" s="468"/>
      <c r="UIG68" s="468"/>
      <c r="UIH68" s="468"/>
      <c r="UII68" s="468"/>
      <c r="UIJ68" s="468"/>
      <c r="UIK68" s="468"/>
      <c r="UIL68" s="468"/>
      <c r="UIM68" s="468"/>
      <c r="UIN68" s="468"/>
      <c r="UIO68" s="468"/>
      <c r="UIP68" s="468"/>
      <c r="UIQ68" s="468"/>
      <c r="UIR68" s="468"/>
      <c r="UIS68" s="468"/>
      <c r="UIT68" s="468"/>
      <c r="UIU68" s="468"/>
      <c r="UIV68" s="468"/>
      <c r="UIW68" s="468"/>
      <c r="UIX68" s="468"/>
      <c r="UIY68" s="468"/>
      <c r="UIZ68" s="468"/>
      <c r="UJA68" s="468"/>
      <c r="UJB68" s="468"/>
      <c r="UJC68" s="468"/>
      <c r="UJD68" s="469"/>
      <c r="UJE68" s="467"/>
      <c r="UJF68" s="468"/>
      <c r="UJG68" s="468"/>
      <c r="UJH68" s="468"/>
      <c r="UJI68" s="468"/>
      <c r="UJJ68" s="468"/>
      <c r="UJK68" s="468"/>
      <c r="UJL68" s="468"/>
      <c r="UJM68" s="468"/>
      <c r="UJN68" s="468"/>
      <c r="UJO68" s="468"/>
      <c r="UJP68" s="468"/>
      <c r="UJQ68" s="468"/>
      <c r="UJR68" s="468"/>
      <c r="UJS68" s="468"/>
      <c r="UJT68" s="468"/>
      <c r="UJU68" s="468"/>
      <c r="UJV68" s="468"/>
      <c r="UJW68" s="468"/>
      <c r="UJX68" s="468"/>
      <c r="UJY68" s="468"/>
      <c r="UJZ68" s="468"/>
      <c r="UKA68" s="468"/>
      <c r="UKB68" s="468"/>
      <c r="UKC68" s="468"/>
      <c r="UKD68" s="468"/>
      <c r="UKE68" s="468"/>
      <c r="UKF68" s="468"/>
      <c r="UKG68" s="468"/>
      <c r="UKH68" s="469"/>
      <c r="UKI68" s="467"/>
      <c r="UKJ68" s="468"/>
      <c r="UKK68" s="468"/>
      <c r="UKL68" s="468"/>
      <c r="UKM68" s="468"/>
      <c r="UKN68" s="468"/>
      <c r="UKO68" s="468"/>
      <c r="UKP68" s="468"/>
      <c r="UKQ68" s="468"/>
      <c r="UKR68" s="468"/>
      <c r="UKS68" s="468"/>
      <c r="UKT68" s="468"/>
      <c r="UKU68" s="468"/>
      <c r="UKV68" s="468"/>
      <c r="UKW68" s="468"/>
      <c r="UKX68" s="468"/>
      <c r="UKY68" s="468"/>
      <c r="UKZ68" s="468"/>
      <c r="ULA68" s="468"/>
      <c r="ULB68" s="468"/>
      <c r="ULC68" s="468"/>
      <c r="ULD68" s="468"/>
      <c r="ULE68" s="468"/>
      <c r="ULF68" s="468"/>
      <c r="ULG68" s="468"/>
      <c r="ULH68" s="468"/>
      <c r="ULI68" s="468"/>
      <c r="ULJ68" s="468"/>
      <c r="ULK68" s="468"/>
      <c r="ULL68" s="469"/>
      <c r="ULM68" s="467"/>
      <c r="ULN68" s="468"/>
      <c r="ULO68" s="468"/>
      <c r="ULP68" s="468"/>
      <c r="ULQ68" s="468"/>
      <c r="ULR68" s="468"/>
      <c r="ULS68" s="468"/>
      <c r="ULT68" s="468"/>
      <c r="ULU68" s="468"/>
      <c r="ULV68" s="468"/>
      <c r="ULW68" s="468"/>
      <c r="ULX68" s="468"/>
      <c r="ULY68" s="468"/>
      <c r="ULZ68" s="468"/>
      <c r="UMA68" s="468"/>
      <c r="UMB68" s="468"/>
      <c r="UMC68" s="468"/>
      <c r="UMD68" s="468"/>
      <c r="UME68" s="468"/>
      <c r="UMF68" s="468"/>
      <c r="UMG68" s="468"/>
      <c r="UMH68" s="468"/>
      <c r="UMI68" s="468"/>
      <c r="UMJ68" s="468"/>
      <c r="UMK68" s="468"/>
      <c r="UML68" s="468"/>
      <c r="UMM68" s="468"/>
      <c r="UMN68" s="468"/>
      <c r="UMO68" s="468"/>
      <c r="UMP68" s="469"/>
      <c r="UMQ68" s="467"/>
      <c r="UMR68" s="468"/>
      <c r="UMS68" s="468"/>
      <c r="UMT68" s="468"/>
      <c r="UMU68" s="468"/>
      <c r="UMV68" s="468"/>
      <c r="UMW68" s="468"/>
      <c r="UMX68" s="468"/>
      <c r="UMY68" s="468"/>
      <c r="UMZ68" s="468"/>
      <c r="UNA68" s="468"/>
      <c r="UNB68" s="468"/>
      <c r="UNC68" s="468"/>
      <c r="UND68" s="468"/>
      <c r="UNE68" s="468"/>
      <c r="UNF68" s="468"/>
      <c r="UNG68" s="468"/>
      <c r="UNH68" s="468"/>
      <c r="UNI68" s="468"/>
      <c r="UNJ68" s="468"/>
      <c r="UNK68" s="468"/>
      <c r="UNL68" s="468"/>
      <c r="UNM68" s="468"/>
      <c r="UNN68" s="468"/>
      <c r="UNO68" s="468"/>
      <c r="UNP68" s="468"/>
      <c r="UNQ68" s="468"/>
      <c r="UNR68" s="468"/>
      <c r="UNS68" s="468"/>
      <c r="UNT68" s="469"/>
      <c r="UNU68" s="467"/>
      <c r="UNV68" s="468"/>
      <c r="UNW68" s="468"/>
      <c r="UNX68" s="468"/>
      <c r="UNY68" s="468"/>
      <c r="UNZ68" s="468"/>
      <c r="UOA68" s="468"/>
      <c r="UOB68" s="468"/>
      <c r="UOC68" s="468"/>
      <c r="UOD68" s="468"/>
      <c r="UOE68" s="468"/>
      <c r="UOF68" s="468"/>
      <c r="UOG68" s="468"/>
      <c r="UOH68" s="468"/>
      <c r="UOI68" s="468"/>
      <c r="UOJ68" s="468"/>
      <c r="UOK68" s="468"/>
      <c r="UOL68" s="468"/>
      <c r="UOM68" s="468"/>
      <c r="UON68" s="468"/>
      <c r="UOO68" s="468"/>
      <c r="UOP68" s="468"/>
      <c r="UOQ68" s="468"/>
      <c r="UOR68" s="468"/>
      <c r="UOS68" s="468"/>
      <c r="UOT68" s="468"/>
      <c r="UOU68" s="468"/>
      <c r="UOV68" s="468"/>
      <c r="UOW68" s="468"/>
      <c r="UOX68" s="469"/>
      <c r="UOY68" s="467"/>
      <c r="UOZ68" s="468"/>
      <c r="UPA68" s="468"/>
      <c r="UPB68" s="468"/>
      <c r="UPC68" s="468"/>
      <c r="UPD68" s="468"/>
      <c r="UPE68" s="468"/>
      <c r="UPF68" s="468"/>
      <c r="UPG68" s="468"/>
      <c r="UPH68" s="468"/>
      <c r="UPI68" s="468"/>
      <c r="UPJ68" s="468"/>
      <c r="UPK68" s="468"/>
      <c r="UPL68" s="468"/>
      <c r="UPM68" s="468"/>
      <c r="UPN68" s="468"/>
      <c r="UPO68" s="468"/>
      <c r="UPP68" s="468"/>
      <c r="UPQ68" s="468"/>
      <c r="UPR68" s="468"/>
      <c r="UPS68" s="468"/>
      <c r="UPT68" s="468"/>
      <c r="UPU68" s="468"/>
      <c r="UPV68" s="468"/>
      <c r="UPW68" s="468"/>
      <c r="UPX68" s="468"/>
      <c r="UPY68" s="468"/>
      <c r="UPZ68" s="468"/>
      <c r="UQA68" s="468"/>
      <c r="UQB68" s="469"/>
      <c r="UQC68" s="467"/>
      <c r="UQD68" s="468"/>
      <c r="UQE68" s="468"/>
      <c r="UQF68" s="468"/>
      <c r="UQG68" s="468"/>
      <c r="UQH68" s="468"/>
      <c r="UQI68" s="468"/>
      <c r="UQJ68" s="468"/>
      <c r="UQK68" s="468"/>
      <c r="UQL68" s="468"/>
      <c r="UQM68" s="468"/>
      <c r="UQN68" s="468"/>
      <c r="UQO68" s="468"/>
      <c r="UQP68" s="468"/>
      <c r="UQQ68" s="468"/>
      <c r="UQR68" s="468"/>
      <c r="UQS68" s="468"/>
      <c r="UQT68" s="468"/>
      <c r="UQU68" s="468"/>
      <c r="UQV68" s="468"/>
      <c r="UQW68" s="468"/>
      <c r="UQX68" s="468"/>
      <c r="UQY68" s="468"/>
      <c r="UQZ68" s="468"/>
      <c r="URA68" s="468"/>
      <c r="URB68" s="468"/>
      <c r="URC68" s="468"/>
      <c r="URD68" s="468"/>
      <c r="URE68" s="468"/>
      <c r="URF68" s="469"/>
      <c r="URG68" s="467"/>
      <c r="URH68" s="468"/>
      <c r="URI68" s="468"/>
      <c r="URJ68" s="468"/>
      <c r="URK68" s="468"/>
      <c r="URL68" s="468"/>
      <c r="URM68" s="468"/>
      <c r="URN68" s="468"/>
      <c r="URO68" s="468"/>
      <c r="URP68" s="468"/>
      <c r="URQ68" s="468"/>
      <c r="URR68" s="468"/>
      <c r="URS68" s="468"/>
      <c r="URT68" s="468"/>
      <c r="URU68" s="468"/>
      <c r="URV68" s="468"/>
      <c r="URW68" s="468"/>
      <c r="URX68" s="468"/>
      <c r="URY68" s="468"/>
      <c r="URZ68" s="468"/>
      <c r="USA68" s="468"/>
      <c r="USB68" s="468"/>
      <c r="USC68" s="468"/>
      <c r="USD68" s="468"/>
      <c r="USE68" s="468"/>
      <c r="USF68" s="468"/>
      <c r="USG68" s="468"/>
      <c r="USH68" s="468"/>
      <c r="USI68" s="468"/>
      <c r="USJ68" s="469"/>
      <c r="USK68" s="467"/>
      <c r="USL68" s="468"/>
      <c r="USM68" s="468"/>
      <c r="USN68" s="468"/>
      <c r="USO68" s="468"/>
      <c r="USP68" s="468"/>
      <c r="USQ68" s="468"/>
      <c r="USR68" s="468"/>
      <c r="USS68" s="468"/>
      <c r="UST68" s="468"/>
      <c r="USU68" s="468"/>
      <c r="USV68" s="468"/>
      <c r="USW68" s="468"/>
      <c r="USX68" s="468"/>
      <c r="USY68" s="468"/>
      <c r="USZ68" s="468"/>
      <c r="UTA68" s="468"/>
      <c r="UTB68" s="468"/>
      <c r="UTC68" s="468"/>
      <c r="UTD68" s="468"/>
      <c r="UTE68" s="468"/>
      <c r="UTF68" s="468"/>
      <c r="UTG68" s="468"/>
      <c r="UTH68" s="468"/>
      <c r="UTI68" s="468"/>
      <c r="UTJ68" s="468"/>
      <c r="UTK68" s="468"/>
      <c r="UTL68" s="468"/>
      <c r="UTM68" s="468"/>
      <c r="UTN68" s="469"/>
      <c r="UTO68" s="467"/>
      <c r="UTP68" s="468"/>
      <c r="UTQ68" s="468"/>
      <c r="UTR68" s="468"/>
      <c r="UTS68" s="468"/>
      <c r="UTT68" s="468"/>
      <c r="UTU68" s="468"/>
      <c r="UTV68" s="468"/>
      <c r="UTW68" s="468"/>
      <c r="UTX68" s="468"/>
      <c r="UTY68" s="468"/>
      <c r="UTZ68" s="468"/>
      <c r="UUA68" s="468"/>
      <c r="UUB68" s="468"/>
      <c r="UUC68" s="468"/>
      <c r="UUD68" s="468"/>
      <c r="UUE68" s="468"/>
      <c r="UUF68" s="468"/>
      <c r="UUG68" s="468"/>
      <c r="UUH68" s="468"/>
      <c r="UUI68" s="468"/>
      <c r="UUJ68" s="468"/>
      <c r="UUK68" s="468"/>
      <c r="UUL68" s="468"/>
      <c r="UUM68" s="468"/>
      <c r="UUN68" s="468"/>
      <c r="UUO68" s="468"/>
      <c r="UUP68" s="468"/>
      <c r="UUQ68" s="468"/>
      <c r="UUR68" s="469"/>
      <c r="UUS68" s="467"/>
      <c r="UUT68" s="468"/>
      <c r="UUU68" s="468"/>
      <c r="UUV68" s="468"/>
      <c r="UUW68" s="468"/>
      <c r="UUX68" s="468"/>
      <c r="UUY68" s="468"/>
      <c r="UUZ68" s="468"/>
      <c r="UVA68" s="468"/>
      <c r="UVB68" s="468"/>
      <c r="UVC68" s="468"/>
      <c r="UVD68" s="468"/>
      <c r="UVE68" s="468"/>
      <c r="UVF68" s="468"/>
      <c r="UVG68" s="468"/>
      <c r="UVH68" s="468"/>
      <c r="UVI68" s="468"/>
      <c r="UVJ68" s="468"/>
      <c r="UVK68" s="468"/>
      <c r="UVL68" s="468"/>
      <c r="UVM68" s="468"/>
      <c r="UVN68" s="468"/>
      <c r="UVO68" s="468"/>
      <c r="UVP68" s="468"/>
      <c r="UVQ68" s="468"/>
      <c r="UVR68" s="468"/>
      <c r="UVS68" s="468"/>
      <c r="UVT68" s="468"/>
      <c r="UVU68" s="468"/>
      <c r="UVV68" s="469"/>
      <c r="UVW68" s="467"/>
      <c r="UVX68" s="468"/>
      <c r="UVY68" s="468"/>
      <c r="UVZ68" s="468"/>
      <c r="UWA68" s="468"/>
      <c r="UWB68" s="468"/>
      <c r="UWC68" s="468"/>
      <c r="UWD68" s="468"/>
      <c r="UWE68" s="468"/>
      <c r="UWF68" s="468"/>
      <c r="UWG68" s="468"/>
      <c r="UWH68" s="468"/>
      <c r="UWI68" s="468"/>
      <c r="UWJ68" s="468"/>
      <c r="UWK68" s="468"/>
      <c r="UWL68" s="468"/>
      <c r="UWM68" s="468"/>
      <c r="UWN68" s="468"/>
      <c r="UWO68" s="468"/>
      <c r="UWP68" s="468"/>
      <c r="UWQ68" s="468"/>
      <c r="UWR68" s="468"/>
      <c r="UWS68" s="468"/>
      <c r="UWT68" s="468"/>
      <c r="UWU68" s="468"/>
      <c r="UWV68" s="468"/>
      <c r="UWW68" s="468"/>
      <c r="UWX68" s="468"/>
      <c r="UWY68" s="468"/>
      <c r="UWZ68" s="469"/>
      <c r="UXA68" s="467"/>
      <c r="UXB68" s="468"/>
      <c r="UXC68" s="468"/>
      <c r="UXD68" s="468"/>
      <c r="UXE68" s="468"/>
      <c r="UXF68" s="468"/>
      <c r="UXG68" s="468"/>
      <c r="UXH68" s="468"/>
      <c r="UXI68" s="468"/>
      <c r="UXJ68" s="468"/>
      <c r="UXK68" s="468"/>
      <c r="UXL68" s="468"/>
      <c r="UXM68" s="468"/>
      <c r="UXN68" s="468"/>
      <c r="UXO68" s="468"/>
      <c r="UXP68" s="468"/>
      <c r="UXQ68" s="468"/>
      <c r="UXR68" s="468"/>
      <c r="UXS68" s="468"/>
      <c r="UXT68" s="468"/>
      <c r="UXU68" s="468"/>
      <c r="UXV68" s="468"/>
      <c r="UXW68" s="468"/>
      <c r="UXX68" s="468"/>
      <c r="UXY68" s="468"/>
      <c r="UXZ68" s="468"/>
      <c r="UYA68" s="468"/>
      <c r="UYB68" s="468"/>
      <c r="UYC68" s="468"/>
      <c r="UYD68" s="469"/>
      <c r="UYE68" s="467"/>
      <c r="UYF68" s="468"/>
      <c r="UYG68" s="468"/>
      <c r="UYH68" s="468"/>
      <c r="UYI68" s="468"/>
      <c r="UYJ68" s="468"/>
      <c r="UYK68" s="468"/>
      <c r="UYL68" s="468"/>
      <c r="UYM68" s="468"/>
      <c r="UYN68" s="468"/>
      <c r="UYO68" s="468"/>
      <c r="UYP68" s="468"/>
      <c r="UYQ68" s="468"/>
      <c r="UYR68" s="468"/>
      <c r="UYS68" s="468"/>
      <c r="UYT68" s="468"/>
      <c r="UYU68" s="468"/>
      <c r="UYV68" s="468"/>
      <c r="UYW68" s="468"/>
      <c r="UYX68" s="468"/>
      <c r="UYY68" s="468"/>
      <c r="UYZ68" s="468"/>
      <c r="UZA68" s="468"/>
      <c r="UZB68" s="468"/>
      <c r="UZC68" s="468"/>
      <c r="UZD68" s="468"/>
      <c r="UZE68" s="468"/>
      <c r="UZF68" s="468"/>
      <c r="UZG68" s="468"/>
      <c r="UZH68" s="469"/>
      <c r="UZI68" s="467"/>
      <c r="UZJ68" s="468"/>
      <c r="UZK68" s="468"/>
      <c r="UZL68" s="468"/>
      <c r="UZM68" s="468"/>
      <c r="UZN68" s="468"/>
      <c r="UZO68" s="468"/>
      <c r="UZP68" s="468"/>
      <c r="UZQ68" s="468"/>
      <c r="UZR68" s="468"/>
      <c r="UZS68" s="468"/>
      <c r="UZT68" s="468"/>
      <c r="UZU68" s="468"/>
      <c r="UZV68" s="468"/>
      <c r="UZW68" s="468"/>
      <c r="UZX68" s="468"/>
      <c r="UZY68" s="468"/>
      <c r="UZZ68" s="468"/>
      <c r="VAA68" s="468"/>
      <c r="VAB68" s="468"/>
      <c r="VAC68" s="468"/>
      <c r="VAD68" s="468"/>
      <c r="VAE68" s="468"/>
      <c r="VAF68" s="468"/>
      <c r="VAG68" s="468"/>
      <c r="VAH68" s="468"/>
      <c r="VAI68" s="468"/>
      <c r="VAJ68" s="468"/>
      <c r="VAK68" s="468"/>
      <c r="VAL68" s="469"/>
      <c r="VAM68" s="467"/>
      <c r="VAN68" s="468"/>
      <c r="VAO68" s="468"/>
      <c r="VAP68" s="468"/>
      <c r="VAQ68" s="468"/>
      <c r="VAR68" s="468"/>
      <c r="VAS68" s="468"/>
      <c r="VAT68" s="468"/>
      <c r="VAU68" s="468"/>
      <c r="VAV68" s="468"/>
      <c r="VAW68" s="468"/>
      <c r="VAX68" s="468"/>
      <c r="VAY68" s="468"/>
      <c r="VAZ68" s="468"/>
      <c r="VBA68" s="468"/>
      <c r="VBB68" s="468"/>
      <c r="VBC68" s="468"/>
      <c r="VBD68" s="468"/>
      <c r="VBE68" s="468"/>
      <c r="VBF68" s="468"/>
      <c r="VBG68" s="468"/>
      <c r="VBH68" s="468"/>
      <c r="VBI68" s="468"/>
      <c r="VBJ68" s="468"/>
      <c r="VBK68" s="468"/>
      <c r="VBL68" s="468"/>
      <c r="VBM68" s="468"/>
      <c r="VBN68" s="468"/>
      <c r="VBO68" s="468"/>
      <c r="VBP68" s="469"/>
      <c r="VBQ68" s="467"/>
      <c r="VBR68" s="468"/>
      <c r="VBS68" s="468"/>
      <c r="VBT68" s="468"/>
      <c r="VBU68" s="468"/>
      <c r="VBV68" s="468"/>
      <c r="VBW68" s="468"/>
      <c r="VBX68" s="468"/>
      <c r="VBY68" s="468"/>
      <c r="VBZ68" s="468"/>
      <c r="VCA68" s="468"/>
      <c r="VCB68" s="468"/>
      <c r="VCC68" s="468"/>
      <c r="VCD68" s="468"/>
      <c r="VCE68" s="468"/>
      <c r="VCF68" s="468"/>
      <c r="VCG68" s="468"/>
      <c r="VCH68" s="468"/>
      <c r="VCI68" s="468"/>
      <c r="VCJ68" s="468"/>
      <c r="VCK68" s="468"/>
      <c r="VCL68" s="468"/>
      <c r="VCM68" s="468"/>
      <c r="VCN68" s="468"/>
      <c r="VCO68" s="468"/>
      <c r="VCP68" s="468"/>
      <c r="VCQ68" s="468"/>
      <c r="VCR68" s="468"/>
      <c r="VCS68" s="468"/>
      <c r="VCT68" s="469"/>
      <c r="VCU68" s="467"/>
      <c r="VCV68" s="468"/>
      <c r="VCW68" s="468"/>
      <c r="VCX68" s="468"/>
      <c r="VCY68" s="468"/>
      <c r="VCZ68" s="468"/>
      <c r="VDA68" s="468"/>
      <c r="VDB68" s="468"/>
      <c r="VDC68" s="468"/>
      <c r="VDD68" s="468"/>
      <c r="VDE68" s="468"/>
      <c r="VDF68" s="468"/>
      <c r="VDG68" s="468"/>
      <c r="VDH68" s="468"/>
      <c r="VDI68" s="468"/>
      <c r="VDJ68" s="468"/>
      <c r="VDK68" s="468"/>
      <c r="VDL68" s="468"/>
      <c r="VDM68" s="468"/>
      <c r="VDN68" s="468"/>
      <c r="VDO68" s="468"/>
      <c r="VDP68" s="468"/>
      <c r="VDQ68" s="468"/>
      <c r="VDR68" s="468"/>
      <c r="VDS68" s="468"/>
      <c r="VDT68" s="468"/>
      <c r="VDU68" s="468"/>
      <c r="VDV68" s="468"/>
      <c r="VDW68" s="468"/>
      <c r="VDX68" s="469"/>
      <c r="VDY68" s="467"/>
      <c r="VDZ68" s="468"/>
      <c r="VEA68" s="468"/>
      <c r="VEB68" s="468"/>
      <c r="VEC68" s="468"/>
      <c r="VED68" s="468"/>
      <c r="VEE68" s="468"/>
      <c r="VEF68" s="468"/>
      <c r="VEG68" s="468"/>
      <c r="VEH68" s="468"/>
      <c r="VEI68" s="468"/>
      <c r="VEJ68" s="468"/>
      <c r="VEK68" s="468"/>
      <c r="VEL68" s="468"/>
      <c r="VEM68" s="468"/>
      <c r="VEN68" s="468"/>
      <c r="VEO68" s="468"/>
      <c r="VEP68" s="468"/>
      <c r="VEQ68" s="468"/>
      <c r="VER68" s="468"/>
      <c r="VES68" s="468"/>
      <c r="VET68" s="468"/>
      <c r="VEU68" s="468"/>
      <c r="VEV68" s="468"/>
      <c r="VEW68" s="468"/>
      <c r="VEX68" s="468"/>
      <c r="VEY68" s="468"/>
      <c r="VEZ68" s="468"/>
      <c r="VFA68" s="468"/>
      <c r="VFB68" s="469"/>
      <c r="VFC68" s="467"/>
      <c r="VFD68" s="468"/>
      <c r="VFE68" s="468"/>
      <c r="VFF68" s="468"/>
      <c r="VFG68" s="468"/>
      <c r="VFH68" s="468"/>
      <c r="VFI68" s="468"/>
      <c r="VFJ68" s="468"/>
      <c r="VFK68" s="468"/>
      <c r="VFL68" s="468"/>
      <c r="VFM68" s="468"/>
      <c r="VFN68" s="468"/>
      <c r="VFO68" s="468"/>
      <c r="VFP68" s="468"/>
      <c r="VFQ68" s="468"/>
      <c r="VFR68" s="468"/>
      <c r="VFS68" s="468"/>
      <c r="VFT68" s="468"/>
      <c r="VFU68" s="468"/>
      <c r="VFV68" s="468"/>
      <c r="VFW68" s="468"/>
      <c r="VFX68" s="468"/>
      <c r="VFY68" s="468"/>
      <c r="VFZ68" s="468"/>
      <c r="VGA68" s="468"/>
      <c r="VGB68" s="468"/>
      <c r="VGC68" s="468"/>
      <c r="VGD68" s="468"/>
      <c r="VGE68" s="468"/>
      <c r="VGF68" s="469"/>
      <c r="VGG68" s="467"/>
      <c r="VGH68" s="468"/>
      <c r="VGI68" s="468"/>
      <c r="VGJ68" s="468"/>
      <c r="VGK68" s="468"/>
      <c r="VGL68" s="468"/>
      <c r="VGM68" s="468"/>
      <c r="VGN68" s="468"/>
      <c r="VGO68" s="468"/>
      <c r="VGP68" s="468"/>
      <c r="VGQ68" s="468"/>
      <c r="VGR68" s="468"/>
      <c r="VGS68" s="468"/>
      <c r="VGT68" s="468"/>
      <c r="VGU68" s="468"/>
      <c r="VGV68" s="468"/>
      <c r="VGW68" s="468"/>
      <c r="VGX68" s="468"/>
      <c r="VGY68" s="468"/>
      <c r="VGZ68" s="468"/>
      <c r="VHA68" s="468"/>
      <c r="VHB68" s="468"/>
      <c r="VHC68" s="468"/>
      <c r="VHD68" s="468"/>
      <c r="VHE68" s="468"/>
      <c r="VHF68" s="468"/>
      <c r="VHG68" s="468"/>
      <c r="VHH68" s="468"/>
      <c r="VHI68" s="468"/>
      <c r="VHJ68" s="469"/>
      <c r="VHK68" s="467"/>
      <c r="VHL68" s="468"/>
      <c r="VHM68" s="468"/>
      <c r="VHN68" s="468"/>
      <c r="VHO68" s="468"/>
      <c r="VHP68" s="468"/>
      <c r="VHQ68" s="468"/>
      <c r="VHR68" s="468"/>
      <c r="VHS68" s="468"/>
      <c r="VHT68" s="468"/>
      <c r="VHU68" s="468"/>
      <c r="VHV68" s="468"/>
      <c r="VHW68" s="468"/>
      <c r="VHX68" s="468"/>
      <c r="VHY68" s="468"/>
      <c r="VHZ68" s="468"/>
      <c r="VIA68" s="468"/>
      <c r="VIB68" s="468"/>
      <c r="VIC68" s="468"/>
      <c r="VID68" s="468"/>
      <c r="VIE68" s="468"/>
      <c r="VIF68" s="468"/>
      <c r="VIG68" s="468"/>
      <c r="VIH68" s="468"/>
      <c r="VII68" s="468"/>
      <c r="VIJ68" s="468"/>
      <c r="VIK68" s="468"/>
      <c r="VIL68" s="468"/>
      <c r="VIM68" s="468"/>
      <c r="VIN68" s="469"/>
      <c r="VIO68" s="467"/>
      <c r="VIP68" s="468"/>
      <c r="VIQ68" s="468"/>
      <c r="VIR68" s="468"/>
      <c r="VIS68" s="468"/>
      <c r="VIT68" s="468"/>
      <c r="VIU68" s="468"/>
      <c r="VIV68" s="468"/>
      <c r="VIW68" s="468"/>
      <c r="VIX68" s="468"/>
      <c r="VIY68" s="468"/>
      <c r="VIZ68" s="468"/>
      <c r="VJA68" s="468"/>
      <c r="VJB68" s="468"/>
      <c r="VJC68" s="468"/>
      <c r="VJD68" s="468"/>
      <c r="VJE68" s="468"/>
      <c r="VJF68" s="468"/>
      <c r="VJG68" s="468"/>
      <c r="VJH68" s="468"/>
      <c r="VJI68" s="468"/>
      <c r="VJJ68" s="468"/>
      <c r="VJK68" s="468"/>
      <c r="VJL68" s="468"/>
      <c r="VJM68" s="468"/>
      <c r="VJN68" s="468"/>
      <c r="VJO68" s="468"/>
      <c r="VJP68" s="468"/>
      <c r="VJQ68" s="468"/>
      <c r="VJR68" s="469"/>
      <c r="VJS68" s="467"/>
      <c r="VJT68" s="468"/>
      <c r="VJU68" s="468"/>
      <c r="VJV68" s="468"/>
      <c r="VJW68" s="468"/>
      <c r="VJX68" s="468"/>
      <c r="VJY68" s="468"/>
      <c r="VJZ68" s="468"/>
      <c r="VKA68" s="468"/>
      <c r="VKB68" s="468"/>
      <c r="VKC68" s="468"/>
      <c r="VKD68" s="468"/>
      <c r="VKE68" s="468"/>
      <c r="VKF68" s="468"/>
      <c r="VKG68" s="468"/>
      <c r="VKH68" s="468"/>
      <c r="VKI68" s="468"/>
      <c r="VKJ68" s="468"/>
      <c r="VKK68" s="468"/>
      <c r="VKL68" s="468"/>
      <c r="VKM68" s="468"/>
      <c r="VKN68" s="468"/>
      <c r="VKO68" s="468"/>
      <c r="VKP68" s="468"/>
      <c r="VKQ68" s="468"/>
      <c r="VKR68" s="468"/>
      <c r="VKS68" s="468"/>
      <c r="VKT68" s="468"/>
      <c r="VKU68" s="468"/>
      <c r="VKV68" s="469"/>
      <c r="VKW68" s="467"/>
      <c r="VKX68" s="468"/>
      <c r="VKY68" s="468"/>
      <c r="VKZ68" s="468"/>
      <c r="VLA68" s="468"/>
      <c r="VLB68" s="468"/>
      <c r="VLC68" s="468"/>
      <c r="VLD68" s="468"/>
      <c r="VLE68" s="468"/>
      <c r="VLF68" s="468"/>
      <c r="VLG68" s="468"/>
      <c r="VLH68" s="468"/>
      <c r="VLI68" s="468"/>
      <c r="VLJ68" s="468"/>
      <c r="VLK68" s="468"/>
      <c r="VLL68" s="468"/>
      <c r="VLM68" s="468"/>
      <c r="VLN68" s="468"/>
      <c r="VLO68" s="468"/>
      <c r="VLP68" s="468"/>
      <c r="VLQ68" s="468"/>
      <c r="VLR68" s="468"/>
      <c r="VLS68" s="468"/>
      <c r="VLT68" s="468"/>
      <c r="VLU68" s="468"/>
      <c r="VLV68" s="468"/>
      <c r="VLW68" s="468"/>
      <c r="VLX68" s="468"/>
      <c r="VLY68" s="468"/>
      <c r="VLZ68" s="469"/>
      <c r="VMA68" s="467"/>
      <c r="VMB68" s="468"/>
      <c r="VMC68" s="468"/>
      <c r="VMD68" s="468"/>
      <c r="VME68" s="468"/>
      <c r="VMF68" s="468"/>
      <c r="VMG68" s="468"/>
      <c r="VMH68" s="468"/>
      <c r="VMI68" s="468"/>
      <c r="VMJ68" s="468"/>
      <c r="VMK68" s="468"/>
      <c r="VML68" s="468"/>
      <c r="VMM68" s="468"/>
      <c r="VMN68" s="468"/>
      <c r="VMO68" s="468"/>
      <c r="VMP68" s="468"/>
      <c r="VMQ68" s="468"/>
      <c r="VMR68" s="468"/>
      <c r="VMS68" s="468"/>
      <c r="VMT68" s="468"/>
      <c r="VMU68" s="468"/>
      <c r="VMV68" s="468"/>
      <c r="VMW68" s="468"/>
      <c r="VMX68" s="468"/>
      <c r="VMY68" s="468"/>
      <c r="VMZ68" s="468"/>
      <c r="VNA68" s="468"/>
      <c r="VNB68" s="468"/>
      <c r="VNC68" s="468"/>
      <c r="VND68" s="469"/>
      <c r="VNE68" s="467"/>
      <c r="VNF68" s="468"/>
      <c r="VNG68" s="468"/>
      <c r="VNH68" s="468"/>
      <c r="VNI68" s="468"/>
      <c r="VNJ68" s="468"/>
      <c r="VNK68" s="468"/>
      <c r="VNL68" s="468"/>
      <c r="VNM68" s="468"/>
      <c r="VNN68" s="468"/>
      <c r="VNO68" s="468"/>
      <c r="VNP68" s="468"/>
      <c r="VNQ68" s="468"/>
      <c r="VNR68" s="468"/>
      <c r="VNS68" s="468"/>
      <c r="VNT68" s="468"/>
      <c r="VNU68" s="468"/>
      <c r="VNV68" s="468"/>
      <c r="VNW68" s="468"/>
      <c r="VNX68" s="468"/>
      <c r="VNY68" s="468"/>
      <c r="VNZ68" s="468"/>
      <c r="VOA68" s="468"/>
      <c r="VOB68" s="468"/>
      <c r="VOC68" s="468"/>
      <c r="VOD68" s="468"/>
      <c r="VOE68" s="468"/>
      <c r="VOF68" s="468"/>
      <c r="VOG68" s="468"/>
      <c r="VOH68" s="469"/>
      <c r="VOI68" s="467"/>
      <c r="VOJ68" s="468"/>
      <c r="VOK68" s="468"/>
      <c r="VOL68" s="468"/>
      <c r="VOM68" s="468"/>
      <c r="VON68" s="468"/>
      <c r="VOO68" s="468"/>
      <c r="VOP68" s="468"/>
      <c r="VOQ68" s="468"/>
      <c r="VOR68" s="468"/>
      <c r="VOS68" s="468"/>
      <c r="VOT68" s="468"/>
      <c r="VOU68" s="468"/>
      <c r="VOV68" s="468"/>
      <c r="VOW68" s="468"/>
      <c r="VOX68" s="468"/>
      <c r="VOY68" s="468"/>
      <c r="VOZ68" s="468"/>
      <c r="VPA68" s="468"/>
      <c r="VPB68" s="468"/>
      <c r="VPC68" s="468"/>
      <c r="VPD68" s="468"/>
      <c r="VPE68" s="468"/>
      <c r="VPF68" s="468"/>
      <c r="VPG68" s="468"/>
      <c r="VPH68" s="468"/>
      <c r="VPI68" s="468"/>
      <c r="VPJ68" s="468"/>
      <c r="VPK68" s="468"/>
      <c r="VPL68" s="469"/>
      <c r="VPM68" s="467"/>
      <c r="VPN68" s="468"/>
      <c r="VPO68" s="468"/>
      <c r="VPP68" s="468"/>
      <c r="VPQ68" s="468"/>
      <c r="VPR68" s="468"/>
      <c r="VPS68" s="468"/>
      <c r="VPT68" s="468"/>
      <c r="VPU68" s="468"/>
      <c r="VPV68" s="468"/>
      <c r="VPW68" s="468"/>
      <c r="VPX68" s="468"/>
      <c r="VPY68" s="468"/>
      <c r="VPZ68" s="468"/>
      <c r="VQA68" s="468"/>
      <c r="VQB68" s="468"/>
      <c r="VQC68" s="468"/>
      <c r="VQD68" s="468"/>
      <c r="VQE68" s="468"/>
      <c r="VQF68" s="468"/>
      <c r="VQG68" s="468"/>
      <c r="VQH68" s="468"/>
      <c r="VQI68" s="468"/>
      <c r="VQJ68" s="468"/>
      <c r="VQK68" s="468"/>
      <c r="VQL68" s="468"/>
      <c r="VQM68" s="468"/>
      <c r="VQN68" s="468"/>
      <c r="VQO68" s="468"/>
      <c r="VQP68" s="469"/>
      <c r="VQQ68" s="467"/>
      <c r="VQR68" s="468"/>
      <c r="VQS68" s="468"/>
      <c r="VQT68" s="468"/>
      <c r="VQU68" s="468"/>
      <c r="VQV68" s="468"/>
      <c r="VQW68" s="468"/>
      <c r="VQX68" s="468"/>
      <c r="VQY68" s="468"/>
      <c r="VQZ68" s="468"/>
      <c r="VRA68" s="468"/>
      <c r="VRB68" s="468"/>
      <c r="VRC68" s="468"/>
      <c r="VRD68" s="468"/>
      <c r="VRE68" s="468"/>
      <c r="VRF68" s="468"/>
      <c r="VRG68" s="468"/>
      <c r="VRH68" s="468"/>
      <c r="VRI68" s="468"/>
      <c r="VRJ68" s="468"/>
      <c r="VRK68" s="468"/>
      <c r="VRL68" s="468"/>
      <c r="VRM68" s="468"/>
      <c r="VRN68" s="468"/>
      <c r="VRO68" s="468"/>
      <c r="VRP68" s="468"/>
      <c r="VRQ68" s="468"/>
      <c r="VRR68" s="468"/>
      <c r="VRS68" s="468"/>
      <c r="VRT68" s="469"/>
      <c r="VRU68" s="467"/>
      <c r="VRV68" s="468"/>
      <c r="VRW68" s="468"/>
      <c r="VRX68" s="468"/>
      <c r="VRY68" s="468"/>
      <c r="VRZ68" s="468"/>
      <c r="VSA68" s="468"/>
      <c r="VSB68" s="468"/>
      <c r="VSC68" s="468"/>
      <c r="VSD68" s="468"/>
      <c r="VSE68" s="468"/>
      <c r="VSF68" s="468"/>
      <c r="VSG68" s="468"/>
      <c r="VSH68" s="468"/>
      <c r="VSI68" s="468"/>
      <c r="VSJ68" s="468"/>
      <c r="VSK68" s="468"/>
      <c r="VSL68" s="468"/>
      <c r="VSM68" s="468"/>
      <c r="VSN68" s="468"/>
      <c r="VSO68" s="468"/>
      <c r="VSP68" s="468"/>
      <c r="VSQ68" s="468"/>
      <c r="VSR68" s="468"/>
      <c r="VSS68" s="468"/>
      <c r="VST68" s="468"/>
      <c r="VSU68" s="468"/>
      <c r="VSV68" s="468"/>
      <c r="VSW68" s="468"/>
      <c r="VSX68" s="469"/>
      <c r="VSY68" s="467"/>
      <c r="VSZ68" s="468"/>
      <c r="VTA68" s="468"/>
      <c r="VTB68" s="468"/>
      <c r="VTC68" s="468"/>
      <c r="VTD68" s="468"/>
      <c r="VTE68" s="468"/>
      <c r="VTF68" s="468"/>
      <c r="VTG68" s="468"/>
      <c r="VTH68" s="468"/>
      <c r="VTI68" s="468"/>
      <c r="VTJ68" s="468"/>
      <c r="VTK68" s="468"/>
      <c r="VTL68" s="468"/>
      <c r="VTM68" s="468"/>
      <c r="VTN68" s="468"/>
      <c r="VTO68" s="468"/>
      <c r="VTP68" s="468"/>
      <c r="VTQ68" s="468"/>
      <c r="VTR68" s="468"/>
      <c r="VTS68" s="468"/>
      <c r="VTT68" s="468"/>
      <c r="VTU68" s="468"/>
      <c r="VTV68" s="468"/>
      <c r="VTW68" s="468"/>
      <c r="VTX68" s="468"/>
      <c r="VTY68" s="468"/>
      <c r="VTZ68" s="468"/>
      <c r="VUA68" s="468"/>
      <c r="VUB68" s="469"/>
      <c r="VUC68" s="467"/>
      <c r="VUD68" s="468"/>
      <c r="VUE68" s="468"/>
      <c r="VUF68" s="468"/>
      <c r="VUG68" s="468"/>
      <c r="VUH68" s="468"/>
      <c r="VUI68" s="468"/>
      <c r="VUJ68" s="468"/>
      <c r="VUK68" s="468"/>
      <c r="VUL68" s="468"/>
      <c r="VUM68" s="468"/>
      <c r="VUN68" s="468"/>
      <c r="VUO68" s="468"/>
      <c r="VUP68" s="468"/>
      <c r="VUQ68" s="468"/>
      <c r="VUR68" s="468"/>
      <c r="VUS68" s="468"/>
      <c r="VUT68" s="468"/>
      <c r="VUU68" s="468"/>
      <c r="VUV68" s="468"/>
      <c r="VUW68" s="468"/>
      <c r="VUX68" s="468"/>
      <c r="VUY68" s="468"/>
      <c r="VUZ68" s="468"/>
      <c r="VVA68" s="468"/>
      <c r="VVB68" s="468"/>
      <c r="VVC68" s="468"/>
      <c r="VVD68" s="468"/>
      <c r="VVE68" s="468"/>
      <c r="VVF68" s="469"/>
      <c r="VVG68" s="467"/>
      <c r="VVH68" s="468"/>
      <c r="VVI68" s="468"/>
      <c r="VVJ68" s="468"/>
      <c r="VVK68" s="468"/>
      <c r="VVL68" s="468"/>
      <c r="VVM68" s="468"/>
      <c r="VVN68" s="468"/>
      <c r="VVO68" s="468"/>
      <c r="VVP68" s="468"/>
      <c r="VVQ68" s="468"/>
      <c r="VVR68" s="468"/>
      <c r="VVS68" s="468"/>
      <c r="VVT68" s="468"/>
      <c r="VVU68" s="468"/>
      <c r="VVV68" s="468"/>
      <c r="VVW68" s="468"/>
      <c r="VVX68" s="468"/>
      <c r="VVY68" s="468"/>
      <c r="VVZ68" s="468"/>
      <c r="VWA68" s="468"/>
      <c r="VWB68" s="468"/>
      <c r="VWC68" s="468"/>
      <c r="VWD68" s="468"/>
      <c r="VWE68" s="468"/>
      <c r="VWF68" s="468"/>
      <c r="VWG68" s="468"/>
      <c r="VWH68" s="468"/>
      <c r="VWI68" s="468"/>
      <c r="VWJ68" s="469"/>
      <c r="VWK68" s="467"/>
      <c r="VWL68" s="468"/>
      <c r="VWM68" s="468"/>
      <c r="VWN68" s="468"/>
      <c r="VWO68" s="468"/>
      <c r="VWP68" s="468"/>
      <c r="VWQ68" s="468"/>
      <c r="VWR68" s="468"/>
      <c r="VWS68" s="468"/>
      <c r="VWT68" s="468"/>
      <c r="VWU68" s="468"/>
      <c r="VWV68" s="468"/>
      <c r="VWW68" s="468"/>
      <c r="VWX68" s="468"/>
      <c r="VWY68" s="468"/>
      <c r="VWZ68" s="468"/>
      <c r="VXA68" s="468"/>
      <c r="VXB68" s="468"/>
      <c r="VXC68" s="468"/>
      <c r="VXD68" s="468"/>
      <c r="VXE68" s="468"/>
      <c r="VXF68" s="468"/>
      <c r="VXG68" s="468"/>
      <c r="VXH68" s="468"/>
      <c r="VXI68" s="468"/>
      <c r="VXJ68" s="468"/>
      <c r="VXK68" s="468"/>
      <c r="VXL68" s="468"/>
      <c r="VXM68" s="468"/>
      <c r="VXN68" s="469"/>
      <c r="VXO68" s="467"/>
      <c r="VXP68" s="468"/>
      <c r="VXQ68" s="468"/>
      <c r="VXR68" s="468"/>
      <c r="VXS68" s="468"/>
      <c r="VXT68" s="468"/>
      <c r="VXU68" s="468"/>
      <c r="VXV68" s="468"/>
      <c r="VXW68" s="468"/>
      <c r="VXX68" s="468"/>
      <c r="VXY68" s="468"/>
      <c r="VXZ68" s="468"/>
      <c r="VYA68" s="468"/>
      <c r="VYB68" s="468"/>
      <c r="VYC68" s="468"/>
      <c r="VYD68" s="468"/>
      <c r="VYE68" s="468"/>
      <c r="VYF68" s="468"/>
      <c r="VYG68" s="468"/>
      <c r="VYH68" s="468"/>
      <c r="VYI68" s="468"/>
      <c r="VYJ68" s="468"/>
      <c r="VYK68" s="468"/>
      <c r="VYL68" s="468"/>
      <c r="VYM68" s="468"/>
      <c r="VYN68" s="468"/>
      <c r="VYO68" s="468"/>
      <c r="VYP68" s="468"/>
      <c r="VYQ68" s="468"/>
      <c r="VYR68" s="469"/>
      <c r="VYS68" s="467"/>
      <c r="VYT68" s="468"/>
      <c r="VYU68" s="468"/>
      <c r="VYV68" s="468"/>
      <c r="VYW68" s="468"/>
      <c r="VYX68" s="468"/>
      <c r="VYY68" s="468"/>
      <c r="VYZ68" s="468"/>
      <c r="VZA68" s="468"/>
      <c r="VZB68" s="468"/>
      <c r="VZC68" s="468"/>
      <c r="VZD68" s="468"/>
      <c r="VZE68" s="468"/>
      <c r="VZF68" s="468"/>
      <c r="VZG68" s="468"/>
      <c r="VZH68" s="468"/>
      <c r="VZI68" s="468"/>
      <c r="VZJ68" s="468"/>
      <c r="VZK68" s="468"/>
      <c r="VZL68" s="468"/>
      <c r="VZM68" s="468"/>
      <c r="VZN68" s="468"/>
      <c r="VZO68" s="468"/>
      <c r="VZP68" s="468"/>
      <c r="VZQ68" s="468"/>
      <c r="VZR68" s="468"/>
      <c r="VZS68" s="468"/>
      <c r="VZT68" s="468"/>
      <c r="VZU68" s="468"/>
      <c r="VZV68" s="469"/>
      <c r="VZW68" s="467"/>
      <c r="VZX68" s="468"/>
      <c r="VZY68" s="468"/>
      <c r="VZZ68" s="468"/>
      <c r="WAA68" s="468"/>
      <c r="WAB68" s="468"/>
      <c r="WAC68" s="468"/>
      <c r="WAD68" s="468"/>
      <c r="WAE68" s="468"/>
      <c r="WAF68" s="468"/>
      <c r="WAG68" s="468"/>
      <c r="WAH68" s="468"/>
      <c r="WAI68" s="468"/>
      <c r="WAJ68" s="468"/>
      <c r="WAK68" s="468"/>
      <c r="WAL68" s="468"/>
      <c r="WAM68" s="468"/>
      <c r="WAN68" s="468"/>
      <c r="WAO68" s="468"/>
      <c r="WAP68" s="468"/>
      <c r="WAQ68" s="468"/>
      <c r="WAR68" s="468"/>
      <c r="WAS68" s="468"/>
      <c r="WAT68" s="468"/>
      <c r="WAU68" s="468"/>
      <c r="WAV68" s="468"/>
      <c r="WAW68" s="468"/>
      <c r="WAX68" s="468"/>
      <c r="WAY68" s="468"/>
      <c r="WAZ68" s="469"/>
      <c r="WBA68" s="467"/>
      <c r="WBB68" s="468"/>
      <c r="WBC68" s="468"/>
      <c r="WBD68" s="468"/>
      <c r="WBE68" s="468"/>
      <c r="WBF68" s="468"/>
      <c r="WBG68" s="468"/>
      <c r="WBH68" s="468"/>
      <c r="WBI68" s="468"/>
      <c r="WBJ68" s="468"/>
      <c r="WBK68" s="468"/>
      <c r="WBL68" s="468"/>
      <c r="WBM68" s="468"/>
      <c r="WBN68" s="468"/>
      <c r="WBO68" s="468"/>
      <c r="WBP68" s="468"/>
      <c r="WBQ68" s="468"/>
      <c r="WBR68" s="468"/>
      <c r="WBS68" s="468"/>
      <c r="WBT68" s="468"/>
      <c r="WBU68" s="468"/>
      <c r="WBV68" s="468"/>
      <c r="WBW68" s="468"/>
      <c r="WBX68" s="468"/>
      <c r="WBY68" s="468"/>
      <c r="WBZ68" s="468"/>
      <c r="WCA68" s="468"/>
      <c r="WCB68" s="468"/>
      <c r="WCC68" s="468"/>
      <c r="WCD68" s="469"/>
      <c r="WCE68" s="467"/>
      <c r="WCF68" s="468"/>
      <c r="WCG68" s="468"/>
      <c r="WCH68" s="468"/>
      <c r="WCI68" s="468"/>
      <c r="WCJ68" s="468"/>
      <c r="WCK68" s="468"/>
      <c r="WCL68" s="468"/>
      <c r="WCM68" s="468"/>
      <c r="WCN68" s="468"/>
      <c r="WCO68" s="468"/>
      <c r="WCP68" s="468"/>
      <c r="WCQ68" s="468"/>
      <c r="WCR68" s="468"/>
      <c r="WCS68" s="468"/>
      <c r="WCT68" s="468"/>
      <c r="WCU68" s="468"/>
      <c r="WCV68" s="468"/>
      <c r="WCW68" s="468"/>
      <c r="WCX68" s="468"/>
      <c r="WCY68" s="468"/>
      <c r="WCZ68" s="468"/>
      <c r="WDA68" s="468"/>
      <c r="WDB68" s="468"/>
      <c r="WDC68" s="468"/>
      <c r="WDD68" s="468"/>
      <c r="WDE68" s="468"/>
      <c r="WDF68" s="468"/>
      <c r="WDG68" s="468"/>
      <c r="WDH68" s="469"/>
      <c r="WDI68" s="467"/>
      <c r="WDJ68" s="468"/>
      <c r="WDK68" s="468"/>
      <c r="WDL68" s="468"/>
      <c r="WDM68" s="468"/>
      <c r="WDN68" s="468"/>
      <c r="WDO68" s="468"/>
      <c r="WDP68" s="468"/>
      <c r="WDQ68" s="468"/>
      <c r="WDR68" s="468"/>
      <c r="WDS68" s="468"/>
      <c r="WDT68" s="468"/>
      <c r="WDU68" s="468"/>
      <c r="WDV68" s="468"/>
      <c r="WDW68" s="468"/>
      <c r="WDX68" s="468"/>
      <c r="WDY68" s="468"/>
      <c r="WDZ68" s="468"/>
      <c r="WEA68" s="468"/>
      <c r="WEB68" s="468"/>
      <c r="WEC68" s="468"/>
      <c r="WED68" s="468"/>
      <c r="WEE68" s="468"/>
      <c r="WEF68" s="468"/>
      <c r="WEG68" s="468"/>
      <c r="WEH68" s="468"/>
      <c r="WEI68" s="468"/>
      <c r="WEJ68" s="468"/>
      <c r="WEK68" s="468"/>
      <c r="WEL68" s="469"/>
      <c r="WEM68" s="467"/>
      <c r="WEN68" s="468"/>
      <c r="WEO68" s="468"/>
      <c r="WEP68" s="468"/>
      <c r="WEQ68" s="468"/>
      <c r="WER68" s="468"/>
      <c r="WES68" s="468"/>
      <c r="WET68" s="468"/>
      <c r="WEU68" s="468"/>
      <c r="WEV68" s="468"/>
      <c r="WEW68" s="468"/>
      <c r="WEX68" s="468"/>
      <c r="WEY68" s="468"/>
      <c r="WEZ68" s="468"/>
      <c r="WFA68" s="468"/>
      <c r="WFB68" s="468"/>
      <c r="WFC68" s="468"/>
      <c r="WFD68" s="468"/>
      <c r="WFE68" s="468"/>
      <c r="WFF68" s="468"/>
      <c r="WFG68" s="468"/>
      <c r="WFH68" s="468"/>
      <c r="WFI68" s="468"/>
      <c r="WFJ68" s="468"/>
      <c r="WFK68" s="468"/>
      <c r="WFL68" s="468"/>
      <c r="WFM68" s="468"/>
      <c r="WFN68" s="468"/>
      <c r="WFO68" s="468"/>
      <c r="WFP68" s="469"/>
      <c r="WFQ68" s="467"/>
      <c r="WFR68" s="468"/>
      <c r="WFS68" s="468"/>
      <c r="WFT68" s="468"/>
      <c r="WFU68" s="468"/>
      <c r="WFV68" s="468"/>
      <c r="WFW68" s="468"/>
      <c r="WFX68" s="468"/>
      <c r="WFY68" s="468"/>
      <c r="WFZ68" s="468"/>
      <c r="WGA68" s="468"/>
      <c r="WGB68" s="468"/>
      <c r="WGC68" s="468"/>
      <c r="WGD68" s="468"/>
      <c r="WGE68" s="468"/>
      <c r="WGF68" s="468"/>
      <c r="WGG68" s="468"/>
      <c r="WGH68" s="468"/>
      <c r="WGI68" s="468"/>
      <c r="WGJ68" s="468"/>
      <c r="WGK68" s="468"/>
      <c r="WGL68" s="468"/>
      <c r="WGM68" s="468"/>
      <c r="WGN68" s="468"/>
      <c r="WGO68" s="468"/>
      <c r="WGP68" s="468"/>
      <c r="WGQ68" s="468"/>
      <c r="WGR68" s="468"/>
      <c r="WGS68" s="468"/>
      <c r="WGT68" s="469"/>
      <c r="WGU68" s="467"/>
      <c r="WGV68" s="468"/>
      <c r="WGW68" s="468"/>
      <c r="WGX68" s="468"/>
      <c r="WGY68" s="468"/>
      <c r="WGZ68" s="468"/>
      <c r="WHA68" s="468"/>
      <c r="WHB68" s="468"/>
      <c r="WHC68" s="468"/>
      <c r="WHD68" s="468"/>
      <c r="WHE68" s="468"/>
      <c r="WHF68" s="468"/>
      <c r="WHG68" s="468"/>
      <c r="WHH68" s="468"/>
      <c r="WHI68" s="468"/>
      <c r="WHJ68" s="468"/>
      <c r="WHK68" s="468"/>
      <c r="WHL68" s="468"/>
      <c r="WHM68" s="468"/>
      <c r="WHN68" s="468"/>
      <c r="WHO68" s="468"/>
      <c r="WHP68" s="468"/>
      <c r="WHQ68" s="468"/>
      <c r="WHR68" s="468"/>
      <c r="WHS68" s="468"/>
      <c r="WHT68" s="468"/>
      <c r="WHU68" s="468"/>
      <c r="WHV68" s="468"/>
      <c r="WHW68" s="468"/>
      <c r="WHX68" s="469"/>
      <c r="WHY68" s="467"/>
      <c r="WHZ68" s="468"/>
      <c r="WIA68" s="468"/>
      <c r="WIB68" s="468"/>
      <c r="WIC68" s="468"/>
      <c r="WID68" s="468"/>
      <c r="WIE68" s="468"/>
      <c r="WIF68" s="468"/>
      <c r="WIG68" s="468"/>
      <c r="WIH68" s="468"/>
      <c r="WII68" s="468"/>
      <c r="WIJ68" s="468"/>
      <c r="WIK68" s="468"/>
      <c r="WIL68" s="468"/>
      <c r="WIM68" s="468"/>
      <c r="WIN68" s="468"/>
      <c r="WIO68" s="468"/>
      <c r="WIP68" s="468"/>
      <c r="WIQ68" s="468"/>
      <c r="WIR68" s="468"/>
      <c r="WIS68" s="468"/>
      <c r="WIT68" s="468"/>
      <c r="WIU68" s="468"/>
      <c r="WIV68" s="468"/>
      <c r="WIW68" s="468"/>
      <c r="WIX68" s="468"/>
      <c r="WIY68" s="468"/>
      <c r="WIZ68" s="468"/>
      <c r="WJA68" s="468"/>
      <c r="WJB68" s="469"/>
      <c r="WJC68" s="467"/>
      <c r="WJD68" s="468"/>
      <c r="WJE68" s="468"/>
      <c r="WJF68" s="468"/>
      <c r="WJG68" s="468"/>
      <c r="WJH68" s="468"/>
      <c r="WJI68" s="468"/>
      <c r="WJJ68" s="468"/>
      <c r="WJK68" s="468"/>
      <c r="WJL68" s="468"/>
      <c r="WJM68" s="468"/>
      <c r="WJN68" s="468"/>
      <c r="WJO68" s="468"/>
      <c r="WJP68" s="468"/>
      <c r="WJQ68" s="468"/>
      <c r="WJR68" s="468"/>
      <c r="WJS68" s="468"/>
      <c r="WJT68" s="468"/>
      <c r="WJU68" s="468"/>
      <c r="WJV68" s="468"/>
      <c r="WJW68" s="468"/>
      <c r="WJX68" s="468"/>
      <c r="WJY68" s="468"/>
      <c r="WJZ68" s="468"/>
      <c r="WKA68" s="468"/>
      <c r="WKB68" s="468"/>
      <c r="WKC68" s="468"/>
      <c r="WKD68" s="468"/>
      <c r="WKE68" s="468"/>
      <c r="WKF68" s="469"/>
      <c r="WKG68" s="467"/>
      <c r="WKH68" s="468"/>
      <c r="WKI68" s="468"/>
      <c r="WKJ68" s="468"/>
      <c r="WKK68" s="468"/>
      <c r="WKL68" s="468"/>
      <c r="WKM68" s="468"/>
      <c r="WKN68" s="468"/>
      <c r="WKO68" s="468"/>
      <c r="WKP68" s="468"/>
      <c r="WKQ68" s="468"/>
      <c r="WKR68" s="468"/>
      <c r="WKS68" s="468"/>
      <c r="WKT68" s="468"/>
      <c r="WKU68" s="468"/>
      <c r="WKV68" s="468"/>
      <c r="WKW68" s="468"/>
      <c r="WKX68" s="468"/>
      <c r="WKY68" s="468"/>
      <c r="WKZ68" s="468"/>
      <c r="WLA68" s="468"/>
      <c r="WLB68" s="468"/>
      <c r="WLC68" s="468"/>
      <c r="WLD68" s="468"/>
      <c r="WLE68" s="468"/>
      <c r="WLF68" s="468"/>
      <c r="WLG68" s="468"/>
      <c r="WLH68" s="468"/>
      <c r="WLI68" s="468"/>
      <c r="WLJ68" s="469"/>
      <c r="WLK68" s="467"/>
      <c r="WLL68" s="468"/>
      <c r="WLM68" s="468"/>
      <c r="WLN68" s="468"/>
      <c r="WLO68" s="468"/>
      <c r="WLP68" s="468"/>
      <c r="WLQ68" s="468"/>
      <c r="WLR68" s="468"/>
      <c r="WLS68" s="468"/>
      <c r="WLT68" s="468"/>
      <c r="WLU68" s="468"/>
      <c r="WLV68" s="468"/>
      <c r="WLW68" s="468"/>
      <c r="WLX68" s="468"/>
      <c r="WLY68" s="468"/>
      <c r="WLZ68" s="468"/>
      <c r="WMA68" s="468"/>
      <c r="WMB68" s="468"/>
      <c r="WMC68" s="468"/>
      <c r="WMD68" s="468"/>
      <c r="WME68" s="468"/>
      <c r="WMF68" s="468"/>
      <c r="WMG68" s="468"/>
      <c r="WMH68" s="468"/>
      <c r="WMI68" s="468"/>
      <c r="WMJ68" s="468"/>
      <c r="WMK68" s="468"/>
      <c r="WML68" s="468"/>
      <c r="WMM68" s="468"/>
      <c r="WMN68" s="469"/>
      <c r="WMO68" s="467"/>
      <c r="WMP68" s="468"/>
      <c r="WMQ68" s="468"/>
      <c r="WMR68" s="468"/>
      <c r="WMS68" s="468"/>
      <c r="WMT68" s="468"/>
      <c r="WMU68" s="468"/>
      <c r="WMV68" s="468"/>
      <c r="WMW68" s="468"/>
      <c r="WMX68" s="468"/>
      <c r="WMY68" s="468"/>
      <c r="WMZ68" s="468"/>
      <c r="WNA68" s="468"/>
      <c r="WNB68" s="468"/>
      <c r="WNC68" s="468"/>
      <c r="WND68" s="468"/>
      <c r="WNE68" s="468"/>
      <c r="WNF68" s="468"/>
      <c r="WNG68" s="468"/>
      <c r="WNH68" s="468"/>
      <c r="WNI68" s="468"/>
      <c r="WNJ68" s="468"/>
      <c r="WNK68" s="468"/>
      <c r="WNL68" s="468"/>
      <c r="WNM68" s="468"/>
      <c r="WNN68" s="468"/>
      <c r="WNO68" s="468"/>
      <c r="WNP68" s="468"/>
      <c r="WNQ68" s="468"/>
      <c r="WNR68" s="469"/>
      <c r="WNS68" s="467"/>
      <c r="WNT68" s="468"/>
      <c r="WNU68" s="468"/>
      <c r="WNV68" s="468"/>
      <c r="WNW68" s="468"/>
      <c r="WNX68" s="468"/>
      <c r="WNY68" s="468"/>
      <c r="WNZ68" s="468"/>
      <c r="WOA68" s="468"/>
      <c r="WOB68" s="468"/>
      <c r="WOC68" s="468"/>
      <c r="WOD68" s="468"/>
      <c r="WOE68" s="468"/>
      <c r="WOF68" s="468"/>
      <c r="WOG68" s="468"/>
      <c r="WOH68" s="468"/>
      <c r="WOI68" s="468"/>
      <c r="WOJ68" s="468"/>
      <c r="WOK68" s="468"/>
      <c r="WOL68" s="468"/>
      <c r="WOM68" s="468"/>
      <c r="WON68" s="468"/>
      <c r="WOO68" s="468"/>
      <c r="WOP68" s="468"/>
      <c r="WOQ68" s="468"/>
      <c r="WOR68" s="468"/>
      <c r="WOS68" s="468"/>
      <c r="WOT68" s="468"/>
      <c r="WOU68" s="468"/>
      <c r="WOV68" s="469"/>
      <c r="WOW68" s="467"/>
      <c r="WOX68" s="468"/>
      <c r="WOY68" s="468"/>
      <c r="WOZ68" s="468"/>
      <c r="WPA68" s="468"/>
      <c r="WPB68" s="468"/>
      <c r="WPC68" s="468"/>
      <c r="WPD68" s="468"/>
      <c r="WPE68" s="468"/>
      <c r="WPF68" s="468"/>
      <c r="WPG68" s="468"/>
      <c r="WPH68" s="468"/>
      <c r="WPI68" s="468"/>
      <c r="WPJ68" s="468"/>
      <c r="WPK68" s="468"/>
      <c r="WPL68" s="468"/>
      <c r="WPM68" s="468"/>
      <c r="WPN68" s="468"/>
      <c r="WPO68" s="468"/>
      <c r="WPP68" s="468"/>
      <c r="WPQ68" s="468"/>
      <c r="WPR68" s="468"/>
      <c r="WPS68" s="468"/>
      <c r="WPT68" s="468"/>
      <c r="WPU68" s="468"/>
      <c r="WPV68" s="468"/>
      <c r="WPW68" s="468"/>
      <c r="WPX68" s="468"/>
      <c r="WPY68" s="468"/>
      <c r="WPZ68" s="469"/>
      <c r="WQA68" s="467"/>
      <c r="WQB68" s="468"/>
      <c r="WQC68" s="468"/>
      <c r="WQD68" s="468"/>
      <c r="WQE68" s="468"/>
      <c r="WQF68" s="468"/>
      <c r="WQG68" s="468"/>
      <c r="WQH68" s="468"/>
      <c r="WQI68" s="468"/>
      <c r="WQJ68" s="468"/>
      <c r="WQK68" s="468"/>
      <c r="WQL68" s="468"/>
      <c r="WQM68" s="468"/>
      <c r="WQN68" s="468"/>
      <c r="WQO68" s="468"/>
      <c r="WQP68" s="468"/>
      <c r="WQQ68" s="468"/>
      <c r="WQR68" s="468"/>
      <c r="WQS68" s="468"/>
      <c r="WQT68" s="468"/>
      <c r="WQU68" s="468"/>
      <c r="WQV68" s="468"/>
      <c r="WQW68" s="468"/>
      <c r="WQX68" s="468"/>
      <c r="WQY68" s="468"/>
      <c r="WQZ68" s="468"/>
      <c r="WRA68" s="468"/>
      <c r="WRB68" s="468"/>
      <c r="WRC68" s="468"/>
      <c r="WRD68" s="469"/>
      <c r="WRE68" s="467"/>
      <c r="WRF68" s="468"/>
      <c r="WRG68" s="468"/>
      <c r="WRH68" s="468"/>
      <c r="WRI68" s="468"/>
      <c r="WRJ68" s="468"/>
      <c r="WRK68" s="468"/>
      <c r="WRL68" s="468"/>
      <c r="WRM68" s="468"/>
      <c r="WRN68" s="468"/>
      <c r="WRO68" s="468"/>
      <c r="WRP68" s="468"/>
      <c r="WRQ68" s="468"/>
      <c r="WRR68" s="468"/>
      <c r="WRS68" s="468"/>
      <c r="WRT68" s="468"/>
      <c r="WRU68" s="468"/>
      <c r="WRV68" s="468"/>
      <c r="WRW68" s="468"/>
      <c r="WRX68" s="468"/>
      <c r="WRY68" s="468"/>
      <c r="WRZ68" s="468"/>
      <c r="WSA68" s="468"/>
      <c r="WSB68" s="468"/>
      <c r="WSC68" s="468"/>
      <c r="WSD68" s="468"/>
      <c r="WSE68" s="468"/>
      <c r="WSF68" s="468"/>
      <c r="WSG68" s="468"/>
      <c r="WSH68" s="469"/>
      <c r="WSI68" s="467"/>
      <c r="WSJ68" s="468"/>
      <c r="WSK68" s="468"/>
      <c r="WSL68" s="468"/>
      <c r="WSM68" s="468"/>
      <c r="WSN68" s="468"/>
      <c r="WSO68" s="468"/>
      <c r="WSP68" s="468"/>
      <c r="WSQ68" s="468"/>
      <c r="WSR68" s="468"/>
      <c r="WSS68" s="468"/>
      <c r="WST68" s="468"/>
      <c r="WSU68" s="468"/>
      <c r="WSV68" s="468"/>
      <c r="WSW68" s="468"/>
      <c r="WSX68" s="468"/>
      <c r="WSY68" s="468"/>
      <c r="WSZ68" s="468"/>
      <c r="WTA68" s="468"/>
      <c r="WTB68" s="468"/>
      <c r="WTC68" s="468"/>
      <c r="WTD68" s="468"/>
      <c r="WTE68" s="468"/>
      <c r="WTF68" s="468"/>
      <c r="WTG68" s="468"/>
      <c r="WTH68" s="468"/>
      <c r="WTI68" s="468"/>
      <c r="WTJ68" s="468"/>
      <c r="WTK68" s="468"/>
      <c r="WTL68" s="469"/>
      <c r="WTM68" s="467"/>
      <c r="WTN68" s="468"/>
      <c r="WTO68" s="468"/>
      <c r="WTP68" s="468"/>
      <c r="WTQ68" s="468"/>
      <c r="WTR68" s="468"/>
      <c r="WTS68" s="468"/>
      <c r="WTT68" s="468"/>
      <c r="WTU68" s="468"/>
      <c r="WTV68" s="468"/>
      <c r="WTW68" s="468"/>
      <c r="WTX68" s="468"/>
      <c r="WTY68" s="468"/>
      <c r="WTZ68" s="468"/>
      <c r="WUA68" s="468"/>
      <c r="WUB68" s="468"/>
      <c r="WUC68" s="468"/>
      <c r="WUD68" s="468"/>
      <c r="WUE68" s="468"/>
      <c r="WUF68" s="468"/>
      <c r="WUG68" s="468"/>
      <c r="WUH68" s="468"/>
      <c r="WUI68" s="468"/>
      <c r="WUJ68" s="468"/>
      <c r="WUK68" s="468"/>
      <c r="WUL68" s="468"/>
      <c r="WUM68" s="468"/>
      <c r="WUN68" s="468"/>
      <c r="WUO68" s="468"/>
      <c r="WUP68" s="469"/>
      <c r="WUQ68" s="467"/>
      <c r="WUR68" s="468"/>
      <c r="WUS68" s="468"/>
      <c r="WUT68" s="468"/>
      <c r="WUU68" s="468"/>
      <c r="WUV68" s="468"/>
      <c r="WUW68" s="468"/>
      <c r="WUX68" s="468"/>
      <c r="WUY68" s="468"/>
      <c r="WUZ68" s="468"/>
      <c r="WVA68" s="468"/>
      <c r="WVB68" s="468"/>
      <c r="WVC68" s="468"/>
      <c r="WVD68" s="468"/>
      <c r="WVE68" s="468"/>
      <c r="WVF68" s="468"/>
      <c r="WVG68" s="468"/>
      <c r="WVH68" s="468"/>
      <c r="WVI68" s="468"/>
      <c r="WVJ68" s="468"/>
      <c r="WVK68" s="468"/>
      <c r="WVL68" s="468"/>
      <c r="WVM68" s="468"/>
      <c r="WVN68" s="468"/>
      <c r="WVO68" s="468"/>
      <c r="WVP68" s="468"/>
      <c r="WVQ68" s="468"/>
      <c r="WVR68" s="468"/>
      <c r="WVS68" s="468"/>
      <c r="WVT68" s="469"/>
      <c r="WVU68" s="467"/>
      <c r="WVV68" s="468"/>
      <c r="WVW68" s="468"/>
      <c r="WVX68" s="468"/>
      <c r="WVY68" s="468"/>
      <c r="WVZ68" s="468"/>
      <c r="WWA68" s="468"/>
      <c r="WWB68" s="468"/>
      <c r="WWC68" s="468"/>
      <c r="WWD68" s="468"/>
      <c r="WWE68" s="468"/>
      <c r="WWF68" s="468"/>
      <c r="WWG68" s="468"/>
      <c r="WWH68" s="468"/>
      <c r="WWI68" s="468"/>
      <c r="WWJ68" s="468"/>
      <c r="WWK68" s="468"/>
      <c r="WWL68" s="468"/>
      <c r="WWM68" s="468"/>
      <c r="WWN68" s="468"/>
      <c r="WWO68" s="468"/>
      <c r="WWP68" s="468"/>
      <c r="WWQ68" s="468"/>
      <c r="WWR68" s="468"/>
      <c r="WWS68" s="468"/>
      <c r="WWT68" s="468"/>
      <c r="WWU68" s="468"/>
      <c r="WWV68" s="468"/>
      <c r="WWW68" s="468"/>
      <c r="WWX68" s="469"/>
      <c r="WWY68" s="467"/>
      <c r="WWZ68" s="468"/>
      <c r="WXA68" s="468"/>
      <c r="WXB68" s="468"/>
      <c r="WXC68" s="468"/>
      <c r="WXD68" s="468"/>
      <c r="WXE68" s="468"/>
      <c r="WXF68" s="468"/>
      <c r="WXG68" s="468"/>
      <c r="WXH68" s="468"/>
      <c r="WXI68" s="468"/>
      <c r="WXJ68" s="468"/>
      <c r="WXK68" s="468"/>
      <c r="WXL68" s="468"/>
      <c r="WXM68" s="468"/>
      <c r="WXN68" s="468"/>
      <c r="WXO68" s="468"/>
      <c r="WXP68" s="468"/>
      <c r="WXQ68" s="468"/>
      <c r="WXR68" s="468"/>
      <c r="WXS68" s="468"/>
      <c r="WXT68" s="468"/>
      <c r="WXU68" s="468"/>
      <c r="WXV68" s="468"/>
      <c r="WXW68" s="468"/>
      <c r="WXX68" s="468"/>
      <c r="WXY68" s="468"/>
      <c r="WXZ68" s="468"/>
      <c r="WYA68" s="468"/>
      <c r="WYB68" s="469"/>
      <c r="WYC68" s="467"/>
      <c r="WYD68" s="468"/>
      <c r="WYE68" s="468"/>
      <c r="WYF68" s="468"/>
      <c r="WYG68" s="468"/>
      <c r="WYH68" s="468"/>
      <c r="WYI68" s="468"/>
      <c r="WYJ68" s="468"/>
      <c r="WYK68" s="468"/>
      <c r="WYL68" s="468"/>
      <c r="WYM68" s="468"/>
      <c r="WYN68" s="468"/>
      <c r="WYO68" s="468"/>
      <c r="WYP68" s="468"/>
      <c r="WYQ68" s="468"/>
      <c r="WYR68" s="468"/>
      <c r="WYS68" s="468"/>
      <c r="WYT68" s="468"/>
      <c r="WYU68" s="468"/>
      <c r="WYV68" s="468"/>
      <c r="WYW68" s="468"/>
      <c r="WYX68" s="468"/>
      <c r="WYY68" s="468"/>
      <c r="WYZ68" s="468"/>
      <c r="WZA68" s="468"/>
      <c r="WZB68" s="468"/>
      <c r="WZC68" s="468"/>
      <c r="WZD68" s="468"/>
      <c r="WZE68" s="468"/>
      <c r="WZF68" s="469"/>
      <c r="WZG68" s="467"/>
      <c r="WZH68" s="468"/>
      <c r="WZI68" s="468"/>
      <c r="WZJ68" s="468"/>
      <c r="WZK68" s="468"/>
      <c r="WZL68" s="468"/>
      <c r="WZM68" s="468"/>
      <c r="WZN68" s="468"/>
      <c r="WZO68" s="468"/>
      <c r="WZP68" s="468"/>
      <c r="WZQ68" s="468"/>
      <c r="WZR68" s="468"/>
      <c r="WZS68" s="468"/>
      <c r="WZT68" s="468"/>
      <c r="WZU68" s="468"/>
      <c r="WZV68" s="468"/>
      <c r="WZW68" s="468"/>
      <c r="WZX68" s="468"/>
      <c r="WZY68" s="468"/>
      <c r="WZZ68" s="468"/>
      <c r="XAA68" s="468"/>
      <c r="XAB68" s="468"/>
      <c r="XAC68" s="468"/>
      <c r="XAD68" s="468"/>
      <c r="XAE68" s="468"/>
      <c r="XAF68" s="468"/>
      <c r="XAG68" s="468"/>
      <c r="XAH68" s="468"/>
      <c r="XAI68" s="468"/>
      <c r="XAJ68" s="469"/>
      <c r="XAK68" s="467"/>
      <c r="XAL68" s="468"/>
      <c r="XAM68" s="468"/>
      <c r="XAN68" s="468"/>
      <c r="XAO68" s="468"/>
      <c r="XAP68" s="468"/>
      <c r="XAQ68" s="468"/>
      <c r="XAR68" s="468"/>
      <c r="XAS68" s="468"/>
      <c r="XAT68" s="468"/>
      <c r="XAU68" s="468"/>
      <c r="XAV68" s="468"/>
      <c r="XAW68" s="468"/>
      <c r="XAX68" s="468"/>
      <c r="XAY68" s="468"/>
      <c r="XAZ68" s="468"/>
      <c r="XBA68" s="468"/>
      <c r="XBB68" s="468"/>
      <c r="XBC68" s="468"/>
      <c r="XBD68" s="468"/>
      <c r="XBE68" s="468"/>
      <c r="XBF68" s="468"/>
      <c r="XBG68" s="468"/>
      <c r="XBH68" s="468"/>
      <c r="XBI68" s="468"/>
      <c r="XBJ68" s="468"/>
      <c r="XBK68" s="468"/>
      <c r="XBL68" s="468"/>
      <c r="XBM68" s="468"/>
      <c r="XBN68" s="469"/>
      <c r="XBO68" s="467"/>
      <c r="XBP68" s="468"/>
      <c r="XBQ68" s="468"/>
      <c r="XBR68" s="468"/>
      <c r="XBS68" s="468"/>
      <c r="XBT68" s="468"/>
      <c r="XBU68" s="468"/>
      <c r="XBV68" s="468"/>
      <c r="XBW68" s="468"/>
      <c r="XBX68" s="468"/>
      <c r="XBY68" s="468"/>
      <c r="XBZ68" s="468"/>
      <c r="XCA68" s="468"/>
      <c r="XCB68" s="468"/>
      <c r="XCC68" s="468"/>
      <c r="XCD68" s="468"/>
      <c r="XCE68" s="468"/>
      <c r="XCF68" s="468"/>
      <c r="XCG68" s="468"/>
      <c r="XCH68" s="468"/>
      <c r="XCI68" s="468"/>
      <c r="XCJ68" s="468"/>
      <c r="XCK68" s="468"/>
      <c r="XCL68" s="468"/>
      <c r="XCM68" s="468"/>
      <c r="XCN68" s="468"/>
      <c r="XCO68" s="468"/>
      <c r="XCP68" s="468"/>
      <c r="XCQ68" s="468"/>
      <c r="XCR68" s="469"/>
      <c r="XCS68" s="467"/>
      <c r="XCT68" s="468"/>
      <c r="XCU68" s="468"/>
      <c r="XCV68" s="468"/>
      <c r="XCW68" s="468"/>
      <c r="XCX68" s="468"/>
      <c r="XCY68" s="468"/>
      <c r="XCZ68" s="468"/>
      <c r="XDA68" s="468"/>
      <c r="XDB68" s="468"/>
      <c r="XDC68" s="468"/>
      <c r="XDD68" s="468"/>
      <c r="XDE68" s="468"/>
      <c r="XDF68" s="468"/>
      <c r="XDG68" s="468"/>
      <c r="XDH68" s="468"/>
      <c r="XDI68" s="468"/>
      <c r="XDJ68" s="468"/>
      <c r="XDK68" s="468"/>
      <c r="XDL68" s="468"/>
      <c r="XDM68" s="468"/>
      <c r="XDN68" s="468"/>
      <c r="XDO68" s="468"/>
      <c r="XDP68" s="468"/>
      <c r="XDQ68" s="468"/>
      <c r="XDR68" s="468"/>
      <c r="XDS68" s="468"/>
      <c r="XDT68" s="468"/>
      <c r="XDU68" s="468"/>
      <c r="XDV68" s="469"/>
      <c r="XDW68" s="467"/>
      <c r="XDX68" s="468"/>
      <c r="XDY68" s="468"/>
      <c r="XDZ68" s="468"/>
      <c r="XEA68" s="468"/>
      <c r="XEB68" s="468"/>
      <c r="XEC68" s="468"/>
      <c r="XED68" s="468"/>
      <c r="XEE68" s="468"/>
      <c r="XEF68" s="468"/>
      <c r="XEG68" s="468"/>
      <c r="XEH68" s="468"/>
      <c r="XEI68" s="468"/>
      <c r="XEJ68" s="468"/>
      <c r="XEK68" s="468"/>
      <c r="XEL68" s="468"/>
      <c r="XEM68" s="468"/>
      <c r="XEN68" s="468"/>
      <c r="XEO68" s="468"/>
      <c r="XEP68" s="468"/>
      <c r="XEQ68" s="468"/>
      <c r="XER68" s="468"/>
      <c r="XES68" s="468"/>
      <c r="XET68" s="468"/>
      <c r="XEU68" s="468"/>
      <c r="XEV68" s="468"/>
      <c r="XEW68" s="468"/>
      <c r="XEX68" s="468"/>
      <c r="XEY68" s="468"/>
      <c r="XEZ68" s="469"/>
      <c r="XFA68" s="467"/>
      <c r="XFB68" s="467"/>
      <c r="XFC68" s="467"/>
      <c r="XFD68" s="467"/>
    </row>
    <row r="69" spans="1:16384" s="37" customFormat="1" ht="44.45" customHeight="1" x14ac:dyDescent="0.2">
      <c r="A69" s="449">
        <v>34</v>
      </c>
      <c r="B69" s="446" t="s">
        <v>1443</v>
      </c>
      <c r="C69" s="444" t="s">
        <v>178</v>
      </c>
      <c r="D69" s="415" t="s">
        <v>177</v>
      </c>
      <c r="E69" s="459">
        <f>F69+G69+H69+I69</f>
        <v>76067</v>
      </c>
      <c r="F69" s="458">
        <v>761</v>
      </c>
      <c r="G69" s="458">
        <v>75306</v>
      </c>
      <c r="H69" s="458">
        <v>0</v>
      </c>
      <c r="I69" s="458">
        <v>0</v>
      </c>
      <c r="J69" s="459">
        <f>K69+L69+M69+N69</f>
        <v>76067</v>
      </c>
      <c r="K69" s="458">
        <v>761</v>
      </c>
      <c r="L69" s="458">
        <v>75306</v>
      </c>
      <c r="M69" s="458">
        <v>0</v>
      </c>
      <c r="N69" s="458">
        <v>0</v>
      </c>
      <c r="O69" s="459">
        <f>P69+Q69+R69+S69</f>
        <v>76067</v>
      </c>
      <c r="P69" s="458">
        <v>761</v>
      </c>
      <c r="Q69" s="458">
        <v>75306</v>
      </c>
      <c r="R69" s="458">
        <v>0</v>
      </c>
      <c r="S69" s="458">
        <v>0</v>
      </c>
      <c r="T69" s="459">
        <f>U69+V69</f>
        <v>75511</v>
      </c>
      <c r="U69" s="458">
        <v>755</v>
      </c>
      <c r="V69" s="458">
        <v>74756</v>
      </c>
      <c r="W69" s="458">
        <v>0</v>
      </c>
      <c r="X69" s="458">
        <v>0</v>
      </c>
      <c r="Y69" s="459">
        <f>Z69+AA69</f>
        <v>62986</v>
      </c>
      <c r="Z69" s="458">
        <v>630</v>
      </c>
      <c r="AA69" s="458">
        <v>62356</v>
      </c>
      <c r="AB69" s="458">
        <v>0</v>
      </c>
      <c r="AC69" s="458">
        <v>0</v>
      </c>
      <c r="AD69" s="459">
        <f>E69+J69+O69+T69+Y69</f>
        <v>366698</v>
      </c>
      <c r="AE69" s="3"/>
      <c r="AF69" s="3"/>
      <c r="AG69" s="3"/>
      <c r="AH69" s="3"/>
    </row>
    <row r="70" spans="1:16384" s="37" customFormat="1" ht="285" customHeight="1" x14ac:dyDescent="0.2">
      <c r="A70" s="449"/>
      <c r="B70" s="447"/>
      <c r="C70" s="445"/>
      <c r="D70" s="415"/>
      <c r="E70" s="459"/>
      <c r="F70" s="458"/>
      <c r="G70" s="458"/>
      <c r="H70" s="458"/>
      <c r="I70" s="458"/>
      <c r="J70" s="459"/>
      <c r="K70" s="458"/>
      <c r="L70" s="458"/>
      <c r="M70" s="458"/>
      <c r="N70" s="458"/>
      <c r="O70" s="459"/>
      <c r="P70" s="458"/>
      <c r="Q70" s="458"/>
      <c r="R70" s="458"/>
      <c r="S70" s="458"/>
      <c r="T70" s="459"/>
      <c r="U70" s="458"/>
      <c r="V70" s="458"/>
      <c r="W70" s="458"/>
      <c r="X70" s="458"/>
      <c r="Y70" s="459"/>
      <c r="Z70" s="458"/>
      <c r="AA70" s="458"/>
      <c r="AB70" s="458"/>
      <c r="AC70" s="458"/>
      <c r="AD70" s="459"/>
      <c r="AE70" s="61">
        <f>F69+K69+P69+U69+Z69</f>
        <v>3668</v>
      </c>
      <c r="AF70" s="61">
        <f>G70+L70+Q70+V69+AA69</f>
        <v>137112</v>
      </c>
      <c r="AG70" s="61">
        <f>H70+M70+R70+W70+AB70</f>
        <v>0</v>
      </c>
      <c r="AH70" s="61">
        <f>I70+N70+S70+X70+AC70</f>
        <v>0</v>
      </c>
    </row>
    <row r="71" spans="1:16384" s="67" customFormat="1" ht="42" customHeight="1" x14ac:dyDescent="0.25">
      <c r="A71" s="450" t="s">
        <v>176</v>
      </c>
      <c r="B71" s="450"/>
      <c r="C71" s="450"/>
      <c r="D71" s="12"/>
      <c r="E71" s="49">
        <f>SUM(E62:E70)</f>
        <v>345392</v>
      </c>
      <c r="F71" s="49">
        <f>SUM(F62:F70)</f>
        <v>241256</v>
      </c>
      <c r="G71" s="49">
        <f>SUM(G62:G70)</f>
        <v>104024</v>
      </c>
      <c r="H71" s="273">
        <f>SUM(H62:H70)</f>
        <v>0</v>
      </c>
      <c r="I71" s="273">
        <f>SUM(I62:I70)</f>
        <v>112</v>
      </c>
      <c r="J71" s="273">
        <f>SUM(J62:J69)</f>
        <v>317340</v>
      </c>
      <c r="K71" s="273">
        <f>SUM(K62:K69)</f>
        <v>241922</v>
      </c>
      <c r="L71" s="273">
        <f>SUM(L62:L70)</f>
        <v>75306</v>
      </c>
      <c r="M71" s="273">
        <f>SUM(M62:M70)</f>
        <v>0</v>
      </c>
      <c r="N71" s="273">
        <f>SUM(N62:N70)</f>
        <v>112</v>
      </c>
      <c r="O71" s="273">
        <f>SUM(O62:O69)</f>
        <v>317340</v>
      </c>
      <c r="P71" s="273">
        <f>SUM(P62:P69)</f>
        <v>241922</v>
      </c>
      <c r="Q71" s="273">
        <f>SUM(Q62:Q70)</f>
        <v>75306</v>
      </c>
      <c r="R71" s="49">
        <f>SUM(R62:R70)</f>
        <v>0</v>
      </c>
      <c r="S71" s="49">
        <f>SUM(S62:S70)</f>
        <v>112</v>
      </c>
      <c r="T71" s="49">
        <f>SUM(T62:T69)</f>
        <v>316784</v>
      </c>
      <c r="U71" s="49">
        <f>SUM(U62:U69)</f>
        <v>241916</v>
      </c>
      <c r="V71" s="49">
        <f>SUM(V62:V69)</f>
        <v>74756</v>
      </c>
      <c r="W71" s="49">
        <f>SUM(W62:W70)</f>
        <v>0</v>
      </c>
      <c r="X71" s="49">
        <f>SUM(X62:X70)</f>
        <v>112</v>
      </c>
      <c r="Y71" s="49">
        <f>SUM(Y62:Y69)</f>
        <v>304259</v>
      </c>
      <c r="Z71" s="49">
        <f>SUM(Z62:Z69)</f>
        <v>241791</v>
      </c>
      <c r="AA71" s="49">
        <f>SUM(AA62:AA69)</f>
        <v>62356</v>
      </c>
      <c r="AB71" s="49">
        <f>SUM(AB62:AB70)</f>
        <v>0</v>
      </c>
      <c r="AC71" s="49">
        <f>SUM(AC62:AC70)</f>
        <v>112</v>
      </c>
      <c r="AD71" s="49">
        <f>SUM(AD62:AD69)</f>
        <v>1601115</v>
      </c>
      <c r="AE71" s="61">
        <f>F71+K71+P71+U71+Z71</f>
        <v>1208807</v>
      </c>
      <c r="AF71" s="61">
        <f>G71+L71+Q71+V71+AA71</f>
        <v>391748</v>
      </c>
      <c r="AG71" s="61">
        <f>H71+M71+R71+W71+AB71</f>
        <v>0</v>
      </c>
      <c r="AH71" s="61">
        <f>I71+N71+S71+X71+AC71</f>
        <v>560</v>
      </c>
    </row>
    <row r="72" spans="1:16384" s="68" customFormat="1" ht="42" customHeight="1" x14ac:dyDescent="0.25">
      <c r="A72" s="450" t="s">
        <v>789</v>
      </c>
      <c r="B72" s="450"/>
      <c r="C72" s="450"/>
      <c r="D72" s="20"/>
      <c r="E72" s="49">
        <f>E30+E71+E45+E57</f>
        <v>2385788</v>
      </c>
      <c r="F72" s="49">
        <f t="shared" ref="F72:AH72" si="24">F30+F71+F45+F57</f>
        <v>805751</v>
      </c>
      <c r="G72" s="49">
        <f t="shared" si="24"/>
        <v>1453132</v>
      </c>
      <c r="H72" s="273">
        <f t="shared" si="24"/>
        <v>126793</v>
      </c>
      <c r="I72" s="273">
        <f t="shared" si="24"/>
        <v>112</v>
      </c>
      <c r="J72" s="273">
        <f t="shared" si="24"/>
        <v>1766906</v>
      </c>
      <c r="K72" s="273">
        <f t="shared" si="24"/>
        <v>938827</v>
      </c>
      <c r="L72" s="273">
        <f t="shared" si="24"/>
        <v>789723.99999999988</v>
      </c>
      <c r="M72" s="273">
        <f t="shared" si="24"/>
        <v>38243</v>
      </c>
      <c r="N72" s="273">
        <f t="shared" si="24"/>
        <v>112</v>
      </c>
      <c r="O72" s="273">
        <f t="shared" si="24"/>
        <v>1706211</v>
      </c>
      <c r="P72" s="273">
        <f t="shared" si="24"/>
        <v>930793</v>
      </c>
      <c r="Q72" s="273">
        <f t="shared" si="24"/>
        <v>775306</v>
      </c>
      <c r="R72" s="49">
        <f t="shared" si="24"/>
        <v>0</v>
      </c>
      <c r="S72" s="49">
        <f t="shared" si="24"/>
        <v>112</v>
      </c>
      <c r="T72" s="49">
        <f t="shared" si="24"/>
        <v>3922425</v>
      </c>
      <c r="U72" s="49">
        <f t="shared" si="24"/>
        <v>1096954</v>
      </c>
      <c r="V72" s="49">
        <f t="shared" si="24"/>
        <v>2825359</v>
      </c>
      <c r="W72" s="49">
        <f t="shared" si="24"/>
        <v>0</v>
      </c>
      <c r="X72" s="49">
        <f t="shared" si="24"/>
        <v>112</v>
      </c>
      <c r="Y72" s="49">
        <f t="shared" si="24"/>
        <v>3336539</v>
      </c>
      <c r="Z72" s="49">
        <f t="shared" si="24"/>
        <v>955002</v>
      </c>
      <c r="AA72" s="49">
        <f t="shared" si="24"/>
        <v>2381425</v>
      </c>
      <c r="AB72" s="49">
        <f t="shared" si="24"/>
        <v>0</v>
      </c>
      <c r="AC72" s="49">
        <f t="shared" si="24"/>
        <v>112</v>
      </c>
      <c r="AD72" s="49">
        <f t="shared" si="24"/>
        <v>13117869</v>
      </c>
      <c r="AE72" s="61">
        <f t="shared" si="24"/>
        <v>4727327</v>
      </c>
      <c r="AF72" s="61">
        <f t="shared" si="24"/>
        <v>8224946</v>
      </c>
      <c r="AG72" s="61">
        <f t="shared" si="24"/>
        <v>165036</v>
      </c>
      <c r="AH72" s="61">
        <f t="shared" si="24"/>
        <v>560</v>
      </c>
    </row>
    <row r="73" spans="1:16384" ht="42" customHeight="1" x14ac:dyDescent="0.2">
      <c r="E73" s="164"/>
      <c r="M73" s="82"/>
      <c r="N73" s="82"/>
      <c r="O73" s="83"/>
      <c r="P73" s="82"/>
      <c r="Q73" s="82"/>
    </row>
    <row r="74" spans="1:16384" ht="42" customHeight="1" x14ac:dyDescent="0.2">
      <c r="C74" s="448" t="s">
        <v>1387</v>
      </c>
      <c r="E74" s="205">
        <v>172475</v>
      </c>
      <c r="F74" s="49">
        <v>172475</v>
      </c>
      <c r="G74" s="49">
        <v>0</v>
      </c>
      <c r="H74" s="49">
        <v>0</v>
      </c>
      <c r="I74" s="49">
        <v>0</v>
      </c>
      <c r="J74" s="49">
        <v>98858</v>
      </c>
      <c r="K74" s="49">
        <v>98858</v>
      </c>
      <c r="L74" s="49">
        <v>0</v>
      </c>
      <c r="M74" s="49">
        <v>0</v>
      </c>
      <c r="N74" s="49">
        <v>0</v>
      </c>
      <c r="O74" s="49">
        <v>98858</v>
      </c>
      <c r="P74" s="49">
        <v>98858</v>
      </c>
      <c r="Q74" s="49">
        <v>0</v>
      </c>
      <c r="R74" s="49">
        <v>0</v>
      </c>
      <c r="S74" s="49">
        <v>0</v>
      </c>
      <c r="T74" s="49">
        <v>68359</v>
      </c>
      <c r="U74" s="49">
        <v>68359</v>
      </c>
      <c r="V74" s="49">
        <v>0</v>
      </c>
      <c r="W74" s="49">
        <v>0</v>
      </c>
      <c r="X74" s="49">
        <v>0</v>
      </c>
      <c r="Y74" s="49">
        <v>68359</v>
      </c>
      <c r="Z74" s="49">
        <v>68359</v>
      </c>
      <c r="AA74" s="49">
        <v>0</v>
      </c>
      <c r="AB74" s="49">
        <v>0</v>
      </c>
      <c r="AC74" s="49">
        <v>0</v>
      </c>
      <c r="AD74" s="49">
        <v>506909</v>
      </c>
      <c r="AE74" s="80">
        <f t="shared" ref="AE74:AE81" si="25">F74+K74+P74+U74+Z74</f>
        <v>506909</v>
      </c>
      <c r="AF74" s="80">
        <f t="shared" ref="AF74:AF81" si="26">G74+L74+Q74+V74+AA74</f>
        <v>0</v>
      </c>
      <c r="AG74" s="80">
        <f t="shared" ref="AG74:AG81" si="27">H74+M74+R74+W74+AB74</f>
        <v>0</v>
      </c>
      <c r="AH74" s="163">
        <f t="shared" ref="AH74:AH81" si="28">I74+N74+S74+X74+AC74</f>
        <v>0</v>
      </c>
    </row>
    <row r="75" spans="1:16384" ht="42" customHeight="1" x14ac:dyDescent="0.2">
      <c r="C75" s="448"/>
      <c r="E75" s="49">
        <f>E30-E74</f>
        <v>553</v>
      </c>
      <c r="F75" s="49">
        <f t="shared" ref="F75:AD75" si="29">F30-F74</f>
        <v>553</v>
      </c>
      <c r="G75" s="49">
        <f t="shared" si="29"/>
        <v>0</v>
      </c>
      <c r="H75" s="49">
        <f t="shared" si="29"/>
        <v>0</v>
      </c>
      <c r="I75" s="49">
        <f t="shared" si="29"/>
        <v>0</v>
      </c>
      <c r="J75" s="49">
        <f t="shared" si="29"/>
        <v>0</v>
      </c>
      <c r="K75" s="49">
        <f t="shared" si="29"/>
        <v>0</v>
      </c>
      <c r="L75" s="49">
        <f t="shared" si="29"/>
        <v>0</v>
      </c>
      <c r="M75" s="49">
        <f t="shared" si="29"/>
        <v>0</v>
      </c>
      <c r="N75" s="49">
        <f t="shared" si="29"/>
        <v>0</v>
      </c>
      <c r="O75" s="49">
        <f t="shared" si="29"/>
        <v>0</v>
      </c>
      <c r="P75" s="49">
        <f t="shared" si="29"/>
        <v>0</v>
      </c>
      <c r="Q75" s="49">
        <f t="shared" si="29"/>
        <v>0</v>
      </c>
      <c r="R75" s="49">
        <f t="shared" si="29"/>
        <v>0</v>
      </c>
      <c r="S75" s="49">
        <f t="shared" si="29"/>
        <v>0</v>
      </c>
      <c r="T75" s="49">
        <f t="shared" si="29"/>
        <v>0</v>
      </c>
      <c r="U75" s="49">
        <f t="shared" si="29"/>
        <v>0</v>
      </c>
      <c r="V75" s="49">
        <f t="shared" si="29"/>
        <v>0</v>
      </c>
      <c r="W75" s="49">
        <f t="shared" si="29"/>
        <v>0</v>
      </c>
      <c r="X75" s="49">
        <f t="shared" si="29"/>
        <v>0</v>
      </c>
      <c r="Y75" s="49">
        <f t="shared" si="29"/>
        <v>0</v>
      </c>
      <c r="Z75" s="49">
        <f t="shared" si="29"/>
        <v>0</v>
      </c>
      <c r="AA75" s="49">
        <f t="shared" si="29"/>
        <v>0</v>
      </c>
      <c r="AB75" s="49">
        <f t="shared" si="29"/>
        <v>0</v>
      </c>
      <c r="AC75" s="49">
        <f t="shared" si="29"/>
        <v>0</v>
      </c>
      <c r="AD75" s="49">
        <f t="shared" si="29"/>
        <v>553</v>
      </c>
      <c r="AE75" s="80">
        <f t="shared" si="25"/>
        <v>553</v>
      </c>
      <c r="AF75" s="80">
        <f t="shared" si="26"/>
        <v>0</v>
      </c>
      <c r="AG75" s="80">
        <f t="shared" si="27"/>
        <v>0</v>
      </c>
      <c r="AH75" s="163">
        <f t="shared" si="28"/>
        <v>0</v>
      </c>
    </row>
    <row r="76" spans="1:16384" ht="42" customHeight="1" x14ac:dyDescent="0.2">
      <c r="C76" s="448" t="s">
        <v>1388</v>
      </c>
      <c r="E76" s="49">
        <v>1479778</v>
      </c>
      <c r="F76" s="49">
        <v>103538</v>
      </c>
      <c r="G76" s="49">
        <v>1249447</v>
      </c>
      <c r="H76" s="49">
        <v>126793</v>
      </c>
      <c r="I76" s="49">
        <v>0</v>
      </c>
      <c r="J76" s="49">
        <v>886241</v>
      </c>
      <c r="K76" s="49">
        <v>133580</v>
      </c>
      <c r="L76" s="49">
        <v>714418</v>
      </c>
      <c r="M76" s="49">
        <v>38243</v>
      </c>
      <c r="N76" s="49">
        <v>0</v>
      </c>
      <c r="O76" s="49">
        <v>832699</v>
      </c>
      <c r="P76" s="49">
        <v>132699</v>
      </c>
      <c r="Q76" s="49">
        <v>700000</v>
      </c>
      <c r="R76" s="49">
        <v>0</v>
      </c>
      <c r="S76" s="49">
        <v>0</v>
      </c>
      <c r="T76" s="49">
        <v>3082707</v>
      </c>
      <c r="U76" s="49">
        <v>345627</v>
      </c>
      <c r="V76" s="49">
        <v>2737080</v>
      </c>
      <c r="W76" s="49">
        <v>0</v>
      </c>
      <c r="X76" s="49">
        <v>0</v>
      </c>
      <c r="Y76" s="49">
        <v>2507975</v>
      </c>
      <c r="Z76" s="49">
        <v>188906</v>
      </c>
      <c r="AA76" s="49">
        <v>2319069</v>
      </c>
      <c r="AB76" s="49">
        <v>0</v>
      </c>
      <c r="AC76" s="49">
        <v>0</v>
      </c>
      <c r="AD76" s="49">
        <v>8789400</v>
      </c>
      <c r="AE76" s="80">
        <f t="shared" si="25"/>
        <v>904350</v>
      </c>
      <c r="AF76" s="80">
        <f t="shared" si="26"/>
        <v>7720014</v>
      </c>
      <c r="AG76" s="80">
        <f t="shared" si="27"/>
        <v>165036</v>
      </c>
      <c r="AH76" s="163">
        <f t="shared" si="28"/>
        <v>0</v>
      </c>
    </row>
    <row r="77" spans="1:16384" ht="42" customHeight="1" x14ac:dyDescent="0.2">
      <c r="C77" s="448"/>
      <c r="E77" s="49">
        <f>E45-E76</f>
        <v>105638</v>
      </c>
      <c r="F77" s="49">
        <f t="shared" ref="F77:AD77" si="30">F45-F76</f>
        <v>5977</v>
      </c>
      <c r="G77" s="49">
        <f t="shared" si="30"/>
        <v>99661</v>
      </c>
      <c r="H77" s="49">
        <f t="shared" si="30"/>
        <v>0</v>
      </c>
      <c r="I77" s="49">
        <f t="shared" si="30"/>
        <v>0</v>
      </c>
      <c r="J77" s="49">
        <f t="shared" si="30"/>
        <v>0</v>
      </c>
      <c r="K77" s="49">
        <f t="shared" si="30"/>
        <v>0</v>
      </c>
      <c r="L77" s="49">
        <f t="shared" si="30"/>
        <v>0</v>
      </c>
      <c r="M77" s="49">
        <f t="shared" si="30"/>
        <v>0</v>
      </c>
      <c r="N77" s="49">
        <f t="shared" si="30"/>
        <v>0</v>
      </c>
      <c r="O77" s="49">
        <f t="shared" si="30"/>
        <v>0</v>
      </c>
      <c r="P77" s="49">
        <f t="shared" si="30"/>
        <v>0</v>
      </c>
      <c r="Q77" s="49">
        <f t="shared" si="30"/>
        <v>0</v>
      </c>
      <c r="R77" s="49">
        <f t="shared" si="30"/>
        <v>0</v>
      </c>
      <c r="S77" s="49">
        <f t="shared" si="30"/>
        <v>0</v>
      </c>
      <c r="T77" s="49">
        <f t="shared" si="30"/>
        <v>16165</v>
      </c>
      <c r="U77" s="49">
        <f t="shared" si="30"/>
        <v>2642</v>
      </c>
      <c r="V77" s="49">
        <f t="shared" si="30"/>
        <v>13523</v>
      </c>
      <c r="W77" s="49">
        <f t="shared" si="30"/>
        <v>0</v>
      </c>
      <c r="X77" s="49">
        <f t="shared" si="30"/>
        <v>0</v>
      </c>
      <c r="Y77" s="49">
        <f t="shared" si="30"/>
        <v>0</v>
      </c>
      <c r="Z77" s="49">
        <f t="shared" si="30"/>
        <v>0</v>
      </c>
      <c r="AA77" s="49">
        <f t="shared" si="30"/>
        <v>0</v>
      </c>
      <c r="AB77" s="49">
        <f t="shared" si="30"/>
        <v>0</v>
      </c>
      <c r="AC77" s="49">
        <f t="shared" si="30"/>
        <v>0</v>
      </c>
      <c r="AD77" s="49">
        <f t="shared" si="30"/>
        <v>121803</v>
      </c>
      <c r="AE77" s="80">
        <f t="shared" si="25"/>
        <v>8619</v>
      </c>
      <c r="AF77" s="80">
        <f t="shared" si="26"/>
        <v>113184</v>
      </c>
      <c r="AG77" s="80">
        <f t="shared" si="27"/>
        <v>0</v>
      </c>
      <c r="AH77" s="163">
        <f t="shared" si="28"/>
        <v>0</v>
      </c>
    </row>
    <row r="78" spans="1:16384" ht="42" customHeight="1" x14ac:dyDescent="0.2">
      <c r="C78" s="206" t="s">
        <v>1389</v>
      </c>
      <c r="E78" s="49">
        <v>305611</v>
      </c>
      <c r="F78" s="49">
        <v>305611</v>
      </c>
      <c r="G78" s="49">
        <v>0</v>
      </c>
      <c r="H78" s="49">
        <v>0</v>
      </c>
      <c r="I78" s="49">
        <v>0</v>
      </c>
      <c r="J78" s="49">
        <v>421548</v>
      </c>
      <c r="K78" s="49">
        <v>421548</v>
      </c>
      <c r="L78" s="49">
        <v>0</v>
      </c>
      <c r="M78" s="49">
        <v>0</v>
      </c>
      <c r="N78" s="49">
        <v>0</v>
      </c>
      <c r="O78" s="49">
        <v>421548</v>
      </c>
      <c r="P78" s="49">
        <v>421548</v>
      </c>
      <c r="Q78" s="49">
        <v>0</v>
      </c>
      <c r="R78" s="49">
        <v>0</v>
      </c>
      <c r="S78" s="49">
        <v>0</v>
      </c>
      <c r="T78" s="49">
        <v>438410</v>
      </c>
      <c r="U78" s="49">
        <v>438410</v>
      </c>
      <c r="V78" s="49">
        <v>0</v>
      </c>
      <c r="W78" s="49">
        <v>0</v>
      </c>
      <c r="X78" s="49">
        <v>0</v>
      </c>
      <c r="Y78" s="49">
        <v>455946</v>
      </c>
      <c r="Z78" s="49">
        <v>455946</v>
      </c>
      <c r="AA78" s="49">
        <v>0</v>
      </c>
      <c r="AB78" s="49">
        <v>0</v>
      </c>
      <c r="AC78" s="49">
        <v>0</v>
      </c>
      <c r="AD78" s="49">
        <v>2043063</v>
      </c>
      <c r="AE78" s="80">
        <f t="shared" si="25"/>
        <v>2043063</v>
      </c>
      <c r="AF78" s="80">
        <f t="shared" si="26"/>
        <v>0</v>
      </c>
      <c r="AG78" s="80">
        <f t="shared" si="27"/>
        <v>0</v>
      </c>
      <c r="AH78" s="163">
        <f t="shared" si="28"/>
        <v>0</v>
      </c>
    </row>
    <row r="79" spans="1:16384" ht="42" customHeight="1" x14ac:dyDescent="0.2">
      <c r="C79" s="206"/>
      <c r="E79" s="49">
        <f>E57-E78</f>
        <v>-23659</v>
      </c>
      <c r="F79" s="49">
        <f t="shared" ref="F79:AD79" si="31">F57-F78</f>
        <v>-23659</v>
      </c>
      <c r="G79" s="49">
        <f t="shared" si="31"/>
        <v>0</v>
      </c>
      <c r="H79" s="49">
        <f t="shared" si="31"/>
        <v>0</v>
      </c>
      <c r="I79" s="49">
        <f t="shared" si="31"/>
        <v>0</v>
      </c>
      <c r="J79" s="49">
        <f t="shared" si="31"/>
        <v>42919</v>
      </c>
      <c r="K79" s="49">
        <f t="shared" si="31"/>
        <v>42919</v>
      </c>
      <c r="L79" s="49">
        <f t="shared" si="31"/>
        <v>0</v>
      </c>
      <c r="M79" s="49">
        <f t="shared" si="31"/>
        <v>0</v>
      </c>
      <c r="N79" s="49">
        <f t="shared" si="31"/>
        <v>0</v>
      </c>
      <c r="O79" s="49">
        <f t="shared" si="31"/>
        <v>35766</v>
      </c>
      <c r="P79" s="49">
        <f t="shared" si="31"/>
        <v>35766</v>
      </c>
      <c r="Q79" s="49">
        <f t="shared" si="31"/>
        <v>0</v>
      </c>
      <c r="R79" s="49">
        <f t="shared" si="31"/>
        <v>0</v>
      </c>
      <c r="S79" s="49">
        <f t="shared" si="31"/>
        <v>0</v>
      </c>
      <c r="T79" s="49">
        <f t="shared" si="31"/>
        <v>0</v>
      </c>
      <c r="U79" s="49">
        <f t="shared" si="31"/>
        <v>0</v>
      </c>
      <c r="V79" s="49">
        <f t="shared" si="31"/>
        <v>0</v>
      </c>
      <c r="W79" s="49">
        <f t="shared" si="31"/>
        <v>0</v>
      </c>
      <c r="X79" s="49">
        <f t="shared" si="31"/>
        <v>0</v>
      </c>
      <c r="Y79" s="49">
        <f t="shared" si="31"/>
        <v>0</v>
      </c>
      <c r="Z79" s="49">
        <f t="shared" si="31"/>
        <v>0</v>
      </c>
      <c r="AA79" s="49">
        <f t="shared" si="31"/>
        <v>0</v>
      </c>
      <c r="AB79" s="49">
        <f t="shared" si="31"/>
        <v>0</v>
      </c>
      <c r="AC79" s="49">
        <f t="shared" si="31"/>
        <v>0</v>
      </c>
      <c r="AD79" s="49">
        <f t="shared" si="31"/>
        <v>55026</v>
      </c>
      <c r="AE79" s="80">
        <f t="shared" si="25"/>
        <v>55026</v>
      </c>
      <c r="AF79" s="80">
        <f t="shared" si="26"/>
        <v>0</v>
      </c>
      <c r="AG79" s="80">
        <f t="shared" si="27"/>
        <v>0</v>
      </c>
      <c r="AH79" s="163">
        <f t="shared" si="28"/>
        <v>0</v>
      </c>
    </row>
    <row r="80" spans="1:16384" ht="42" customHeight="1" x14ac:dyDescent="0.2">
      <c r="C80" s="206" t="s">
        <v>1390</v>
      </c>
      <c r="E80" s="162">
        <v>316674</v>
      </c>
      <c r="F80" s="162">
        <v>241256</v>
      </c>
      <c r="G80" s="162">
        <v>75306</v>
      </c>
      <c r="H80" s="162">
        <v>0</v>
      </c>
      <c r="I80" s="162">
        <v>112</v>
      </c>
      <c r="J80" s="162">
        <v>317340</v>
      </c>
      <c r="K80" s="162">
        <v>241922</v>
      </c>
      <c r="L80" s="162">
        <v>75306</v>
      </c>
      <c r="M80" s="162">
        <v>0</v>
      </c>
      <c r="N80" s="162">
        <v>112</v>
      </c>
      <c r="O80" s="162">
        <v>317340</v>
      </c>
      <c r="P80" s="162">
        <v>241922</v>
      </c>
      <c r="Q80" s="162">
        <v>75306</v>
      </c>
      <c r="R80" s="162">
        <v>0</v>
      </c>
      <c r="S80" s="162">
        <v>112</v>
      </c>
      <c r="T80" s="162">
        <v>316784</v>
      </c>
      <c r="U80" s="162">
        <v>241916</v>
      </c>
      <c r="V80" s="162">
        <v>74756</v>
      </c>
      <c r="W80" s="162">
        <v>0</v>
      </c>
      <c r="X80" s="162">
        <v>112</v>
      </c>
      <c r="Y80" s="162">
        <v>304259</v>
      </c>
      <c r="Z80" s="162">
        <v>241791</v>
      </c>
      <c r="AA80" s="162">
        <v>62356</v>
      </c>
      <c r="AB80" s="162">
        <v>0</v>
      </c>
      <c r="AC80" s="162">
        <v>112</v>
      </c>
      <c r="AD80" s="162">
        <v>1572397</v>
      </c>
      <c r="AE80" s="80">
        <f t="shared" si="25"/>
        <v>1208807</v>
      </c>
      <c r="AF80" s="80">
        <f t="shared" si="26"/>
        <v>363030</v>
      </c>
      <c r="AG80" s="80">
        <f t="shared" si="27"/>
        <v>0</v>
      </c>
      <c r="AH80" s="163">
        <f t="shared" si="28"/>
        <v>560</v>
      </c>
    </row>
    <row r="81" spans="5:34" ht="42" customHeight="1" x14ac:dyDescent="0.2">
      <c r="E81" s="162">
        <f>E71-E80</f>
        <v>28718</v>
      </c>
      <c r="F81" s="162">
        <f t="shared" ref="F81:AD81" si="32">F71-F80</f>
        <v>0</v>
      </c>
      <c r="G81" s="162">
        <f t="shared" si="32"/>
        <v>28718</v>
      </c>
      <c r="H81" s="162">
        <f t="shared" si="32"/>
        <v>0</v>
      </c>
      <c r="I81" s="162">
        <f t="shared" si="32"/>
        <v>0</v>
      </c>
      <c r="J81" s="162">
        <f t="shared" si="32"/>
        <v>0</v>
      </c>
      <c r="K81" s="162">
        <f t="shared" si="32"/>
        <v>0</v>
      </c>
      <c r="L81" s="162">
        <f t="shared" si="32"/>
        <v>0</v>
      </c>
      <c r="M81" s="162">
        <f t="shared" si="32"/>
        <v>0</v>
      </c>
      <c r="N81" s="162">
        <f t="shared" si="32"/>
        <v>0</v>
      </c>
      <c r="O81" s="162">
        <f t="shared" si="32"/>
        <v>0</v>
      </c>
      <c r="P81" s="162">
        <f t="shared" si="32"/>
        <v>0</v>
      </c>
      <c r="Q81" s="162">
        <f t="shared" si="32"/>
        <v>0</v>
      </c>
      <c r="R81" s="162">
        <f t="shared" si="32"/>
        <v>0</v>
      </c>
      <c r="S81" s="162">
        <f t="shared" si="32"/>
        <v>0</v>
      </c>
      <c r="T81" s="162">
        <f t="shared" si="32"/>
        <v>0</v>
      </c>
      <c r="U81" s="162">
        <f t="shared" si="32"/>
        <v>0</v>
      </c>
      <c r="V81" s="162">
        <f t="shared" si="32"/>
        <v>0</v>
      </c>
      <c r="W81" s="162">
        <f t="shared" si="32"/>
        <v>0</v>
      </c>
      <c r="X81" s="162">
        <f t="shared" si="32"/>
        <v>0</v>
      </c>
      <c r="Y81" s="162">
        <f t="shared" si="32"/>
        <v>0</v>
      </c>
      <c r="Z81" s="162">
        <f t="shared" si="32"/>
        <v>0</v>
      </c>
      <c r="AA81" s="162">
        <f t="shared" si="32"/>
        <v>0</v>
      </c>
      <c r="AB81" s="162">
        <f t="shared" si="32"/>
        <v>0</v>
      </c>
      <c r="AC81" s="162">
        <f t="shared" si="32"/>
        <v>0</v>
      </c>
      <c r="AD81" s="162">
        <f t="shared" si="32"/>
        <v>28718</v>
      </c>
      <c r="AE81" s="80">
        <f t="shared" si="25"/>
        <v>0</v>
      </c>
      <c r="AF81" s="80">
        <f t="shared" si="26"/>
        <v>28718</v>
      </c>
      <c r="AG81" s="80">
        <f t="shared" si="27"/>
        <v>0</v>
      </c>
      <c r="AH81" s="163">
        <f t="shared" si="28"/>
        <v>0</v>
      </c>
    </row>
    <row r="82" spans="5:34" ht="42" customHeight="1" x14ac:dyDescent="0.2">
      <c r="E82" s="80">
        <v>2274538</v>
      </c>
      <c r="F82" s="80">
        <v>822880</v>
      </c>
      <c r="G82" s="80">
        <v>1324753</v>
      </c>
      <c r="H82" s="80">
        <v>126793</v>
      </c>
      <c r="I82" s="80">
        <v>112</v>
      </c>
      <c r="J82" s="80">
        <v>1723987</v>
      </c>
      <c r="K82" s="80">
        <v>895908</v>
      </c>
      <c r="L82" s="80">
        <v>789724</v>
      </c>
      <c r="M82" s="80">
        <v>38243</v>
      </c>
      <c r="N82" s="80">
        <v>112</v>
      </c>
      <c r="O82" s="80">
        <v>1670445</v>
      </c>
      <c r="P82" s="80">
        <v>895027</v>
      </c>
      <c r="Q82" s="80">
        <v>775306</v>
      </c>
      <c r="R82" s="80">
        <v>0</v>
      </c>
      <c r="S82" s="80">
        <v>112</v>
      </c>
      <c r="T82" s="80">
        <v>3906260</v>
      </c>
      <c r="U82" s="80">
        <v>1094312</v>
      </c>
      <c r="V82" s="80">
        <v>2811836</v>
      </c>
      <c r="W82" s="80">
        <v>0</v>
      </c>
      <c r="X82" s="80">
        <v>112</v>
      </c>
      <c r="Y82" s="80">
        <v>3336539</v>
      </c>
      <c r="Z82" s="80">
        <v>955002</v>
      </c>
      <c r="AA82" s="80">
        <v>2381425</v>
      </c>
      <c r="AB82" s="80">
        <v>0</v>
      </c>
      <c r="AC82" s="80">
        <v>112</v>
      </c>
      <c r="AD82" s="80">
        <v>12911769</v>
      </c>
      <c r="AE82" s="80">
        <f t="shared" ref="AE82" si="33">F82+K82+P82+U82+Z82</f>
        <v>4663129</v>
      </c>
      <c r="AF82" s="80">
        <f t="shared" ref="AF82" si="34">G82+L82+Q82+V82+AA82</f>
        <v>8083044</v>
      </c>
      <c r="AG82" s="80">
        <f t="shared" ref="AG82" si="35">H82+M82+R82+W82+AB82</f>
        <v>165036</v>
      </c>
      <c r="AH82" s="163">
        <f t="shared" ref="AH82" si="36">I82+N82+S82+X82+AC82</f>
        <v>560</v>
      </c>
    </row>
    <row r="83" spans="5:34" ht="42" customHeight="1" x14ac:dyDescent="0.2">
      <c r="E83" s="80">
        <f>E72-E82</f>
        <v>111250</v>
      </c>
      <c r="F83" s="80">
        <f t="shared" ref="F83:AD83" si="37">F72-F82</f>
        <v>-17129</v>
      </c>
      <c r="G83" s="80">
        <f t="shared" si="37"/>
        <v>128379</v>
      </c>
      <c r="H83" s="80">
        <f t="shared" si="37"/>
        <v>0</v>
      </c>
      <c r="I83" s="80">
        <f t="shared" si="37"/>
        <v>0</v>
      </c>
      <c r="J83" s="80">
        <f t="shared" si="37"/>
        <v>42919</v>
      </c>
      <c r="K83" s="80">
        <f t="shared" si="37"/>
        <v>42919</v>
      </c>
      <c r="L83" s="80">
        <f t="shared" si="37"/>
        <v>0</v>
      </c>
      <c r="M83" s="80">
        <f t="shared" si="37"/>
        <v>0</v>
      </c>
      <c r="N83" s="80">
        <f t="shared" si="37"/>
        <v>0</v>
      </c>
      <c r="O83" s="80">
        <f t="shared" si="37"/>
        <v>35766</v>
      </c>
      <c r="P83" s="80">
        <f t="shared" si="37"/>
        <v>35766</v>
      </c>
      <c r="Q83" s="80">
        <f t="shared" si="37"/>
        <v>0</v>
      </c>
      <c r="R83" s="80">
        <f t="shared" si="37"/>
        <v>0</v>
      </c>
      <c r="S83" s="80">
        <f t="shared" si="37"/>
        <v>0</v>
      </c>
      <c r="T83" s="80">
        <f t="shared" si="37"/>
        <v>16165</v>
      </c>
      <c r="U83" s="80">
        <f t="shared" si="37"/>
        <v>2642</v>
      </c>
      <c r="V83" s="80">
        <f t="shared" si="37"/>
        <v>13523</v>
      </c>
      <c r="W83" s="80">
        <f t="shared" si="37"/>
        <v>0</v>
      </c>
      <c r="X83" s="80">
        <f t="shared" si="37"/>
        <v>0</v>
      </c>
      <c r="Y83" s="80">
        <f t="shared" si="37"/>
        <v>0</v>
      </c>
      <c r="Z83" s="80">
        <f t="shared" si="37"/>
        <v>0</v>
      </c>
      <c r="AA83" s="80">
        <f t="shared" si="37"/>
        <v>0</v>
      </c>
      <c r="AB83" s="80">
        <f t="shared" si="37"/>
        <v>0</v>
      </c>
      <c r="AC83" s="80">
        <f t="shared" si="37"/>
        <v>0</v>
      </c>
      <c r="AD83" s="80">
        <f t="shared" si="37"/>
        <v>206100</v>
      </c>
      <c r="AE83" s="80">
        <f t="shared" ref="AE83" si="38">AE72-AE82</f>
        <v>64198</v>
      </c>
      <c r="AF83" s="80">
        <f t="shared" ref="AF83" si="39">AF72-AF82</f>
        <v>141902</v>
      </c>
      <c r="AG83" s="80">
        <f t="shared" ref="AG83" si="40">AG72-AG82</f>
        <v>0</v>
      </c>
      <c r="AH83" s="80">
        <f t="shared" ref="AH83" si="41">AH72-AH82</f>
        <v>0</v>
      </c>
    </row>
  </sheetData>
  <mergeCells count="625">
    <mergeCell ref="I69:I70"/>
    <mergeCell ref="J69:J70"/>
    <mergeCell ref="K69:K70"/>
    <mergeCell ref="T69:T70"/>
    <mergeCell ref="U69:U70"/>
    <mergeCell ref="V69:V70"/>
    <mergeCell ref="G69:G70"/>
    <mergeCell ref="Y69:Y70"/>
    <mergeCell ref="Z69:Z70"/>
    <mergeCell ref="H69:H70"/>
    <mergeCell ref="X69:X70"/>
    <mergeCell ref="AA69:AA70"/>
    <mergeCell ref="N69:N70"/>
    <mergeCell ref="O69:O70"/>
    <mergeCell ref="P69:P70"/>
    <mergeCell ref="Q69:Q70"/>
    <mergeCell ref="R69:R70"/>
    <mergeCell ref="S69:S70"/>
    <mergeCell ref="XFA68:XFD68"/>
    <mergeCell ref="WZG68:XAJ68"/>
    <mergeCell ref="XAK68:XBN68"/>
    <mergeCell ref="XBO68:XCR68"/>
    <mergeCell ref="XCS68:XDV68"/>
    <mergeCell ref="XDW68:XEZ68"/>
    <mergeCell ref="WTM68:WUP68"/>
    <mergeCell ref="WUQ68:WVT68"/>
    <mergeCell ref="WVU68:WWX68"/>
    <mergeCell ref="WWY68:WYB68"/>
    <mergeCell ref="WYC68:WZF68"/>
    <mergeCell ref="WNS68:WOV68"/>
    <mergeCell ref="WOW68:WPZ68"/>
    <mergeCell ref="WQA68:WRD68"/>
    <mergeCell ref="WRE68:WSH68"/>
    <mergeCell ref="WSI68:WTL68"/>
    <mergeCell ref="WHY68:WJB68"/>
    <mergeCell ref="WJC68:WKF68"/>
    <mergeCell ref="WKG68:WLJ68"/>
    <mergeCell ref="WLK68:WMN68"/>
    <mergeCell ref="WMO68:WNR68"/>
    <mergeCell ref="WCE68:WDH68"/>
    <mergeCell ref="WDI68:WEL68"/>
    <mergeCell ref="WEM68:WFP68"/>
    <mergeCell ref="WFQ68:WGT68"/>
    <mergeCell ref="WGU68:WHX68"/>
    <mergeCell ref="VWK68:VXN68"/>
    <mergeCell ref="VXO68:VYR68"/>
    <mergeCell ref="VYS68:VZV68"/>
    <mergeCell ref="VZW68:WAZ68"/>
    <mergeCell ref="WBA68:WCD68"/>
    <mergeCell ref="VQQ68:VRT68"/>
    <mergeCell ref="VRU68:VSX68"/>
    <mergeCell ref="VSY68:VUB68"/>
    <mergeCell ref="VUC68:VVF68"/>
    <mergeCell ref="VVG68:VWJ68"/>
    <mergeCell ref="VKW68:VLZ68"/>
    <mergeCell ref="VMA68:VND68"/>
    <mergeCell ref="VNE68:VOH68"/>
    <mergeCell ref="VOI68:VPL68"/>
    <mergeCell ref="VPM68:VQP68"/>
    <mergeCell ref="VFC68:VGF68"/>
    <mergeCell ref="VGG68:VHJ68"/>
    <mergeCell ref="VHK68:VIN68"/>
    <mergeCell ref="VIO68:VJR68"/>
    <mergeCell ref="VJS68:VKV68"/>
    <mergeCell ref="UZI68:VAL68"/>
    <mergeCell ref="VAM68:VBP68"/>
    <mergeCell ref="VBQ68:VCT68"/>
    <mergeCell ref="VCU68:VDX68"/>
    <mergeCell ref="VDY68:VFB68"/>
    <mergeCell ref="UTO68:UUR68"/>
    <mergeCell ref="UUS68:UVV68"/>
    <mergeCell ref="UVW68:UWZ68"/>
    <mergeCell ref="UXA68:UYD68"/>
    <mergeCell ref="UYE68:UZH68"/>
    <mergeCell ref="UNU68:UOX68"/>
    <mergeCell ref="UOY68:UQB68"/>
    <mergeCell ref="UQC68:URF68"/>
    <mergeCell ref="URG68:USJ68"/>
    <mergeCell ref="USK68:UTN68"/>
    <mergeCell ref="UIA68:UJD68"/>
    <mergeCell ref="UJE68:UKH68"/>
    <mergeCell ref="UKI68:ULL68"/>
    <mergeCell ref="ULM68:UMP68"/>
    <mergeCell ref="UMQ68:UNT68"/>
    <mergeCell ref="UCG68:UDJ68"/>
    <mergeCell ref="UDK68:UEN68"/>
    <mergeCell ref="UEO68:UFR68"/>
    <mergeCell ref="UFS68:UGV68"/>
    <mergeCell ref="UGW68:UHZ68"/>
    <mergeCell ref="TWM68:TXP68"/>
    <mergeCell ref="TXQ68:TYT68"/>
    <mergeCell ref="TYU68:TZX68"/>
    <mergeCell ref="TZY68:UBB68"/>
    <mergeCell ref="UBC68:UCF68"/>
    <mergeCell ref="TQS68:TRV68"/>
    <mergeCell ref="TRW68:TSZ68"/>
    <mergeCell ref="TTA68:TUD68"/>
    <mergeCell ref="TUE68:TVH68"/>
    <mergeCell ref="TVI68:TWL68"/>
    <mergeCell ref="TKY68:TMB68"/>
    <mergeCell ref="TMC68:TNF68"/>
    <mergeCell ref="TNG68:TOJ68"/>
    <mergeCell ref="TOK68:TPN68"/>
    <mergeCell ref="TPO68:TQR68"/>
    <mergeCell ref="TFE68:TGH68"/>
    <mergeCell ref="TGI68:THL68"/>
    <mergeCell ref="THM68:TIP68"/>
    <mergeCell ref="TIQ68:TJT68"/>
    <mergeCell ref="TJU68:TKX68"/>
    <mergeCell ref="SZK68:TAN68"/>
    <mergeCell ref="TAO68:TBR68"/>
    <mergeCell ref="TBS68:TCV68"/>
    <mergeCell ref="TCW68:TDZ68"/>
    <mergeCell ref="TEA68:TFD68"/>
    <mergeCell ref="STQ68:SUT68"/>
    <mergeCell ref="SUU68:SVX68"/>
    <mergeCell ref="SVY68:SXB68"/>
    <mergeCell ref="SXC68:SYF68"/>
    <mergeCell ref="SYG68:SZJ68"/>
    <mergeCell ref="SNW68:SOZ68"/>
    <mergeCell ref="SPA68:SQD68"/>
    <mergeCell ref="SQE68:SRH68"/>
    <mergeCell ref="SRI68:SSL68"/>
    <mergeCell ref="SSM68:STP68"/>
    <mergeCell ref="SIC68:SJF68"/>
    <mergeCell ref="SJG68:SKJ68"/>
    <mergeCell ref="SKK68:SLN68"/>
    <mergeCell ref="SLO68:SMR68"/>
    <mergeCell ref="SMS68:SNV68"/>
    <mergeCell ref="SCI68:SDL68"/>
    <mergeCell ref="SDM68:SEP68"/>
    <mergeCell ref="SEQ68:SFT68"/>
    <mergeCell ref="SFU68:SGX68"/>
    <mergeCell ref="SGY68:SIB68"/>
    <mergeCell ref="RWO68:RXR68"/>
    <mergeCell ref="RXS68:RYV68"/>
    <mergeCell ref="RYW68:RZZ68"/>
    <mergeCell ref="SAA68:SBD68"/>
    <mergeCell ref="SBE68:SCH68"/>
    <mergeCell ref="RQU68:RRX68"/>
    <mergeCell ref="RRY68:RTB68"/>
    <mergeCell ref="RTC68:RUF68"/>
    <mergeCell ref="RUG68:RVJ68"/>
    <mergeCell ref="RVK68:RWN68"/>
    <mergeCell ref="RLA68:RMD68"/>
    <mergeCell ref="RME68:RNH68"/>
    <mergeCell ref="RNI68:ROL68"/>
    <mergeCell ref="ROM68:RPP68"/>
    <mergeCell ref="RPQ68:RQT68"/>
    <mergeCell ref="RFG68:RGJ68"/>
    <mergeCell ref="RGK68:RHN68"/>
    <mergeCell ref="RHO68:RIR68"/>
    <mergeCell ref="RIS68:RJV68"/>
    <mergeCell ref="RJW68:RKZ68"/>
    <mergeCell ref="QZM68:RAP68"/>
    <mergeCell ref="RAQ68:RBT68"/>
    <mergeCell ref="RBU68:RCX68"/>
    <mergeCell ref="RCY68:REB68"/>
    <mergeCell ref="REC68:RFF68"/>
    <mergeCell ref="QTS68:QUV68"/>
    <mergeCell ref="QUW68:QVZ68"/>
    <mergeCell ref="QWA68:QXD68"/>
    <mergeCell ref="QXE68:QYH68"/>
    <mergeCell ref="QYI68:QZL68"/>
    <mergeCell ref="QNY68:QPB68"/>
    <mergeCell ref="QPC68:QQF68"/>
    <mergeCell ref="QQG68:QRJ68"/>
    <mergeCell ref="QRK68:QSN68"/>
    <mergeCell ref="QSO68:QTR68"/>
    <mergeCell ref="QIE68:QJH68"/>
    <mergeCell ref="QJI68:QKL68"/>
    <mergeCell ref="QKM68:QLP68"/>
    <mergeCell ref="QLQ68:QMT68"/>
    <mergeCell ref="QMU68:QNX68"/>
    <mergeCell ref="QCK68:QDN68"/>
    <mergeCell ref="QDO68:QER68"/>
    <mergeCell ref="QES68:QFV68"/>
    <mergeCell ref="QFW68:QGZ68"/>
    <mergeCell ref="QHA68:QID68"/>
    <mergeCell ref="PWQ68:PXT68"/>
    <mergeCell ref="PXU68:PYX68"/>
    <mergeCell ref="PYY68:QAB68"/>
    <mergeCell ref="QAC68:QBF68"/>
    <mergeCell ref="QBG68:QCJ68"/>
    <mergeCell ref="PQW68:PRZ68"/>
    <mergeCell ref="PSA68:PTD68"/>
    <mergeCell ref="PTE68:PUH68"/>
    <mergeCell ref="PUI68:PVL68"/>
    <mergeCell ref="PVM68:PWP68"/>
    <mergeCell ref="PLC68:PMF68"/>
    <mergeCell ref="PMG68:PNJ68"/>
    <mergeCell ref="PNK68:PON68"/>
    <mergeCell ref="POO68:PPR68"/>
    <mergeCell ref="PPS68:PQV68"/>
    <mergeCell ref="PFI68:PGL68"/>
    <mergeCell ref="PGM68:PHP68"/>
    <mergeCell ref="PHQ68:PIT68"/>
    <mergeCell ref="PIU68:PJX68"/>
    <mergeCell ref="PJY68:PLB68"/>
    <mergeCell ref="OZO68:PAR68"/>
    <mergeCell ref="PAS68:PBV68"/>
    <mergeCell ref="PBW68:PCZ68"/>
    <mergeCell ref="PDA68:PED68"/>
    <mergeCell ref="PEE68:PFH68"/>
    <mergeCell ref="OTU68:OUX68"/>
    <mergeCell ref="OUY68:OWB68"/>
    <mergeCell ref="OWC68:OXF68"/>
    <mergeCell ref="OXG68:OYJ68"/>
    <mergeCell ref="OYK68:OZN68"/>
    <mergeCell ref="OOA68:OPD68"/>
    <mergeCell ref="OPE68:OQH68"/>
    <mergeCell ref="OQI68:ORL68"/>
    <mergeCell ref="ORM68:OSP68"/>
    <mergeCell ref="OSQ68:OTT68"/>
    <mergeCell ref="OIG68:OJJ68"/>
    <mergeCell ref="OJK68:OKN68"/>
    <mergeCell ref="OKO68:OLR68"/>
    <mergeCell ref="OLS68:OMV68"/>
    <mergeCell ref="OMW68:ONZ68"/>
    <mergeCell ref="OCM68:ODP68"/>
    <mergeCell ref="ODQ68:OET68"/>
    <mergeCell ref="OEU68:OFX68"/>
    <mergeCell ref="OFY68:OHB68"/>
    <mergeCell ref="OHC68:OIF68"/>
    <mergeCell ref="NWS68:NXV68"/>
    <mergeCell ref="NXW68:NYZ68"/>
    <mergeCell ref="NZA68:OAD68"/>
    <mergeCell ref="OAE68:OBH68"/>
    <mergeCell ref="OBI68:OCL68"/>
    <mergeCell ref="NQY68:NSB68"/>
    <mergeCell ref="NSC68:NTF68"/>
    <mergeCell ref="NTG68:NUJ68"/>
    <mergeCell ref="NUK68:NVN68"/>
    <mergeCell ref="NVO68:NWR68"/>
    <mergeCell ref="NLE68:NMH68"/>
    <mergeCell ref="NMI68:NNL68"/>
    <mergeCell ref="NNM68:NOP68"/>
    <mergeCell ref="NOQ68:NPT68"/>
    <mergeCell ref="NPU68:NQX68"/>
    <mergeCell ref="NFK68:NGN68"/>
    <mergeCell ref="NGO68:NHR68"/>
    <mergeCell ref="NHS68:NIV68"/>
    <mergeCell ref="NIW68:NJZ68"/>
    <mergeCell ref="NKA68:NLD68"/>
    <mergeCell ref="MZQ68:NAT68"/>
    <mergeCell ref="NAU68:NBX68"/>
    <mergeCell ref="NBY68:NDB68"/>
    <mergeCell ref="NDC68:NEF68"/>
    <mergeCell ref="NEG68:NFJ68"/>
    <mergeCell ref="MTW68:MUZ68"/>
    <mergeCell ref="MVA68:MWD68"/>
    <mergeCell ref="MWE68:MXH68"/>
    <mergeCell ref="MXI68:MYL68"/>
    <mergeCell ref="MYM68:MZP68"/>
    <mergeCell ref="MOC68:MPF68"/>
    <mergeCell ref="MPG68:MQJ68"/>
    <mergeCell ref="MQK68:MRN68"/>
    <mergeCell ref="MRO68:MSR68"/>
    <mergeCell ref="MSS68:MTV68"/>
    <mergeCell ref="MII68:MJL68"/>
    <mergeCell ref="MJM68:MKP68"/>
    <mergeCell ref="MKQ68:MLT68"/>
    <mergeCell ref="MLU68:MMX68"/>
    <mergeCell ref="MMY68:MOB68"/>
    <mergeCell ref="MCO68:MDR68"/>
    <mergeCell ref="MDS68:MEV68"/>
    <mergeCell ref="MEW68:MFZ68"/>
    <mergeCell ref="MGA68:MHD68"/>
    <mergeCell ref="MHE68:MIH68"/>
    <mergeCell ref="LWU68:LXX68"/>
    <mergeCell ref="LXY68:LZB68"/>
    <mergeCell ref="LZC68:MAF68"/>
    <mergeCell ref="MAG68:MBJ68"/>
    <mergeCell ref="MBK68:MCN68"/>
    <mergeCell ref="LRA68:LSD68"/>
    <mergeCell ref="LSE68:LTH68"/>
    <mergeCell ref="LTI68:LUL68"/>
    <mergeCell ref="LUM68:LVP68"/>
    <mergeCell ref="LVQ68:LWT68"/>
    <mergeCell ref="LLG68:LMJ68"/>
    <mergeCell ref="LMK68:LNN68"/>
    <mergeCell ref="LNO68:LOR68"/>
    <mergeCell ref="LOS68:LPV68"/>
    <mergeCell ref="LPW68:LQZ68"/>
    <mergeCell ref="LFM68:LGP68"/>
    <mergeCell ref="LGQ68:LHT68"/>
    <mergeCell ref="LHU68:LIX68"/>
    <mergeCell ref="LIY68:LKB68"/>
    <mergeCell ref="LKC68:LLF68"/>
    <mergeCell ref="KZS68:LAV68"/>
    <mergeCell ref="LAW68:LBZ68"/>
    <mergeCell ref="LCA68:LDD68"/>
    <mergeCell ref="LDE68:LEH68"/>
    <mergeCell ref="LEI68:LFL68"/>
    <mergeCell ref="KTY68:KVB68"/>
    <mergeCell ref="KVC68:KWF68"/>
    <mergeCell ref="KWG68:KXJ68"/>
    <mergeCell ref="KXK68:KYN68"/>
    <mergeCell ref="KYO68:KZR68"/>
    <mergeCell ref="KOE68:KPH68"/>
    <mergeCell ref="KPI68:KQL68"/>
    <mergeCell ref="KQM68:KRP68"/>
    <mergeCell ref="KRQ68:KST68"/>
    <mergeCell ref="KSU68:KTX68"/>
    <mergeCell ref="KIK68:KJN68"/>
    <mergeCell ref="KJO68:KKR68"/>
    <mergeCell ref="KKS68:KLV68"/>
    <mergeCell ref="KLW68:KMZ68"/>
    <mergeCell ref="KNA68:KOD68"/>
    <mergeCell ref="KCQ68:KDT68"/>
    <mergeCell ref="KDU68:KEX68"/>
    <mergeCell ref="KEY68:KGB68"/>
    <mergeCell ref="KGC68:KHF68"/>
    <mergeCell ref="KHG68:KIJ68"/>
    <mergeCell ref="JWW68:JXZ68"/>
    <mergeCell ref="JYA68:JZD68"/>
    <mergeCell ref="JZE68:KAH68"/>
    <mergeCell ref="KAI68:KBL68"/>
    <mergeCell ref="KBM68:KCP68"/>
    <mergeCell ref="JRC68:JSF68"/>
    <mergeCell ref="JSG68:JTJ68"/>
    <mergeCell ref="JTK68:JUN68"/>
    <mergeCell ref="JUO68:JVR68"/>
    <mergeCell ref="JVS68:JWV68"/>
    <mergeCell ref="JLI68:JML68"/>
    <mergeCell ref="JMM68:JNP68"/>
    <mergeCell ref="JNQ68:JOT68"/>
    <mergeCell ref="JOU68:JPX68"/>
    <mergeCell ref="JPY68:JRB68"/>
    <mergeCell ref="JFO68:JGR68"/>
    <mergeCell ref="JGS68:JHV68"/>
    <mergeCell ref="JHW68:JIZ68"/>
    <mergeCell ref="JJA68:JKD68"/>
    <mergeCell ref="JKE68:JLH68"/>
    <mergeCell ref="IZU68:JAX68"/>
    <mergeCell ref="JAY68:JCB68"/>
    <mergeCell ref="JCC68:JDF68"/>
    <mergeCell ref="JDG68:JEJ68"/>
    <mergeCell ref="JEK68:JFN68"/>
    <mergeCell ref="IUA68:IVD68"/>
    <mergeCell ref="IVE68:IWH68"/>
    <mergeCell ref="IWI68:IXL68"/>
    <mergeCell ref="IXM68:IYP68"/>
    <mergeCell ref="IYQ68:IZT68"/>
    <mergeCell ref="IOG68:IPJ68"/>
    <mergeCell ref="IPK68:IQN68"/>
    <mergeCell ref="IQO68:IRR68"/>
    <mergeCell ref="IRS68:ISV68"/>
    <mergeCell ref="ISW68:ITZ68"/>
    <mergeCell ref="IIM68:IJP68"/>
    <mergeCell ref="IJQ68:IKT68"/>
    <mergeCell ref="IKU68:ILX68"/>
    <mergeCell ref="ILY68:INB68"/>
    <mergeCell ref="INC68:IOF68"/>
    <mergeCell ref="ICS68:IDV68"/>
    <mergeCell ref="IDW68:IEZ68"/>
    <mergeCell ref="IFA68:IGD68"/>
    <mergeCell ref="IGE68:IHH68"/>
    <mergeCell ref="IHI68:IIL68"/>
    <mergeCell ref="HWY68:HYB68"/>
    <mergeCell ref="HYC68:HZF68"/>
    <mergeCell ref="HZG68:IAJ68"/>
    <mergeCell ref="IAK68:IBN68"/>
    <mergeCell ref="IBO68:ICR68"/>
    <mergeCell ref="HRE68:HSH68"/>
    <mergeCell ref="HSI68:HTL68"/>
    <mergeCell ref="HTM68:HUP68"/>
    <mergeCell ref="HUQ68:HVT68"/>
    <mergeCell ref="HVU68:HWX68"/>
    <mergeCell ref="HLK68:HMN68"/>
    <mergeCell ref="HMO68:HNR68"/>
    <mergeCell ref="HNS68:HOV68"/>
    <mergeCell ref="HOW68:HPZ68"/>
    <mergeCell ref="HQA68:HRD68"/>
    <mergeCell ref="HFQ68:HGT68"/>
    <mergeCell ref="HGU68:HHX68"/>
    <mergeCell ref="HHY68:HJB68"/>
    <mergeCell ref="HJC68:HKF68"/>
    <mergeCell ref="HKG68:HLJ68"/>
    <mergeCell ref="GZW68:HAZ68"/>
    <mergeCell ref="HBA68:HCD68"/>
    <mergeCell ref="HCE68:HDH68"/>
    <mergeCell ref="HDI68:HEL68"/>
    <mergeCell ref="HEM68:HFP68"/>
    <mergeCell ref="GUC68:GVF68"/>
    <mergeCell ref="GVG68:GWJ68"/>
    <mergeCell ref="GWK68:GXN68"/>
    <mergeCell ref="GXO68:GYR68"/>
    <mergeCell ref="GYS68:GZV68"/>
    <mergeCell ref="GOI68:GPL68"/>
    <mergeCell ref="GPM68:GQP68"/>
    <mergeCell ref="GQQ68:GRT68"/>
    <mergeCell ref="GRU68:GSX68"/>
    <mergeCell ref="GSY68:GUB68"/>
    <mergeCell ref="GIO68:GJR68"/>
    <mergeCell ref="GJS68:GKV68"/>
    <mergeCell ref="GKW68:GLZ68"/>
    <mergeCell ref="GMA68:GND68"/>
    <mergeCell ref="GNE68:GOH68"/>
    <mergeCell ref="GCU68:GDX68"/>
    <mergeCell ref="GDY68:GFB68"/>
    <mergeCell ref="GFC68:GGF68"/>
    <mergeCell ref="GGG68:GHJ68"/>
    <mergeCell ref="GHK68:GIN68"/>
    <mergeCell ref="FXA68:FYD68"/>
    <mergeCell ref="FYE68:FZH68"/>
    <mergeCell ref="FZI68:GAL68"/>
    <mergeCell ref="GAM68:GBP68"/>
    <mergeCell ref="GBQ68:GCT68"/>
    <mergeCell ref="FRG68:FSJ68"/>
    <mergeCell ref="FSK68:FTN68"/>
    <mergeCell ref="FTO68:FUR68"/>
    <mergeCell ref="FUS68:FVV68"/>
    <mergeCell ref="FVW68:FWZ68"/>
    <mergeCell ref="FLM68:FMP68"/>
    <mergeCell ref="FMQ68:FNT68"/>
    <mergeCell ref="FNU68:FOX68"/>
    <mergeCell ref="FOY68:FQB68"/>
    <mergeCell ref="FQC68:FRF68"/>
    <mergeCell ref="FFS68:FGV68"/>
    <mergeCell ref="FGW68:FHZ68"/>
    <mergeCell ref="FIA68:FJD68"/>
    <mergeCell ref="FJE68:FKH68"/>
    <mergeCell ref="FKI68:FLL68"/>
    <mergeCell ref="EZY68:FBB68"/>
    <mergeCell ref="FBC68:FCF68"/>
    <mergeCell ref="FCG68:FDJ68"/>
    <mergeCell ref="FDK68:FEN68"/>
    <mergeCell ref="FEO68:FFR68"/>
    <mergeCell ref="EUE68:EVH68"/>
    <mergeCell ref="EVI68:EWL68"/>
    <mergeCell ref="EWM68:EXP68"/>
    <mergeCell ref="EXQ68:EYT68"/>
    <mergeCell ref="EYU68:EZX68"/>
    <mergeCell ref="EOK68:EPN68"/>
    <mergeCell ref="EPO68:EQR68"/>
    <mergeCell ref="EQS68:ERV68"/>
    <mergeCell ref="ERW68:ESZ68"/>
    <mergeCell ref="ETA68:EUD68"/>
    <mergeCell ref="EIQ68:EJT68"/>
    <mergeCell ref="EJU68:EKX68"/>
    <mergeCell ref="EKY68:EMB68"/>
    <mergeCell ref="EMC68:ENF68"/>
    <mergeCell ref="ENG68:EOJ68"/>
    <mergeCell ref="ECW68:EDZ68"/>
    <mergeCell ref="EEA68:EFD68"/>
    <mergeCell ref="EFE68:EGH68"/>
    <mergeCell ref="EGI68:EHL68"/>
    <mergeCell ref="EHM68:EIP68"/>
    <mergeCell ref="DXC68:DYF68"/>
    <mergeCell ref="DYG68:DZJ68"/>
    <mergeCell ref="DZK68:EAN68"/>
    <mergeCell ref="EAO68:EBR68"/>
    <mergeCell ref="EBS68:ECV68"/>
    <mergeCell ref="DRI68:DSL68"/>
    <mergeCell ref="DSM68:DTP68"/>
    <mergeCell ref="DTQ68:DUT68"/>
    <mergeCell ref="DUU68:DVX68"/>
    <mergeCell ref="DVY68:DXB68"/>
    <mergeCell ref="DLO68:DMR68"/>
    <mergeCell ref="DMS68:DNV68"/>
    <mergeCell ref="DNW68:DOZ68"/>
    <mergeCell ref="DPA68:DQD68"/>
    <mergeCell ref="DQE68:DRH68"/>
    <mergeCell ref="DFU68:DGX68"/>
    <mergeCell ref="DGY68:DIB68"/>
    <mergeCell ref="DIC68:DJF68"/>
    <mergeCell ref="DJG68:DKJ68"/>
    <mergeCell ref="DKK68:DLN68"/>
    <mergeCell ref="DAA68:DBD68"/>
    <mergeCell ref="DBE68:DCH68"/>
    <mergeCell ref="DCI68:DDL68"/>
    <mergeCell ref="DDM68:DEP68"/>
    <mergeCell ref="DEQ68:DFT68"/>
    <mergeCell ref="CUG68:CVJ68"/>
    <mergeCell ref="CVK68:CWN68"/>
    <mergeCell ref="CWO68:CXR68"/>
    <mergeCell ref="CXS68:CYV68"/>
    <mergeCell ref="CYW68:CZZ68"/>
    <mergeCell ref="COM68:CPP68"/>
    <mergeCell ref="CPQ68:CQT68"/>
    <mergeCell ref="CQU68:CRX68"/>
    <mergeCell ref="CRY68:CTB68"/>
    <mergeCell ref="CTC68:CUF68"/>
    <mergeCell ref="CIS68:CJV68"/>
    <mergeCell ref="CJW68:CKZ68"/>
    <mergeCell ref="CLA68:CMD68"/>
    <mergeCell ref="CME68:CNH68"/>
    <mergeCell ref="CNI68:COL68"/>
    <mergeCell ref="CCY68:CEB68"/>
    <mergeCell ref="CEC68:CFF68"/>
    <mergeCell ref="CFG68:CGJ68"/>
    <mergeCell ref="CGK68:CHN68"/>
    <mergeCell ref="CHO68:CIR68"/>
    <mergeCell ref="BXE68:BYH68"/>
    <mergeCell ref="BYI68:BZL68"/>
    <mergeCell ref="BZM68:CAP68"/>
    <mergeCell ref="CAQ68:CBT68"/>
    <mergeCell ref="CBU68:CCX68"/>
    <mergeCell ref="BRK68:BSN68"/>
    <mergeCell ref="BSO68:BTR68"/>
    <mergeCell ref="BTS68:BUV68"/>
    <mergeCell ref="BUW68:BVZ68"/>
    <mergeCell ref="BWA68:BXD68"/>
    <mergeCell ref="BLQ68:BMT68"/>
    <mergeCell ref="BMU68:BNX68"/>
    <mergeCell ref="BNY68:BPB68"/>
    <mergeCell ref="BPC68:BQF68"/>
    <mergeCell ref="BQG68:BRJ68"/>
    <mergeCell ref="BFW68:BGZ68"/>
    <mergeCell ref="BHA68:BID68"/>
    <mergeCell ref="BIE68:BJH68"/>
    <mergeCell ref="BJI68:BKL68"/>
    <mergeCell ref="BKM68:BLP68"/>
    <mergeCell ref="BAC68:BBF68"/>
    <mergeCell ref="BBG68:BCJ68"/>
    <mergeCell ref="BCK68:BDN68"/>
    <mergeCell ref="BDO68:BER68"/>
    <mergeCell ref="BES68:BFV68"/>
    <mergeCell ref="AUI68:AVL68"/>
    <mergeCell ref="AVM68:AWP68"/>
    <mergeCell ref="AWQ68:AXT68"/>
    <mergeCell ref="AXU68:AYX68"/>
    <mergeCell ref="AYY68:BAB68"/>
    <mergeCell ref="APS68:AQV68"/>
    <mergeCell ref="AQW68:ARZ68"/>
    <mergeCell ref="ASA68:ATD68"/>
    <mergeCell ref="ATE68:AUH68"/>
    <mergeCell ref="AIU68:AJX68"/>
    <mergeCell ref="AJY68:ALB68"/>
    <mergeCell ref="ALC68:AMF68"/>
    <mergeCell ref="AMG68:ANJ68"/>
    <mergeCell ref="ANK68:AON68"/>
    <mergeCell ref="AFI68:AGL68"/>
    <mergeCell ref="AGM68:AHP68"/>
    <mergeCell ref="AHQ68:AIT68"/>
    <mergeCell ref="XG68:YJ68"/>
    <mergeCell ref="YK68:ZN68"/>
    <mergeCell ref="ZO68:AAR68"/>
    <mergeCell ref="AAS68:ABV68"/>
    <mergeCell ref="ABW68:ACZ68"/>
    <mergeCell ref="AOO68:APR68"/>
    <mergeCell ref="UY68:WB68"/>
    <mergeCell ref="WC68:XF68"/>
    <mergeCell ref="LS68:MV68"/>
    <mergeCell ref="MW68:NZ68"/>
    <mergeCell ref="OA68:PD68"/>
    <mergeCell ref="PE68:QH68"/>
    <mergeCell ref="QI68:RL68"/>
    <mergeCell ref="ADA68:AED68"/>
    <mergeCell ref="AEE68:AFH68"/>
    <mergeCell ref="KO68:LR68"/>
    <mergeCell ref="AE68:BH68"/>
    <mergeCell ref="BI68:CL68"/>
    <mergeCell ref="CM68:DP68"/>
    <mergeCell ref="DQ68:ET68"/>
    <mergeCell ref="EU68:FX68"/>
    <mergeCell ref="RM68:SP68"/>
    <mergeCell ref="SQ68:TT68"/>
    <mergeCell ref="TU68:UX68"/>
    <mergeCell ref="A63:AD63"/>
    <mergeCell ref="A57:C57"/>
    <mergeCell ref="O5:S5"/>
    <mergeCell ref="Y5:AC5"/>
    <mergeCell ref="FY68:HB68"/>
    <mergeCell ref="HC68:IF68"/>
    <mergeCell ref="IG68:JJ68"/>
    <mergeCell ref="JK68:KN68"/>
    <mergeCell ref="E5:I5"/>
    <mergeCell ref="J5:N5"/>
    <mergeCell ref="T5:X5"/>
    <mergeCell ref="A30:C30"/>
    <mergeCell ref="A46:AD46"/>
    <mergeCell ref="A45:C45"/>
    <mergeCell ref="A32:AD32"/>
    <mergeCell ref="A33:AD33"/>
    <mergeCell ref="A34:AD34"/>
    <mergeCell ref="D69:D70"/>
    <mergeCell ref="E69:E70"/>
    <mergeCell ref="F69:F70"/>
    <mergeCell ref="W69:W70"/>
    <mergeCell ref="A68:AD68"/>
    <mergeCell ref="B3:AD3"/>
    <mergeCell ref="AA2:AD2"/>
    <mergeCell ref="AA1:AD1"/>
    <mergeCell ref="AC69:AC70"/>
    <mergeCell ref="AD69:AD70"/>
    <mergeCell ref="AB69:AB70"/>
    <mergeCell ref="A38:A39"/>
    <mergeCell ref="C38:C39"/>
    <mergeCell ref="D38:D39"/>
    <mergeCell ref="A40:A41"/>
    <mergeCell ref="C40:C41"/>
    <mergeCell ref="D40:D41"/>
    <mergeCell ref="A4:A6"/>
    <mergeCell ref="B4:B6"/>
    <mergeCell ref="C4:C6"/>
    <mergeCell ref="D4:D6"/>
    <mergeCell ref="E4:AC4"/>
    <mergeCell ref="AD4:AD6"/>
    <mergeCell ref="A47:AD47"/>
    <mergeCell ref="C69:C70"/>
    <mergeCell ref="B69:B70"/>
    <mergeCell ref="C74:C75"/>
    <mergeCell ref="C76:C77"/>
    <mergeCell ref="A69:A70"/>
    <mergeCell ref="A72:C72"/>
    <mergeCell ref="A8:AD8"/>
    <mergeCell ref="A60:AD60"/>
    <mergeCell ref="A58:AD58"/>
    <mergeCell ref="A59:AD59"/>
    <mergeCell ref="A10:AD10"/>
    <mergeCell ref="A11:AD11"/>
    <mergeCell ref="A12:AD12"/>
    <mergeCell ref="A9:AD9"/>
    <mergeCell ref="A61:AD61"/>
    <mergeCell ref="A19:AD19"/>
    <mergeCell ref="A28:AD28"/>
    <mergeCell ref="A48:AD48"/>
    <mergeCell ref="A49:AD49"/>
    <mergeCell ref="A52:AD52"/>
    <mergeCell ref="A31:AD31"/>
    <mergeCell ref="L69:L70"/>
    <mergeCell ref="M69:M70"/>
    <mergeCell ref="A71:C71"/>
  </mergeCells>
  <phoneticPr fontId="1" type="noConversion"/>
  <printOptions horizontalCentered="1"/>
  <pageMargins left="7.874015748031496E-2" right="7.874015748031496E-2" top="0.62992125984251968" bottom="0.39370078740157483" header="0.19685039370078741" footer="0.15748031496062992"/>
  <pageSetup paperSize="8" scale="39" fitToHeight="0" orientation="landscape" r:id="rId1"/>
  <headerFooter alignWithMargins="0"/>
  <rowBreaks count="5" manualBreakCount="5">
    <brk id="20" max="29" man="1"/>
    <brk id="34" max="29" man="1"/>
    <brk id="41" max="29" man="1"/>
    <brk id="53" max="29" man="1"/>
    <brk id="64" max="2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98"/>
  <sheetViews>
    <sheetView tabSelected="1" view="pageBreakPreview" topLeftCell="A58" zoomScale="110" zoomScaleSheetLayoutView="110" workbookViewId="0">
      <selection activeCell="F66" sqref="F66"/>
    </sheetView>
  </sheetViews>
  <sheetFormatPr defaultRowHeight="12.75" x14ac:dyDescent="0.2"/>
  <cols>
    <col min="1" max="1" width="6.140625" style="9" customWidth="1"/>
    <col min="2" max="2" width="34.140625" style="219" customWidth="1"/>
    <col min="3" max="3" width="58.28515625" style="9" customWidth="1"/>
    <col min="4" max="4" width="8.85546875" style="9"/>
    <col min="5" max="5" width="8.5703125" style="9" customWidth="1"/>
    <col min="6" max="7" width="8.7109375" style="9" customWidth="1"/>
    <col min="8" max="8" width="7.42578125" style="9" customWidth="1"/>
    <col min="9" max="9" width="7.7109375" style="9" customWidth="1"/>
    <col min="10" max="10" width="8.140625" style="9" customWidth="1"/>
    <col min="11" max="16" width="9.140625" style="9"/>
    <col min="17" max="17" width="14.140625" style="9" customWidth="1"/>
    <col min="18" max="16384" width="9.140625" style="9"/>
  </cols>
  <sheetData>
    <row r="1" spans="1:11" ht="57" customHeight="1" x14ac:dyDescent="0.2">
      <c r="G1" s="498" t="s">
        <v>1433</v>
      </c>
      <c r="H1" s="498"/>
      <c r="I1" s="498"/>
      <c r="J1" s="498"/>
    </row>
    <row r="2" spans="1:11" ht="81" customHeight="1" x14ac:dyDescent="0.2">
      <c r="A2" s="36"/>
      <c r="B2" s="36"/>
      <c r="C2" s="36"/>
      <c r="D2" s="36"/>
      <c r="E2" s="36"/>
      <c r="G2" s="471" t="s">
        <v>831</v>
      </c>
      <c r="H2" s="471"/>
      <c r="I2" s="471"/>
      <c r="J2" s="471"/>
    </row>
    <row r="3" spans="1:11" ht="13.9" hidden="1" customHeight="1" x14ac:dyDescent="0.2">
      <c r="A3" s="32"/>
      <c r="B3" s="45"/>
      <c r="C3" s="46"/>
      <c r="D3" s="47"/>
      <c r="E3" s="33"/>
      <c r="F3" s="33"/>
      <c r="G3" s="33"/>
      <c r="H3" s="33"/>
      <c r="I3" s="33"/>
      <c r="J3" s="33"/>
    </row>
    <row r="4" spans="1:11" ht="35.450000000000003" customHeight="1" x14ac:dyDescent="0.2">
      <c r="A4" s="508" t="s">
        <v>1195</v>
      </c>
      <c r="B4" s="508"/>
      <c r="C4" s="508"/>
      <c r="D4" s="508"/>
      <c r="E4" s="508"/>
      <c r="F4" s="508"/>
      <c r="G4" s="508"/>
      <c r="H4" s="508"/>
      <c r="I4" s="508"/>
      <c r="J4" s="508"/>
    </row>
    <row r="5" spans="1:11" x14ac:dyDescent="0.2">
      <c r="A5" s="499" t="s">
        <v>214</v>
      </c>
      <c r="B5" s="501" t="s">
        <v>709</v>
      </c>
      <c r="C5" s="503" t="s">
        <v>710</v>
      </c>
      <c r="D5" s="503" t="s">
        <v>711</v>
      </c>
      <c r="E5" s="503" t="s">
        <v>712</v>
      </c>
      <c r="F5" s="503" t="s">
        <v>713</v>
      </c>
      <c r="G5" s="503"/>
      <c r="H5" s="509"/>
      <c r="I5" s="509"/>
      <c r="J5" s="510"/>
    </row>
    <row r="6" spans="1:11" x14ac:dyDescent="0.2">
      <c r="A6" s="500"/>
      <c r="B6" s="502"/>
      <c r="C6" s="504"/>
      <c r="D6" s="505"/>
      <c r="E6" s="505"/>
      <c r="F6" s="505"/>
      <c r="G6" s="505"/>
      <c r="H6" s="505"/>
      <c r="I6" s="505"/>
      <c r="J6" s="511"/>
    </row>
    <row r="7" spans="1:11" x14ac:dyDescent="0.2">
      <c r="A7" s="500"/>
      <c r="B7" s="502"/>
      <c r="C7" s="504"/>
      <c r="D7" s="505"/>
      <c r="E7" s="505"/>
      <c r="F7" s="506">
        <v>2021</v>
      </c>
      <c r="G7" s="506">
        <v>2022</v>
      </c>
      <c r="H7" s="506">
        <v>2023</v>
      </c>
      <c r="I7" s="506">
        <v>2024</v>
      </c>
      <c r="J7" s="507">
        <v>2025</v>
      </c>
    </row>
    <row r="8" spans="1:11" x14ac:dyDescent="0.2">
      <c r="A8" s="500"/>
      <c r="B8" s="502"/>
      <c r="C8" s="504"/>
      <c r="D8" s="505"/>
      <c r="E8" s="505"/>
      <c r="F8" s="506"/>
      <c r="G8" s="506"/>
      <c r="H8" s="506"/>
      <c r="I8" s="506"/>
      <c r="J8" s="507"/>
    </row>
    <row r="9" spans="1:11" x14ac:dyDescent="0.2">
      <c r="A9" s="212">
        <v>1</v>
      </c>
      <c r="B9" s="220">
        <v>2</v>
      </c>
      <c r="C9" s="213">
        <v>3</v>
      </c>
      <c r="D9" s="213">
        <v>4</v>
      </c>
      <c r="E9" s="213">
        <v>5</v>
      </c>
      <c r="F9" s="213">
        <v>6</v>
      </c>
      <c r="G9" s="213">
        <v>7</v>
      </c>
      <c r="H9" s="213">
        <v>8</v>
      </c>
      <c r="I9" s="213">
        <v>9</v>
      </c>
      <c r="J9" s="214">
        <v>10</v>
      </c>
    </row>
    <row r="10" spans="1:11" ht="19.899999999999999" customHeight="1" x14ac:dyDescent="0.2">
      <c r="A10" s="484" t="s">
        <v>230</v>
      </c>
      <c r="B10" s="485"/>
      <c r="C10" s="485"/>
      <c r="D10" s="485"/>
      <c r="E10" s="485"/>
      <c r="F10" s="485"/>
      <c r="G10" s="485"/>
      <c r="H10" s="485"/>
      <c r="I10" s="485"/>
      <c r="J10" s="486"/>
    </row>
    <row r="11" spans="1:11" ht="30" customHeight="1" x14ac:dyDescent="0.2">
      <c r="A11" s="472" t="s">
        <v>199</v>
      </c>
      <c r="B11" s="473"/>
      <c r="C11" s="473"/>
      <c r="D11" s="473"/>
      <c r="E11" s="473"/>
      <c r="F11" s="473"/>
      <c r="G11" s="473"/>
      <c r="H11" s="473"/>
      <c r="I11" s="473"/>
      <c r="J11" s="474"/>
    </row>
    <row r="12" spans="1:11" ht="17.45" customHeight="1" x14ac:dyDescent="0.2">
      <c r="A12" s="475" t="s">
        <v>217</v>
      </c>
      <c r="B12" s="476"/>
      <c r="C12" s="476"/>
      <c r="D12" s="476"/>
      <c r="E12" s="476"/>
      <c r="F12" s="476"/>
      <c r="G12" s="476"/>
      <c r="H12" s="476"/>
      <c r="I12" s="476"/>
      <c r="J12" s="477"/>
    </row>
    <row r="13" spans="1:11" ht="25.15" customHeight="1" x14ac:dyDescent="0.2">
      <c r="A13" s="484" t="s">
        <v>714</v>
      </c>
      <c r="B13" s="485"/>
      <c r="C13" s="485"/>
      <c r="D13" s="485"/>
      <c r="E13" s="485"/>
      <c r="F13" s="485"/>
      <c r="G13" s="485"/>
      <c r="H13" s="485"/>
      <c r="I13" s="485"/>
      <c r="J13" s="486"/>
    </row>
    <row r="14" spans="1:11" ht="18.600000000000001" customHeight="1" x14ac:dyDescent="0.2">
      <c r="A14" s="484" t="s">
        <v>197</v>
      </c>
      <c r="B14" s="485"/>
      <c r="C14" s="485"/>
      <c r="D14" s="485"/>
      <c r="E14" s="485"/>
      <c r="F14" s="485"/>
      <c r="G14" s="485"/>
      <c r="H14" s="485"/>
      <c r="I14" s="485"/>
      <c r="J14" s="486"/>
    </row>
    <row r="15" spans="1:11" s="3" customFormat="1" ht="43.9" customHeight="1" x14ac:dyDescent="0.2">
      <c r="A15" s="215">
        <v>1</v>
      </c>
      <c r="B15" s="221" t="s">
        <v>745</v>
      </c>
      <c r="C15" s="217" t="s">
        <v>746</v>
      </c>
      <c r="D15" s="88" t="s">
        <v>715</v>
      </c>
      <c r="E15" s="89">
        <v>3</v>
      </c>
      <c r="F15" s="89">
        <f>5+1</f>
        <v>6</v>
      </c>
      <c r="G15" s="89">
        <v>2</v>
      </c>
      <c r="H15" s="89">
        <v>2</v>
      </c>
      <c r="I15" s="90" t="s">
        <v>716</v>
      </c>
      <c r="J15" s="91" t="s">
        <v>716</v>
      </c>
      <c r="K15" s="54" t="s">
        <v>888</v>
      </c>
    </row>
    <row r="16" spans="1:11" s="3" customFormat="1" ht="42" customHeight="1" x14ac:dyDescent="0.2">
      <c r="A16" s="215">
        <v>2</v>
      </c>
      <c r="B16" s="221" t="s">
        <v>1438</v>
      </c>
      <c r="C16" s="217" t="s">
        <v>1439</v>
      </c>
      <c r="D16" s="97" t="s">
        <v>715</v>
      </c>
      <c r="E16" s="89" t="s">
        <v>716</v>
      </c>
      <c r="F16" s="89">
        <v>1</v>
      </c>
      <c r="G16" s="89" t="s">
        <v>716</v>
      </c>
      <c r="H16" s="89" t="s">
        <v>716</v>
      </c>
      <c r="I16" s="90" t="s">
        <v>716</v>
      </c>
      <c r="J16" s="91" t="s">
        <v>716</v>
      </c>
      <c r="K16" s="218"/>
    </row>
    <row r="17" spans="1:11" s="3" customFormat="1" ht="20.45" customHeight="1" x14ac:dyDescent="0.2">
      <c r="A17" s="478">
        <v>3</v>
      </c>
      <c r="B17" s="483" t="s">
        <v>717</v>
      </c>
      <c r="C17" s="217" t="s">
        <v>718</v>
      </c>
      <c r="D17" s="92" t="s">
        <v>715</v>
      </c>
      <c r="E17" s="89">
        <v>9</v>
      </c>
      <c r="F17" s="89">
        <v>10</v>
      </c>
      <c r="G17" s="89">
        <v>4</v>
      </c>
      <c r="H17" s="89">
        <v>4</v>
      </c>
      <c r="I17" s="90" t="s">
        <v>716</v>
      </c>
      <c r="J17" s="91" t="s">
        <v>716</v>
      </c>
    </row>
    <row r="18" spans="1:11" s="3" customFormat="1" ht="29.45" customHeight="1" x14ac:dyDescent="0.2">
      <c r="A18" s="478"/>
      <c r="B18" s="483"/>
      <c r="C18" s="217" t="s">
        <v>719</v>
      </c>
      <c r="D18" s="92" t="s">
        <v>715</v>
      </c>
      <c r="E18" s="90" t="s">
        <v>716</v>
      </c>
      <c r="F18" s="90" t="s">
        <v>716</v>
      </c>
      <c r="G18" s="90" t="s">
        <v>716</v>
      </c>
      <c r="H18" s="90" t="s">
        <v>716</v>
      </c>
      <c r="I18" s="90" t="s">
        <v>716</v>
      </c>
      <c r="J18" s="91" t="s">
        <v>716</v>
      </c>
    </row>
    <row r="19" spans="1:11" s="50" customFormat="1" ht="21.6" customHeight="1" x14ac:dyDescent="0.2">
      <c r="A19" s="478">
        <v>4</v>
      </c>
      <c r="B19" s="483" t="s">
        <v>1234</v>
      </c>
      <c r="C19" s="217" t="s">
        <v>720</v>
      </c>
      <c r="D19" s="92" t="s">
        <v>715</v>
      </c>
      <c r="E19" s="89">
        <v>2</v>
      </c>
      <c r="F19" s="89">
        <v>3</v>
      </c>
      <c r="G19" s="89">
        <v>1</v>
      </c>
      <c r="H19" s="90" t="s">
        <v>716</v>
      </c>
      <c r="I19" s="90" t="s">
        <v>716</v>
      </c>
      <c r="J19" s="91" t="s">
        <v>716</v>
      </c>
    </row>
    <row r="20" spans="1:11" s="50" customFormat="1" ht="27.6" customHeight="1" x14ac:dyDescent="0.2">
      <c r="A20" s="478"/>
      <c r="B20" s="483"/>
      <c r="C20" s="217" t="s">
        <v>721</v>
      </c>
      <c r="D20" s="92" t="s">
        <v>715</v>
      </c>
      <c r="E20" s="89">
        <v>1</v>
      </c>
      <c r="F20" s="90" t="s">
        <v>716</v>
      </c>
      <c r="G20" s="90" t="s">
        <v>716</v>
      </c>
      <c r="H20" s="90" t="s">
        <v>716</v>
      </c>
      <c r="I20" s="90" t="s">
        <v>716</v>
      </c>
      <c r="J20" s="91" t="s">
        <v>716</v>
      </c>
    </row>
    <row r="21" spans="1:11" ht="19.899999999999999" customHeight="1" x14ac:dyDescent="0.2">
      <c r="A21" s="215">
        <v>5</v>
      </c>
      <c r="B21" s="221" t="s">
        <v>193</v>
      </c>
      <c r="C21" s="217" t="s">
        <v>722</v>
      </c>
      <c r="D21" s="92" t="s">
        <v>715</v>
      </c>
      <c r="E21" s="89">
        <v>5</v>
      </c>
      <c r="F21" s="89">
        <v>12</v>
      </c>
      <c r="G21" s="89">
        <v>9</v>
      </c>
      <c r="H21" s="89">
        <v>10</v>
      </c>
      <c r="I21" s="90" t="s">
        <v>716</v>
      </c>
      <c r="J21" s="91" t="s">
        <v>716</v>
      </c>
    </row>
    <row r="22" spans="1:11" s="3" customFormat="1" ht="39" customHeight="1" x14ac:dyDescent="0.2">
      <c r="A22" s="215">
        <v>6</v>
      </c>
      <c r="B22" s="221" t="s">
        <v>1243</v>
      </c>
      <c r="C22" s="217" t="s">
        <v>1235</v>
      </c>
      <c r="D22" s="88" t="s">
        <v>715</v>
      </c>
      <c r="E22" s="93" t="s">
        <v>716</v>
      </c>
      <c r="F22" s="94">
        <v>2</v>
      </c>
      <c r="G22" s="94">
        <v>2</v>
      </c>
      <c r="H22" s="93" t="s">
        <v>716</v>
      </c>
      <c r="I22" s="93" t="s">
        <v>716</v>
      </c>
      <c r="J22" s="95" t="s">
        <v>716</v>
      </c>
    </row>
    <row r="23" spans="1:11" ht="36" customHeight="1" x14ac:dyDescent="0.2">
      <c r="A23" s="487" t="s">
        <v>958</v>
      </c>
      <c r="B23" s="490"/>
      <c r="C23" s="490"/>
      <c r="D23" s="490"/>
      <c r="E23" s="490"/>
      <c r="F23" s="490"/>
      <c r="G23" s="490"/>
      <c r="H23" s="490"/>
      <c r="I23" s="490"/>
      <c r="J23" s="491"/>
    </row>
    <row r="24" spans="1:11" ht="19.149999999999999" customHeight="1" x14ac:dyDescent="0.2">
      <c r="A24" s="513">
        <v>7</v>
      </c>
      <c r="B24" s="479" t="s">
        <v>1019</v>
      </c>
      <c r="C24" s="138" t="s">
        <v>980</v>
      </c>
      <c r="D24" s="116" t="s">
        <v>723</v>
      </c>
      <c r="E24" s="139">
        <v>6.79</v>
      </c>
      <c r="F24" s="139">
        <v>6.39</v>
      </c>
      <c r="G24" s="139">
        <v>0.38200000000000001</v>
      </c>
      <c r="H24" s="139">
        <v>0.56100000000000005</v>
      </c>
      <c r="I24" s="139">
        <v>4.4390000000000001</v>
      </c>
      <c r="J24" s="140">
        <v>4.4390000000000001</v>
      </c>
    </row>
    <row r="25" spans="1:11" ht="15" customHeight="1" x14ac:dyDescent="0.2">
      <c r="A25" s="514"/>
      <c r="B25" s="480"/>
      <c r="C25" s="217" t="s">
        <v>724</v>
      </c>
      <c r="D25" s="92" t="s">
        <v>715</v>
      </c>
      <c r="E25" s="89">
        <v>41</v>
      </c>
      <c r="F25" s="89">
        <v>50</v>
      </c>
      <c r="G25" s="89">
        <v>12</v>
      </c>
      <c r="H25" s="89">
        <v>18</v>
      </c>
      <c r="I25" s="89">
        <v>26</v>
      </c>
      <c r="J25" s="96">
        <v>26</v>
      </c>
    </row>
    <row r="26" spans="1:11" ht="19.899999999999999" customHeight="1" x14ac:dyDescent="0.2">
      <c r="A26" s="514"/>
      <c r="B26" s="480"/>
      <c r="C26" s="217" t="s">
        <v>1022</v>
      </c>
      <c r="D26" s="92" t="s">
        <v>715</v>
      </c>
      <c r="E26" s="89">
        <v>460</v>
      </c>
      <c r="F26" s="89">
        <v>483</v>
      </c>
      <c r="G26" s="89">
        <v>590</v>
      </c>
      <c r="H26" s="89">
        <v>161</v>
      </c>
      <c r="I26" s="89">
        <v>130</v>
      </c>
      <c r="J26" s="96">
        <v>130</v>
      </c>
    </row>
    <row r="27" spans="1:11" s="3" customFormat="1" ht="28.9" customHeight="1" x14ac:dyDescent="0.2">
      <c r="A27" s="478">
        <v>8</v>
      </c>
      <c r="B27" s="483" t="s">
        <v>725</v>
      </c>
      <c r="C27" s="217" t="s">
        <v>1189</v>
      </c>
      <c r="D27" s="92" t="s">
        <v>715</v>
      </c>
      <c r="E27" s="90" t="s">
        <v>716</v>
      </c>
      <c r="F27" s="89" t="s">
        <v>716</v>
      </c>
      <c r="G27" s="89">
        <v>7</v>
      </c>
      <c r="H27" s="89">
        <v>7</v>
      </c>
      <c r="I27" s="90" t="s">
        <v>716</v>
      </c>
      <c r="J27" s="91" t="s">
        <v>716</v>
      </c>
    </row>
    <row r="28" spans="1:11" s="3" customFormat="1" ht="31.9" customHeight="1" x14ac:dyDescent="0.2">
      <c r="A28" s="478"/>
      <c r="B28" s="483"/>
      <c r="C28" s="217" t="s">
        <v>719</v>
      </c>
      <c r="D28" s="92" t="s">
        <v>715</v>
      </c>
      <c r="E28" s="89">
        <v>1</v>
      </c>
      <c r="F28" s="90" t="s">
        <v>716</v>
      </c>
      <c r="G28" s="90" t="s">
        <v>716</v>
      </c>
      <c r="H28" s="90" t="s">
        <v>716</v>
      </c>
      <c r="I28" s="90" t="s">
        <v>716</v>
      </c>
      <c r="J28" s="91" t="s">
        <v>716</v>
      </c>
    </row>
    <row r="29" spans="1:11" s="3" customFormat="1" ht="41.45" customHeight="1" x14ac:dyDescent="0.2">
      <c r="A29" s="215">
        <v>9</v>
      </c>
      <c r="B29" s="221" t="s">
        <v>1014</v>
      </c>
      <c r="C29" s="217" t="s">
        <v>1190</v>
      </c>
      <c r="D29" s="92" t="s">
        <v>715</v>
      </c>
      <c r="E29" s="89">
        <v>4</v>
      </c>
      <c r="F29" s="89">
        <v>2</v>
      </c>
      <c r="G29" s="89">
        <v>2</v>
      </c>
      <c r="H29" s="89">
        <v>10</v>
      </c>
      <c r="I29" s="90" t="s">
        <v>716</v>
      </c>
      <c r="J29" s="91" t="s">
        <v>716</v>
      </c>
    </row>
    <row r="30" spans="1:11" s="3" customFormat="1" ht="33" customHeight="1" x14ac:dyDescent="0.2">
      <c r="A30" s="215">
        <v>10</v>
      </c>
      <c r="B30" s="221" t="s">
        <v>1024</v>
      </c>
      <c r="C30" s="217" t="s">
        <v>1026</v>
      </c>
      <c r="D30" s="92" t="s">
        <v>715</v>
      </c>
      <c r="E30" s="90" t="s">
        <v>716</v>
      </c>
      <c r="F30" s="90" t="s">
        <v>716</v>
      </c>
      <c r="G30" s="90" t="s">
        <v>716</v>
      </c>
      <c r="H30" s="90" t="s">
        <v>716</v>
      </c>
      <c r="I30" s="89">
        <v>4</v>
      </c>
      <c r="J30" s="96">
        <v>7</v>
      </c>
    </row>
    <row r="31" spans="1:11" s="3" customFormat="1" ht="29.45" customHeight="1" x14ac:dyDescent="0.2">
      <c r="A31" s="215">
        <v>11</v>
      </c>
      <c r="B31" s="221" t="s">
        <v>1015</v>
      </c>
      <c r="C31" s="217" t="s">
        <v>1016</v>
      </c>
      <c r="D31" s="92" t="s">
        <v>715</v>
      </c>
      <c r="E31" s="90" t="s">
        <v>716</v>
      </c>
      <c r="F31" s="89">
        <v>1</v>
      </c>
      <c r="G31" s="89">
        <v>1</v>
      </c>
      <c r="H31" s="89">
        <v>1</v>
      </c>
      <c r="I31" s="90" t="s">
        <v>716</v>
      </c>
      <c r="J31" s="91" t="s">
        <v>716</v>
      </c>
      <c r="K31" s="54" t="s">
        <v>787</v>
      </c>
    </row>
    <row r="32" spans="1:11" s="3" customFormat="1" ht="33" customHeight="1" x14ac:dyDescent="0.2">
      <c r="A32" s="215">
        <v>12</v>
      </c>
      <c r="B32" s="221" t="s">
        <v>1021</v>
      </c>
      <c r="C32" s="217" t="s">
        <v>1023</v>
      </c>
      <c r="D32" s="92" t="s">
        <v>715</v>
      </c>
      <c r="E32" s="90" t="s">
        <v>716</v>
      </c>
      <c r="F32" s="124">
        <v>734</v>
      </c>
      <c r="G32" s="90" t="s">
        <v>716</v>
      </c>
      <c r="H32" s="90" t="s">
        <v>716</v>
      </c>
      <c r="I32" s="89">
        <v>1943</v>
      </c>
      <c r="J32" s="96">
        <v>1943</v>
      </c>
      <c r="K32" s="54"/>
    </row>
    <row r="33" spans="1:30" s="3" customFormat="1" ht="24.6" customHeight="1" x14ac:dyDescent="0.2">
      <c r="A33" s="215">
        <v>13</v>
      </c>
      <c r="B33" s="221" t="s">
        <v>726</v>
      </c>
      <c r="C33" s="217" t="s">
        <v>727</v>
      </c>
      <c r="D33" s="92" t="s">
        <v>728</v>
      </c>
      <c r="E33" s="89">
        <v>2</v>
      </c>
      <c r="F33" s="90" t="s">
        <v>716</v>
      </c>
      <c r="G33" s="90" t="s">
        <v>716</v>
      </c>
      <c r="H33" s="90" t="s">
        <v>716</v>
      </c>
      <c r="I33" s="89">
        <v>1</v>
      </c>
      <c r="J33" s="96">
        <v>1</v>
      </c>
      <c r="K33" s="231" t="s">
        <v>889</v>
      </c>
    </row>
    <row r="34" spans="1:30" s="3" customFormat="1" ht="42.6" customHeight="1" x14ac:dyDescent="0.2">
      <c r="A34" s="215">
        <v>14</v>
      </c>
      <c r="B34" s="221" t="s">
        <v>729</v>
      </c>
      <c r="C34" s="217" t="s">
        <v>730</v>
      </c>
      <c r="D34" s="92" t="s">
        <v>715</v>
      </c>
      <c r="E34" s="89">
        <v>61</v>
      </c>
      <c r="F34" s="89">
        <v>41</v>
      </c>
      <c r="G34" s="89">
        <v>43</v>
      </c>
      <c r="H34" s="89">
        <v>43</v>
      </c>
      <c r="I34" s="89">
        <v>43</v>
      </c>
      <c r="J34" s="96">
        <v>43</v>
      </c>
    </row>
    <row r="35" spans="1:30" ht="30.6" customHeight="1" x14ac:dyDescent="0.2">
      <c r="A35" s="520" t="s">
        <v>731</v>
      </c>
      <c r="B35" s="521"/>
      <c r="C35" s="521"/>
      <c r="D35" s="521"/>
      <c r="E35" s="521"/>
      <c r="F35" s="521"/>
      <c r="G35" s="521"/>
      <c r="H35" s="521"/>
      <c r="I35" s="521"/>
      <c r="J35" s="522"/>
    </row>
    <row r="36" spans="1:30" s="3" customFormat="1" ht="24" customHeight="1" x14ac:dyDescent="0.2">
      <c r="A36" s="215">
        <v>15</v>
      </c>
      <c r="B36" s="221" t="s">
        <v>184</v>
      </c>
      <c r="C36" s="217" t="s">
        <v>732</v>
      </c>
      <c r="D36" s="97" t="s">
        <v>733</v>
      </c>
      <c r="E36" s="98">
        <v>98.9</v>
      </c>
      <c r="F36" s="98">
        <v>99.5</v>
      </c>
      <c r="G36" s="98">
        <v>99.5</v>
      </c>
      <c r="H36" s="98">
        <v>99.5</v>
      </c>
      <c r="I36" s="98">
        <v>99.5</v>
      </c>
      <c r="J36" s="99">
        <v>99.5</v>
      </c>
    </row>
    <row r="37" spans="1:30" s="232" customFormat="1" ht="45.6" customHeight="1" x14ac:dyDescent="0.2">
      <c r="A37" s="523" t="s">
        <v>835</v>
      </c>
      <c r="B37" s="524"/>
      <c r="C37" s="524"/>
      <c r="D37" s="524"/>
      <c r="E37" s="524"/>
      <c r="F37" s="524"/>
      <c r="G37" s="524"/>
      <c r="H37" s="524"/>
      <c r="I37" s="524"/>
      <c r="J37" s="525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</row>
    <row r="38" spans="1:30" s="232" customFormat="1" ht="33.6" customHeight="1" x14ac:dyDescent="0.2">
      <c r="A38" s="526" t="s">
        <v>957</v>
      </c>
      <c r="B38" s="527"/>
      <c r="C38" s="527"/>
      <c r="D38" s="527"/>
      <c r="E38" s="527"/>
      <c r="F38" s="527"/>
      <c r="G38" s="527"/>
      <c r="H38" s="527"/>
      <c r="I38" s="527"/>
      <c r="J38" s="528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</row>
    <row r="39" spans="1:30" s="232" customFormat="1" ht="44.45" customHeight="1" x14ac:dyDescent="0.2">
      <c r="A39" s="529" t="s">
        <v>834</v>
      </c>
      <c r="B39" s="530"/>
      <c r="C39" s="530"/>
      <c r="D39" s="530"/>
      <c r="E39" s="530"/>
      <c r="F39" s="530"/>
      <c r="G39" s="530"/>
      <c r="H39" s="530"/>
      <c r="I39" s="530"/>
      <c r="J39" s="5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</row>
    <row r="40" spans="1:30" s="232" customFormat="1" ht="43.9" customHeight="1" x14ac:dyDescent="0.2">
      <c r="A40" s="487" t="s">
        <v>837</v>
      </c>
      <c r="B40" s="488"/>
      <c r="C40" s="488"/>
      <c r="D40" s="488"/>
      <c r="E40" s="488"/>
      <c r="F40" s="488"/>
      <c r="G40" s="488"/>
      <c r="H40" s="488"/>
      <c r="I40" s="488"/>
      <c r="J40" s="489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</row>
    <row r="41" spans="1:30" ht="31.9" customHeight="1" x14ac:dyDescent="0.2">
      <c r="A41" s="481">
        <v>16</v>
      </c>
      <c r="B41" s="479" t="s">
        <v>1201</v>
      </c>
      <c r="C41" s="112" t="s">
        <v>893</v>
      </c>
      <c r="D41" s="113" t="s">
        <v>736</v>
      </c>
      <c r="E41" s="114">
        <v>0.1</v>
      </c>
      <c r="F41" s="113">
        <v>3.06</v>
      </c>
      <c r="G41" s="115">
        <v>1.74</v>
      </c>
      <c r="H41" s="114" t="s">
        <v>716</v>
      </c>
      <c r="I41" s="116">
        <v>4.5</v>
      </c>
      <c r="J41" s="117">
        <v>2.4</v>
      </c>
      <c r="K41" s="168">
        <v>3.2</v>
      </c>
    </row>
    <row r="42" spans="1:30" ht="45.6" customHeight="1" x14ac:dyDescent="0.2">
      <c r="A42" s="482"/>
      <c r="B42" s="480"/>
      <c r="C42" s="100" t="s">
        <v>1408</v>
      </c>
      <c r="D42" s="101" t="s">
        <v>715</v>
      </c>
      <c r="E42" s="104" t="s">
        <v>716</v>
      </c>
      <c r="F42" s="104">
        <v>4</v>
      </c>
      <c r="G42" s="104" t="s">
        <v>716</v>
      </c>
      <c r="H42" s="92">
        <v>2</v>
      </c>
      <c r="I42" s="92" t="s">
        <v>716</v>
      </c>
      <c r="J42" s="103" t="s">
        <v>716</v>
      </c>
      <c r="K42" s="168"/>
    </row>
    <row r="43" spans="1:30" ht="45" customHeight="1" x14ac:dyDescent="0.2">
      <c r="A43" s="515">
        <v>17</v>
      </c>
      <c r="B43" s="516" t="s">
        <v>219</v>
      </c>
      <c r="C43" s="100" t="s">
        <v>894</v>
      </c>
      <c r="D43" s="101" t="s">
        <v>736</v>
      </c>
      <c r="E43" s="104" t="s">
        <v>716</v>
      </c>
      <c r="F43" s="104">
        <v>1</v>
      </c>
      <c r="G43" s="92" t="s">
        <v>716</v>
      </c>
      <c r="H43" s="92" t="s">
        <v>716</v>
      </c>
      <c r="I43" s="92">
        <v>0.1</v>
      </c>
      <c r="J43" s="103" t="s">
        <v>716</v>
      </c>
      <c r="K43" s="168">
        <v>0.69</v>
      </c>
    </row>
    <row r="44" spans="1:30" ht="45" customHeight="1" x14ac:dyDescent="0.2">
      <c r="A44" s="519"/>
      <c r="B44" s="518"/>
      <c r="C44" s="100" t="s">
        <v>1405</v>
      </c>
      <c r="D44" s="101" t="s">
        <v>715</v>
      </c>
      <c r="E44" s="104" t="s">
        <v>716</v>
      </c>
      <c r="F44" s="104">
        <v>1</v>
      </c>
      <c r="G44" s="104" t="s">
        <v>716</v>
      </c>
      <c r="H44" s="92" t="s">
        <v>716</v>
      </c>
      <c r="I44" s="92" t="s">
        <v>716</v>
      </c>
      <c r="J44" s="103" t="s">
        <v>716</v>
      </c>
      <c r="K44" s="182"/>
    </row>
    <row r="45" spans="1:30" ht="45" customHeight="1" x14ac:dyDescent="0.2">
      <c r="A45" s="482">
        <v>18</v>
      </c>
      <c r="B45" s="512" t="s">
        <v>220</v>
      </c>
      <c r="C45" s="100" t="s">
        <v>895</v>
      </c>
      <c r="D45" s="101" t="s">
        <v>715</v>
      </c>
      <c r="E45" s="105" t="s">
        <v>716</v>
      </c>
      <c r="F45" s="101">
        <v>6</v>
      </c>
      <c r="G45" s="105" t="s">
        <v>716</v>
      </c>
      <c r="H45" s="101" t="s">
        <v>716</v>
      </c>
      <c r="I45" s="101">
        <v>4</v>
      </c>
      <c r="J45" s="106">
        <v>3</v>
      </c>
      <c r="K45" s="169">
        <v>1</v>
      </c>
    </row>
    <row r="46" spans="1:30" ht="45" customHeight="1" x14ac:dyDescent="0.2">
      <c r="A46" s="482"/>
      <c r="B46" s="512"/>
      <c r="C46" s="100" t="s">
        <v>896</v>
      </c>
      <c r="D46" s="101" t="s">
        <v>715</v>
      </c>
      <c r="E46" s="105" t="s">
        <v>716</v>
      </c>
      <c r="F46" s="101">
        <v>4</v>
      </c>
      <c r="G46" s="101">
        <v>2</v>
      </c>
      <c r="H46" s="101">
        <v>2</v>
      </c>
      <c r="I46" s="101">
        <v>3</v>
      </c>
      <c r="J46" s="106">
        <v>4</v>
      </c>
      <c r="K46" s="169">
        <v>1</v>
      </c>
    </row>
    <row r="47" spans="1:30" ht="43.15" customHeight="1" x14ac:dyDescent="0.2">
      <c r="A47" s="482"/>
      <c r="B47" s="512"/>
      <c r="C47" s="100" t="s">
        <v>826</v>
      </c>
      <c r="D47" s="101" t="s">
        <v>715</v>
      </c>
      <c r="E47" s="92">
        <v>1</v>
      </c>
      <c r="F47" s="92">
        <v>2</v>
      </c>
      <c r="G47" s="92">
        <v>1</v>
      </c>
      <c r="H47" s="92">
        <v>1</v>
      </c>
      <c r="I47" s="101">
        <v>3</v>
      </c>
      <c r="J47" s="106">
        <v>4</v>
      </c>
      <c r="K47" s="169">
        <v>7</v>
      </c>
      <c r="P47" s="233"/>
    </row>
    <row r="48" spans="1:30" ht="43.15" customHeight="1" x14ac:dyDescent="0.2">
      <c r="A48" s="482"/>
      <c r="B48" s="512"/>
      <c r="C48" s="100" t="s">
        <v>827</v>
      </c>
      <c r="D48" s="101" t="s">
        <v>715</v>
      </c>
      <c r="E48" s="105" t="s">
        <v>716</v>
      </c>
      <c r="F48" s="105" t="s">
        <v>716</v>
      </c>
      <c r="G48" s="105" t="s">
        <v>716</v>
      </c>
      <c r="H48" s="101" t="s">
        <v>716</v>
      </c>
      <c r="I48" s="101">
        <v>35</v>
      </c>
      <c r="J48" s="106">
        <v>25</v>
      </c>
      <c r="K48" s="169">
        <v>40</v>
      </c>
      <c r="M48" s="9" t="s">
        <v>780</v>
      </c>
    </row>
    <row r="49" spans="1:12" ht="46.15" customHeight="1" x14ac:dyDescent="0.2">
      <c r="A49" s="482"/>
      <c r="B49" s="512"/>
      <c r="C49" s="100" t="s">
        <v>892</v>
      </c>
      <c r="D49" s="101" t="s">
        <v>736</v>
      </c>
      <c r="E49" s="92">
        <v>33.46</v>
      </c>
      <c r="F49" s="104" t="s">
        <v>716</v>
      </c>
      <c r="G49" s="102" t="s">
        <v>716</v>
      </c>
      <c r="H49" s="107" t="s">
        <v>716</v>
      </c>
      <c r="I49" s="108">
        <v>119</v>
      </c>
      <c r="J49" s="109">
        <v>72</v>
      </c>
      <c r="K49" s="169"/>
    </row>
    <row r="50" spans="1:12" ht="42.6" customHeight="1" x14ac:dyDescent="0.2">
      <c r="A50" s="482"/>
      <c r="B50" s="512"/>
      <c r="C50" s="100" t="s">
        <v>735</v>
      </c>
      <c r="D50" s="101" t="s">
        <v>1204</v>
      </c>
      <c r="E50" s="104" t="s">
        <v>716</v>
      </c>
      <c r="F50" s="104" t="s">
        <v>716</v>
      </c>
      <c r="G50" s="92" t="s">
        <v>716</v>
      </c>
      <c r="H50" s="101" t="s">
        <v>716</v>
      </c>
      <c r="I50" s="101">
        <v>212</v>
      </c>
      <c r="J50" s="106">
        <v>119</v>
      </c>
      <c r="K50" s="169"/>
    </row>
    <row r="51" spans="1:12" ht="63.75" x14ac:dyDescent="0.2">
      <c r="A51" s="515">
        <v>19</v>
      </c>
      <c r="B51" s="516" t="s">
        <v>1341</v>
      </c>
      <c r="C51" s="100" t="s">
        <v>1342</v>
      </c>
      <c r="D51" s="101" t="s">
        <v>738</v>
      </c>
      <c r="E51" s="105" t="s">
        <v>716</v>
      </c>
      <c r="F51" s="101" t="s">
        <v>1239</v>
      </c>
      <c r="G51" s="92" t="s">
        <v>1449</v>
      </c>
      <c r="H51" s="92" t="s">
        <v>1326</v>
      </c>
      <c r="I51" s="92" t="s">
        <v>1448</v>
      </c>
      <c r="J51" s="103" t="s">
        <v>1241</v>
      </c>
      <c r="K51" s="155">
        <v>109.38</v>
      </c>
      <c r="L51" s="9" t="s">
        <v>775</v>
      </c>
    </row>
    <row r="52" spans="1:12" ht="29.25" customHeight="1" x14ac:dyDescent="0.2">
      <c r="A52" s="493"/>
      <c r="B52" s="496"/>
      <c r="C52" s="178" t="s">
        <v>1347</v>
      </c>
      <c r="D52" s="156" t="s">
        <v>715</v>
      </c>
      <c r="E52" s="157" t="s">
        <v>716</v>
      </c>
      <c r="F52" s="156">
        <v>1</v>
      </c>
      <c r="G52" s="158" t="s">
        <v>716</v>
      </c>
      <c r="H52" s="158" t="s">
        <v>716</v>
      </c>
      <c r="I52" s="158" t="s">
        <v>716</v>
      </c>
      <c r="J52" s="159" t="s">
        <v>716</v>
      </c>
      <c r="K52" s="155"/>
    </row>
    <row r="53" spans="1:12" ht="51" x14ac:dyDescent="0.2">
      <c r="A53" s="494"/>
      <c r="B53" s="517"/>
      <c r="C53" s="201" t="s">
        <v>1394</v>
      </c>
      <c r="D53" s="170" t="s">
        <v>715</v>
      </c>
      <c r="E53" s="171" t="s">
        <v>716</v>
      </c>
      <c r="F53" s="170">
        <v>1</v>
      </c>
      <c r="G53" s="172" t="s">
        <v>716</v>
      </c>
      <c r="H53" s="172" t="s">
        <v>716</v>
      </c>
      <c r="I53" s="172" t="s">
        <v>716</v>
      </c>
      <c r="J53" s="173" t="s">
        <v>716</v>
      </c>
      <c r="K53" s="155"/>
    </row>
    <row r="54" spans="1:12" ht="56.45" customHeight="1" x14ac:dyDescent="0.2">
      <c r="A54" s="492">
        <v>20</v>
      </c>
      <c r="B54" s="495" t="s">
        <v>221</v>
      </c>
      <c r="C54" s="112" t="s">
        <v>1343</v>
      </c>
      <c r="D54" s="113" t="s">
        <v>737</v>
      </c>
      <c r="E54" s="116">
        <v>257.52999999999997</v>
      </c>
      <c r="F54" s="234" t="s">
        <v>1414</v>
      </c>
      <c r="G54" s="116" t="s">
        <v>1451</v>
      </c>
      <c r="H54" s="116" t="s">
        <v>1349</v>
      </c>
      <c r="I54" s="116" t="s">
        <v>1452</v>
      </c>
      <c r="J54" s="117" t="s">
        <v>1242</v>
      </c>
      <c r="K54" s="40" t="s">
        <v>739</v>
      </c>
    </row>
    <row r="55" spans="1:12" ht="19.149999999999999" customHeight="1" x14ac:dyDescent="0.2">
      <c r="A55" s="493"/>
      <c r="B55" s="496"/>
      <c r="C55" s="100" t="s">
        <v>1183</v>
      </c>
      <c r="D55" s="101" t="s">
        <v>715</v>
      </c>
      <c r="E55" s="92" t="s">
        <v>716</v>
      </c>
      <c r="F55" s="108">
        <v>1</v>
      </c>
      <c r="G55" s="101" t="s">
        <v>716</v>
      </c>
      <c r="H55" s="101" t="s">
        <v>716</v>
      </c>
      <c r="I55" s="101" t="s">
        <v>716</v>
      </c>
      <c r="J55" s="106" t="s">
        <v>716</v>
      </c>
      <c r="K55" s="40"/>
    </row>
    <row r="56" spans="1:12" ht="86.45" customHeight="1" x14ac:dyDescent="0.2">
      <c r="A56" s="493"/>
      <c r="B56" s="496"/>
      <c r="C56" s="100" t="s">
        <v>1192</v>
      </c>
      <c r="D56" s="101" t="s">
        <v>715</v>
      </c>
      <c r="E56" s="92" t="s">
        <v>716</v>
      </c>
      <c r="F56" s="108">
        <v>13</v>
      </c>
      <c r="G56" s="101" t="s">
        <v>716</v>
      </c>
      <c r="H56" s="101" t="s">
        <v>716</v>
      </c>
      <c r="I56" s="101" t="s">
        <v>716</v>
      </c>
      <c r="J56" s="106" t="s">
        <v>716</v>
      </c>
      <c r="K56" s="40"/>
    </row>
    <row r="57" spans="1:12" ht="17.45" customHeight="1" x14ac:dyDescent="0.2">
      <c r="A57" s="493"/>
      <c r="B57" s="496"/>
      <c r="C57" s="100" t="s">
        <v>718</v>
      </c>
      <c r="D57" s="101" t="s">
        <v>715</v>
      </c>
      <c r="E57" s="92" t="s">
        <v>716</v>
      </c>
      <c r="F57" s="108">
        <v>19</v>
      </c>
      <c r="G57" s="101" t="s">
        <v>716</v>
      </c>
      <c r="H57" s="101" t="s">
        <v>716</v>
      </c>
      <c r="I57" s="101" t="s">
        <v>716</v>
      </c>
      <c r="J57" s="106" t="s">
        <v>716</v>
      </c>
      <c r="K57" s="40"/>
    </row>
    <row r="58" spans="1:12" ht="16.149999999999999" customHeight="1" x14ac:dyDescent="0.2">
      <c r="A58" s="493"/>
      <c r="B58" s="496"/>
      <c r="C58" s="100" t="s">
        <v>720</v>
      </c>
      <c r="D58" s="101" t="s">
        <v>715</v>
      </c>
      <c r="E58" s="92" t="s">
        <v>716</v>
      </c>
      <c r="F58" s="108">
        <v>2</v>
      </c>
      <c r="G58" s="101" t="s">
        <v>716</v>
      </c>
      <c r="H58" s="101" t="s">
        <v>716</v>
      </c>
      <c r="I58" s="101" t="s">
        <v>716</v>
      </c>
      <c r="J58" s="106" t="s">
        <v>716</v>
      </c>
      <c r="K58" s="40"/>
    </row>
    <row r="59" spans="1:12" ht="17.45" customHeight="1" x14ac:dyDescent="0.2">
      <c r="A59" s="493"/>
      <c r="B59" s="496"/>
      <c r="C59" s="100" t="s">
        <v>722</v>
      </c>
      <c r="D59" s="101" t="s">
        <v>715</v>
      </c>
      <c r="E59" s="92" t="s">
        <v>716</v>
      </c>
      <c r="F59" s="108">
        <v>11</v>
      </c>
      <c r="G59" s="101" t="s">
        <v>716</v>
      </c>
      <c r="H59" s="101" t="s">
        <v>716</v>
      </c>
      <c r="I59" s="101" t="s">
        <v>716</v>
      </c>
      <c r="J59" s="106" t="s">
        <v>716</v>
      </c>
      <c r="K59" s="40"/>
    </row>
    <row r="60" spans="1:12" ht="40.5" customHeight="1" x14ac:dyDescent="0.2">
      <c r="A60" s="493"/>
      <c r="B60" s="496"/>
      <c r="C60" s="100" t="s">
        <v>962</v>
      </c>
      <c r="D60" s="101" t="s">
        <v>715</v>
      </c>
      <c r="E60" s="92" t="s">
        <v>716</v>
      </c>
      <c r="F60" s="108">
        <v>4</v>
      </c>
      <c r="G60" s="101" t="s">
        <v>716</v>
      </c>
      <c r="H60" s="101" t="s">
        <v>716</v>
      </c>
      <c r="I60" s="101" t="s">
        <v>716</v>
      </c>
      <c r="J60" s="106" t="s">
        <v>716</v>
      </c>
      <c r="K60" s="40"/>
    </row>
    <row r="61" spans="1:12" ht="20.45" customHeight="1" x14ac:dyDescent="0.2">
      <c r="A61" s="493"/>
      <c r="B61" s="496"/>
      <c r="C61" s="100" t="s">
        <v>980</v>
      </c>
      <c r="D61" s="101" t="s">
        <v>1191</v>
      </c>
      <c r="E61" s="92" t="s">
        <v>716</v>
      </c>
      <c r="F61" s="107">
        <v>6.57</v>
      </c>
      <c r="G61" s="101" t="s">
        <v>716</v>
      </c>
      <c r="H61" s="101" t="s">
        <v>716</v>
      </c>
      <c r="I61" s="101" t="s">
        <v>716</v>
      </c>
      <c r="J61" s="106" t="s">
        <v>716</v>
      </c>
      <c r="K61" s="40"/>
    </row>
    <row r="62" spans="1:12" ht="16.899999999999999" customHeight="1" x14ac:dyDescent="0.2">
      <c r="A62" s="493"/>
      <c r="B62" s="496"/>
      <c r="C62" s="100" t="s">
        <v>724</v>
      </c>
      <c r="D62" s="101" t="s">
        <v>715</v>
      </c>
      <c r="E62" s="92" t="s">
        <v>716</v>
      </c>
      <c r="F62" s="108">
        <v>20</v>
      </c>
      <c r="G62" s="101" t="s">
        <v>716</v>
      </c>
      <c r="H62" s="101" t="s">
        <v>716</v>
      </c>
      <c r="I62" s="101" t="s">
        <v>716</v>
      </c>
      <c r="J62" s="106" t="s">
        <v>716</v>
      </c>
      <c r="K62" s="40"/>
    </row>
    <row r="63" spans="1:12" ht="22.9" customHeight="1" x14ac:dyDescent="0.2">
      <c r="A63" s="493"/>
      <c r="B63" s="496"/>
      <c r="C63" s="100" t="s">
        <v>1188</v>
      </c>
      <c r="D63" s="101" t="s">
        <v>715</v>
      </c>
      <c r="E63" s="92" t="s">
        <v>716</v>
      </c>
      <c r="F63" s="108">
        <v>42</v>
      </c>
      <c r="G63" s="101" t="s">
        <v>716</v>
      </c>
      <c r="H63" s="101" t="s">
        <v>716</v>
      </c>
      <c r="I63" s="101" t="s">
        <v>716</v>
      </c>
      <c r="J63" s="106" t="s">
        <v>716</v>
      </c>
      <c r="K63" s="40"/>
    </row>
    <row r="64" spans="1:12" ht="28.9" customHeight="1" x14ac:dyDescent="0.2">
      <c r="A64" s="493"/>
      <c r="B64" s="496"/>
      <c r="C64" s="100" t="s">
        <v>1189</v>
      </c>
      <c r="D64" s="101" t="s">
        <v>715</v>
      </c>
      <c r="E64" s="92" t="s">
        <v>716</v>
      </c>
      <c r="F64" s="108">
        <v>2</v>
      </c>
      <c r="G64" s="101" t="s">
        <v>716</v>
      </c>
      <c r="H64" s="101" t="s">
        <v>716</v>
      </c>
      <c r="I64" s="101" t="s">
        <v>716</v>
      </c>
      <c r="J64" s="106" t="s">
        <v>716</v>
      </c>
      <c r="K64" s="40"/>
    </row>
    <row r="65" spans="1:30" ht="27" customHeight="1" x14ac:dyDescent="0.2">
      <c r="A65" s="493"/>
      <c r="B65" s="496"/>
      <c r="C65" s="100" t="s">
        <v>1190</v>
      </c>
      <c r="D65" s="101" t="s">
        <v>715</v>
      </c>
      <c r="E65" s="92" t="s">
        <v>716</v>
      </c>
      <c r="F65" s="108">
        <v>1</v>
      </c>
      <c r="G65" s="101" t="s">
        <v>716</v>
      </c>
      <c r="H65" s="101" t="s">
        <v>716</v>
      </c>
      <c r="I65" s="101" t="s">
        <v>716</v>
      </c>
      <c r="J65" s="106" t="s">
        <v>716</v>
      </c>
      <c r="K65" s="40"/>
    </row>
    <row r="66" spans="1:30" ht="70.150000000000006" customHeight="1" x14ac:dyDescent="0.2">
      <c r="A66" s="493"/>
      <c r="B66" s="496"/>
      <c r="C66" s="100" t="s">
        <v>1450</v>
      </c>
      <c r="D66" s="101" t="s">
        <v>715</v>
      </c>
      <c r="E66" s="92" t="s">
        <v>716</v>
      </c>
      <c r="F66" s="557">
        <v>7</v>
      </c>
      <c r="G66" s="101" t="s">
        <v>716</v>
      </c>
      <c r="H66" s="101" t="s">
        <v>716</v>
      </c>
      <c r="I66" s="101" t="s">
        <v>716</v>
      </c>
      <c r="J66" s="106" t="s">
        <v>716</v>
      </c>
      <c r="K66" s="40"/>
    </row>
    <row r="67" spans="1:30" ht="25.5" x14ac:dyDescent="0.2">
      <c r="A67" s="493"/>
      <c r="B67" s="496"/>
      <c r="C67" s="178" t="s">
        <v>1346</v>
      </c>
      <c r="D67" s="156" t="s">
        <v>715</v>
      </c>
      <c r="E67" s="158" t="s">
        <v>716</v>
      </c>
      <c r="F67" s="179">
        <v>1</v>
      </c>
      <c r="G67" s="156" t="s">
        <v>716</v>
      </c>
      <c r="H67" s="156" t="s">
        <v>716</v>
      </c>
      <c r="I67" s="156" t="s">
        <v>716</v>
      </c>
      <c r="J67" s="195" t="s">
        <v>716</v>
      </c>
      <c r="K67" s="40"/>
    </row>
    <row r="68" spans="1:30" ht="38.25" x14ac:dyDescent="0.2">
      <c r="A68" s="494"/>
      <c r="B68" s="497"/>
      <c r="C68" s="196" t="s">
        <v>1393</v>
      </c>
      <c r="D68" s="197" t="s">
        <v>736</v>
      </c>
      <c r="E68" s="110" t="s">
        <v>716</v>
      </c>
      <c r="F68" s="198">
        <v>12.17</v>
      </c>
      <c r="G68" s="197" t="s">
        <v>716</v>
      </c>
      <c r="H68" s="197" t="s">
        <v>716</v>
      </c>
      <c r="I68" s="197" t="s">
        <v>716</v>
      </c>
      <c r="J68" s="199" t="s">
        <v>716</v>
      </c>
      <c r="K68" s="40"/>
    </row>
    <row r="69" spans="1:30" ht="63.75" customHeight="1" x14ac:dyDescent="0.2">
      <c r="A69" s="209">
        <v>21</v>
      </c>
      <c r="B69" s="222" t="s">
        <v>1182</v>
      </c>
      <c r="C69" s="174" t="s">
        <v>840</v>
      </c>
      <c r="D69" s="175" t="s">
        <v>737</v>
      </c>
      <c r="E69" s="176">
        <v>178.35</v>
      </c>
      <c r="F69" s="176">
        <v>107.91</v>
      </c>
      <c r="G69" s="176">
        <v>7</v>
      </c>
      <c r="H69" s="176">
        <v>6</v>
      </c>
      <c r="I69" s="176">
        <v>321</v>
      </c>
      <c r="J69" s="177">
        <v>327</v>
      </c>
      <c r="K69" s="40" t="s">
        <v>740</v>
      </c>
    </row>
    <row r="70" spans="1:30" ht="117" customHeight="1" x14ac:dyDescent="0.2">
      <c r="A70" s="216">
        <v>22</v>
      </c>
      <c r="B70" s="223" t="s">
        <v>838</v>
      </c>
      <c r="C70" s="118" t="s">
        <v>871</v>
      </c>
      <c r="D70" s="113" t="s">
        <v>737</v>
      </c>
      <c r="E70" s="116">
        <v>6.14</v>
      </c>
      <c r="F70" s="116">
        <v>15.6</v>
      </c>
      <c r="G70" s="116" t="s">
        <v>716</v>
      </c>
      <c r="H70" s="116" t="s">
        <v>716</v>
      </c>
      <c r="I70" s="116">
        <v>324.67</v>
      </c>
      <c r="J70" s="117">
        <v>171.17</v>
      </c>
      <c r="K70" s="41" t="s">
        <v>889</v>
      </c>
    </row>
    <row r="71" spans="1:30" ht="42" customHeight="1" x14ac:dyDescent="0.2">
      <c r="A71" s="208">
        <v>23</v>
      </c>
      <c r="B71" s="224" t="s">
        <v>1247</v>
      </c>
      <c r="C71" s="200" t="s">
        <v>1248</v>
      </c>
      <c r="D71" s="101" t="s">
        <v>737</v>
      </c>
      <c r="E71" s="92" t="s">
        <v>716</v>
      </c>
      <c r="F71" s="92">
        <v>7047.68</v>
      </c>
      <c r="G71" s="92" t="s">
        <v>716</v>
      </c>
      <c r="H71" s="92" t="s">
        <v>716</v>
      </c>
      <c r="I71" s="92" t="s">
        <v>716</v>
      </c>
      <c r="J71" s="103" t="s">
        <v>716</v>
      </c>
      <c r="K71" s="41"/>
    </row>
    <row r="72" spans="1:30" s="232" customFormat="1" ht="31.15" customHeight="1" x14ac:dyDescent="0.2">
      <c r="A72" s="523" t="s">
        <v>825</v>
      </c>
      <c r="B72" s="524"/>
      <c r="C72" s="524"/>
      <c r="D72" s="524"/>
      <c r="E72" s="524"/>
      <c r="F72" s="524"/>
      <c r="G72" s="524"/>
      <c r="H72" s="524"/>
      <c r="I72" s="524"/>
      <c r="J72" s="525"/>
      <c r="K72" s="532"/>
      <c r="L72" s="532"/>
      <c r="M72" s="532"/>
      <c r="N72" s="532"/>
      <c r="O72" s="532"/>
      <c r="P72" s="532"/>
      <c r="Q72" s="532"/>
      <c r="R72" s="532"/>
      <c r="S72" s="532"/>
      <c r="T72" s="532"/>
      <c r="U72" s="532"/>
      <c r="V72" s="532"/>
      <c r="W72" s="532"/>
      <c r="X72" s="532"/>
      <c r="Y72" s="532"/>
      <c r="Z72" s="532"/>
      <c r="AA72" s="532"/>
      <c r="AB72" s="532"/>
      <c r="AC72" s="532"/>
      <c r="AD72" s="532"/>
    </row>
    <row r="73" spans="1:30" s="232" customFormat="1" ht="17.45" customHeight="1" x14ac:dyDescent="0.2">
      <c r="A73" s="536" t="s">
        <v>223</v>
      </c>
      <c r="B73" s="537"/>
      <c r="C73" s="537"/>
      <c r="D73" s="537"/>
      <c r="E73" s="537"/>
      <c r="F73" s="537"/>
      <c r="G73" s="537"/>
      <c r="H73" s="537"/>
      <c r="I73" s="537"/>
      <c r="J73" s="538"/>
      <c r="K73" s="541"/>
      <c r="L73" s="541"/>
      <c r="M73" s="541"/>
      <c r="N73" s="541"/>
      <c r="O73" s="541"/>
      <c r="P73" s="541"/>
      <c r="Q73" s="541"/>
      <c r="R73" s="541"/>
      <c r="S73" s="541"/>
      <c r="T73" s="541"/>
      <c r="U73" s="541"/>
      <c r="V73" s="541"/>
      <c r="W73" s="541"/>
      <c r="X73" s="541"/>
      <c r="Y73" s="541"/>
      <c r="Z73" s="541"/>
      <c r="AA73" s="541"/>
      <c r="AB73" s="541"/>
      <c r="AC73" s="541"/>
      <c r="AD73" s="541"/>
    </row>
    <row r="74" spans="1:30" s="232" customFormat="1" ht="40.15" customHeight="1" x14ac:dyDescent="0.2">
      <c r="A74" s="520" t="s">
        <v>824</v>
      </c>
      <c r="B74" s="533"/>
      <c r="C74" s="533"/>
      <c r="D74" s="533"/>
      <c r="E74" s="533"/>
      <c r="F74" s="533"/>
      <c r="G74" s="533"/>
      <c r="H74" s="533"/>
      <c r="I74" s="533"/>
      <c r="J74" s="534"/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35"/>
      <c r="X74" s="535"/>
      <c r="Y74" s="535"/>
      <c r="Z74" s="535"/>
      <c r="AA74" s="535"/>
      <c r="AB74" s="535"/>
      <c r="AC74" s="535"/>
      <c r="AD74" s="535"/>
    </row>
    <row r="75" spans="1:30" s="232" customFormat="1" ht="36" customHeight="1" x14ac:dyDescent="0.2">
      <c r="A75" s="520" t="s">
        <v>224</v>
      </c>
      <c r="B75" s="533"/>
      <c r="C75" s="533"/>
      <c r="D75" s="533"/>
      <c r="E75" s="533"/>
      <c r="F75" s="533"/>
      <c r="G75" s="533"/>
      <c r="H75" s="533"/>
      <c r="I75" s="533"/>
      <c r="J75" s="534"/>
      <c r="K75" s="535"/>
      <c r="L75" s="535"/>
      <c r="M75" s="535"/>
      <c r="N75" s="535"/>
      <c r="O75" s="535"/>
      <c r="P75" s="535"/>
      <c r="Q75" s="535"/>
      <c r="R75" s="535"/>
      <c r="S75" s="535"/>
      <c r="T75" s="535"/>
      <c r="U75" s="535"/>
      <c r="V75" s="535"/>
      <c r="W75" s="535"/>
      <c r="X75" s="535"/>
      <c r="Y75" s="535"/>
      <c r="Z75" s="535"/>
      <c r="AA75" s="535"/>
      <c r="AB75" s="535"/>
      <c r="AC75" s="535"/>
      <c r="AD75" s="535"/>
    </row>
    <row r="76" spans="1:30" ht="82.15" customHeight="1" x14ac:dyDescent="0.2">
      <c r="A76" s="215">
        <v>24</v>
      </c>
      <c r="B76" s="224" t="s">
        <v>778</v>
      </c>
      <c r="C76" s="119" t="s">
        <v>741</v>
      </c>
      <c r="D76" s="120" t="s">
        <v>738</v>
      </c>
      <c r="E76" s="121">
        <v>6198.38</v>
      </c>
      <c r="F76" s="102">
        <v>5148.7299999999996</v>
      </c>
      <c r="G76" s="102">
        <v>6198.3789999999999</v>
      </c>
      <c r="H76" s="102">
        <v>6198.3789999999999</v>
      </c>
      <c r="I76" s="102">
        <v>6198.3789999999999</v>
      </c>
      <c r="J76" s="102">
        <v>6198.3789999999999</v>
      </c>
    </row>
    <row r="77" spans="1:30" ht="30.6" customHeight="1" x14ac:dyDescent="0.2">
      <c r="A77" s="215">
        <v>25</v>
      </c>
      <c r="B77" s="200" t="s">
        <v>742</v>
      </c>
      <c r="C77" s="119" t="s">
        <v>1198</v>
      </c>
      <c r="D77" s="120" t="s">
        <v>738</v>
      </c>
      <c r="E77" s="121">
        <v>1.95</v>
      </c>
      <c r="F77" s="122">
        <v>1.95</v>
      </c>
      <c r="G77" s="122">
        <v>1.95</v>
      </c>
      <c r="H77" s="122">
        <v>1.95</v>
      </c>
      <c r="I77" s="122">
        <v>1.95</v>
      </c>
      <c r="J77" s="123">
        <v>1.95</v>
      </c>
    </row>
    <row r="78" spans="1:30" x14ac:dyDescent="0.2">
      <c r="A78" s="547" t="s">
        <v>743</v>
      </c>
      <c r="B78" s="548"/>
      <c r="C78" s="548"/>
      <c r="D78" s="548"/>
      <c r="E78" s="548"/>
      <c r="F78" s="548"/>
      <c r="G78" s="548"/>
      <c r="H78" s="548"/>
      <c r="I78" s="548"/>
      <c r="J78" s="549"/>
    </row>
    <row r="79" spans="1:30" ht="31.15" customHeight="1" x14ac:dyDescent="0.2">
      <c r="A79" s="215">
        <v>26</v>
      </c>
      <c r="B79" s="200" t="s">
        <v>227</v>
      </c>
      <c r="C79" s="119" t="s">
        <v>744</v>
      </c>
      <c r="D79" s="120" t="s">
        <v>715</v>
      </c>
      <c r="E79" s="124">
        <v>29</v>
      </c>
      <c r="F79" s="125">
        <v>29</v>
      </c>
      <c r="G79" s="125">
        <v>29</v>
      </c>
      <c r="H79" s="125">
        <v>29</v>
      </c>
      <c r="I79" s="125">
        <v>29</v>
      </c>
      <c r="J79" s="126">
        <v>29</v>
      </c>
    </row>
    <row r="80" spans="1:30" ht="28.9" customHeight="1" x14ac:dyDescent="0.2">
      <c r="A80" s="215">
        <v>27</v>
      </c>
      <c r="B80" s="200" t="s">
        <v>1027</v>
      </c>
      <c r="C80" s="100" t="s">
        <v>1028</v>
      </c>
      <c r="D80" s="101" t="s">
        <v>715</v>
      </c>
      <c r="E80" s="92" t="s">
        <v>716</v>
      </c>
      <c r="F80" s="127">
        <v>1</v>
      </c>
      <c r="G80" s="92" t="s">
        <v>716</v>
      </c>
      <c r="H80" s="92" t="s">
        <v>716</v>
      </c>
      <c r="I80" s="92" t="s">
        <v>716</v>
      </c>
      <c r="J80" s="103" t="s">
        <v>716</v>
      </c>
    </row>
    <row r="81" spans="1:10" ht="102" customHeight="1" x14ac:dyDescent="0.2">
      <c r="A81" s="180">
        <v>28</v>
      </c>
      <c r="B81" s="225" t="s">
        <v>1338</v>
      </c>
      <c r="C81" s="128" t="s">
        <v>1029</v>
      </c>
      <c r="D81" s="129" t="s">
        <v>715</v>
      </c>
      <c r="E81" s="110" t="s">
        <v>716</v>
      </c>
      <c r="F81" s="130">
        <v>2</v>
      </c>
      <c r="G81" s="110" t="s">
        <v>716</v>
      </c>
      <c r="H81" s="110" t="s">
        <v>716</v>
      </c>
      <c r="I81" s="110" t="s">
        <v>716</v>
      </c>
      <c r="J81" s="111" t="s">
        <v>716</v>
      </c>
    </row>
    <row r="82" spans="1:10" ht="41.45" customHeight="1" x14ac:dyDescent="0.2">
      <c r="A82" s="181">
        <v>29</v>
      </c>
      <c r="B82" s="226" t="s">
        <v>1406</v>
      </c>
      <c r="C82" s="191" t="s">
        <v>1407</v>
      </c>
      <c r="D82" s="192" t="s">
        <v>715</v>
      </c>
      <c r="E82" s="193"/>
      <c r="F82" s="194">
        <v>1</v>
      </c>
      <c r="G82" s="193"/>
      <c r="H82" s="193"/>
      <c r="I82" s="193"/>
      <c r="J82" s="235"/>
    </row>
    <row r="83" spans="1:10" ht="31.15" customHeight="1" x14ac:dyDescent="0.2">
      <c r="A83" s="529" t="s">
        <v>704</v>
      </c>
      <c r="B83" s="530"/>
      <c r="C83" s="530"/>
      <c r="D83" s="530"/>
      <c r="E83" s="530"/>
      <c r="F83" s="530"/>
      <c r="G83" s="530"/>
      <c r="H83" s="530"/>
      <c r="I83" s="530"/>
      <c r="J83" s="531"/>
    </row>
    <row r="84" spans="1:10" ht="19.899999999999999" customHeight="1" x14ac:dyDescent="0.2">
      <c r="A84" s="536" t="s">
        <v>182</v>
      </c>
      <c r="B84" s="537"/>
      <c r="C84" s="537"/>
      <c r="D84" s="537"/>
      <c r="E84" s="537"/>
      <c r="F84" s="537"/>
      <c r="G84" s="537"/>
      <c r="H84" s="537"/>
      <c r="I84" s="537"/>
      <c r="J84" s="538"/>
    </row>
    <row r="85" spans="1:10" ht="20.45" customHeight="1" x14ac:dyDescent="0.2">
      <c r="A85" s="520" t="s">
        <v>181</v>
      </c>
      <c r="B85" s="533"/>
      <c r="C85" s="533"/>
      <c r="D85" s="533"/>
      <c r="E85" s="533"/>
      <c r="F85" s="533"/>
      <c r="G85" s="533"/>
      <c r="H85" s="533"/>
      <c r="I85" s="533"/>
      <c r="J85" s="534"/>
    </row>
    <row r="86" spans="1:10" ht="20.45" customHeight="1" x14ac:dyDescent="0.2">
      <c r="A86" s="520" t="s">
        <v>180</v>
      </c>
      <c r="B86" s="533"/>
      <c r="C86" s="533"/>
      <c r="D86" s="533"/>
      <c r="E86" s="533"/>
      <c r="F86" s="533"/>
      <c r="G86" s="533"/>
      <c r="H86" s="533"/>
      <c r="I86" s="533"/>
      <c r="J86" s="534"/>
    </row>
    <row r="87" spans="1:10" ht="28.15" customHeight="1" x14ac:dyDescent="0.2">
      <c r="A87" s="215">
        <v>30</v>
      </c>
      <c r="B87" s="200" t="s">
        <v>179</v>
      </c>
      <c r="C87" s="119" t="s">
        <v>734</v>
      </c>
      <c r="D87" s="131" t="s">
        <v>715</v>
      </c>
      <c r="E87" s="132">
        <v>100</v>
      </c>
      <c r="F87" s="132">
        <v>50</v>
      </c>
      <c r="G87" s="132">
        <v>50</v>
      </c>
      <c r="H87" s="132">
        <v>50</v>
      </c>
      <c r="I87" s="132">
        <v>50</v>
      </c>
      <c r="J87" s="133">
        <v>50</v>
      </c>
    </row>
    <row r="88" spans="1:10" ht="18" customHeight="1" x14ac:dyDescent="0.2">
      <c r="A88" s="544" t="s">
        <v>788</v>
      </c>
      <c r="B88" s="545"/>
      <c r="C88" s="545"/>
      <c r="D88" s="545"/>
      <c r="E88" s="545"/>
      <c r="F88" s="545"/>
      <c r="G88" s="545"/>
      <c r="H88" s="545"/>
      <c r="I88" s="545"/>
      <c r="J88" s="546"/>
    </row>
    <row r="89" spans="1:10" ht="50.45" customHeight="1" x14ac:dyDescent="0.2">
      <c r="A89" s="188" t="s">
        <v>1436</v>
      </c>
      <c r="B89" s="200" t="s">
        <v>1396</v>
      </c>
      <c r="C89" s="183" t="s">
        <v>784</v>
      </c>
      <c r="D89" s="210" t="s">
        <v>785</v>
      </c>
      <c r="E89" s="184" t="s">
        <v>716</v>
      </c>
      <c r="F89" s="185">
        <v>15100</v>
      </c>
      <c r="G89" s="186" t="s">
        <v>716</v>
      </c>
      <c r="H89" s="186" t="s">
        <v>716</v>
      </c>
      <c r="I89" s="186" t="s">
        <v>716</v>
      </c>
      <c r="J89" s="187" t="s">
        <v>716</v>
      </c>
    </row>
    <row r="90" spans="1:10" ht="132.6" customHeight="1" x14ac:dyDescent="0.2">
      <c r="A90" s="189" t="s">
        <v>1437</v>
      </c>
      <c r="B90" s="200" t="s">
        <v>1395</v>
      </c>
      <c r="C90" s="190" t="s">
        <v>1411</v>
      </c>
      <c r="D90" s="210" t="s">
        <v>785</v>
      </c>
      <c r="E90" s="184" t="s">
        <v>716</v>
      </c>
      <c r="F90" s="185">
        <v>1116</v>
      </c>
      <c r="G90" s="186" t="s">
        <v>716</v>
      </c>
      <c r="H90" s="186" t="s">
        <v>716</v>
      </c>
      <c r="I90" s="186" t="s">
        <v>716</v>
      </c>
      <c r="J90" s="187" t="s">
        <v>716</v>
      </c>
    </row>
    <row r="91" spans="1:10" ht="31.9" customHeight="1" x14ac:dyDescent="0.2">
      <c r="A91" s="207">
        <v>32</v>
      </c>
      <c r="B91" s="224" t="s">
        <v>1238</v>
      </c>
      <c r="C91" s="217" t="s">
        <v>784</v>
      </c>
      <c r="D91" s="92" t="s">
        <v>785</v>
      </c>
      <c r="E91" s="104" t="s">
        <v>716</v>
      </c>
      <c r="F91" s="136" t="s">
        <v>716</v>
      </c>
      <c r="G91" s="94">
        <v>15100</v>
      </c>
      <c r="H91" s="94">
        <v>15100</v>
      </c>
      <c r="I91" s="94">
        <v>15100</v>
      </c>
      <c r="J91" s="137">
        <v>15100</v>
      </c>
    </row>
    <row r="92" spans="1:10" ht="33" customHeight="1" x14ac:dyDescent="0.2">
      <c r="A92" s="514">
        <v>33</v>
      </c>
      <c r="B92" s="480" t="s">
        <v>776</v>
      </c>
      <c r="C92" s="217" t="s">
        <v>783</v>
      </c>
      <c r="D92" s="92" t="s">
        <v>733</v>
      </c>
      <c r="E92" s="104" t="s">
        <v>781</v>
      </c>
      <c r="F92" s="134">
        <v>90</v>
      </c>
      <c r="G92" s="134">
        <v>90</v>
      </c>
      <c r="H92" s="134">
        <v>90</v>
      </c>
      <c r="I92" s="134">
        <v>90</v>
      </c>
      <c r="J92" s="135">
        <v>90</v>
      </c>
    </row>
    <row r="93" spans="1:10" ht="31.9" customHeight="1" x14ac:dyDescent="0.2">
      <c r="A93" s="514"/>
      <c r="B93" s="480"/>
      <c r="C93" s="217" t="s">
        <v>897</v>
      </c>
      <c r="D93" s="92" t="s">
        <v>728</v>
      </c>
      <c r="E93" s="94">
        <f>2</f>
        <v>2</v>
      </c>
      <c r="F93" s="94">
        <v>6</v>
      </c>
      <c r="G93" s="94">
        <v>2</v>
      </c>
      <c r="H93" s="94">
        <v>2</v>
      </c>
      <c r="I93" s="94">
        <v>2</v>
      </c>
      <c r="J93" s="137">
        <v>2</v>
      </c>
    </row>
    <row r="94" spans="1:10" ht="33.6" customHeight="1" x14ac:dyDescent="0.2">
      <c r="A94" s="542"/>
      <c r="B94" s="543"/>
      <c r="C94" s="150" t="s">
        <v>898</v>
      </c>
      <c r="D94" s="110" t="s">
        <v>728</v>
      </c>
      <c r="E94" s="151">
        <v>50</v>
      </c>
      <c r="F94" s="151">
        <v>78</v>
      </c>
      <c r="G94" s="151">
        <v>50</v>
      </c>
      <c r="H94" s="151">
        <v>50</v>
      </c>
      <c r="I94" s="151">
        <v>50</v>
      </c>
      <c r="J94" s="152">
        <v>50</v>
      </c>
    </row>
    <row r="95" spans="1:10" x14ac:dyDescent="0.2">
      <c r="A95" s="539">
        <v>34</v>
      </c>
      <c r="B95" s="227" t="s">
        <v>960</v>
      </c>
      <c r="C95" s="142"/>
      <c r="D95" s="143"/>
      <c r="E95" s="142"/>
      <c r="F95" s="143"/>
      <c r="G95" s="142"/>
      <c r="H95" s="143"/>
      <c r="I95" s="142"/>
      <c r="J95" s="144"/>
    </row>
    <row r="96" spans="1:10" ht="112.9" customHeight="1" x14ac:dyDescent="0.2">
      <c r="A96" s="540"/>
      <c r="B96" s="145" t="s">
        <v>1237</v>
      </c>
      <c r="C96" s="146" t="s">
        <v>1199</v>
      </c>
      <c r="D96" s="211" t="s">
        <v>733</v>
      </c>
      <c r="E96" s="147" t="s">
        <v>716</v>
      </c>
      <c r="F96" s="148">
        <v>23</v>
      </c>
      <c r="G96" s="147">
        <v>43</v>
      </c>
      <c r="H96" s="148">
        <v>63</v>
      </c>
      <c r="I96" s="147">
        <v>83</v>
      </c>
      <c r="J96" s="149">
        <v>100</v>
      </c>
    </row>
    <row r="97" spans="3:5" ht="4.9000000000000004" customHeight="1" x14ac:dyDescent="0.2"/>
    <row r="98" spans="3:5" x14ac:dyDescent="0.2">
      <c r="C98" s="81"/>
      <c r="D98" s="81"/>
      <c r="E98" s="81"/>
    </row>
  </sheetData>
  <mergeCells count="64">
    <mergeCell ref="A95:A96"/>
    <mergeCell ref="U72:AD72"/>
    <mergeCell ref="K73:T73"/>
    <mergeCell ref="U73:AD73"/>
    <mergeCell ref="A92:A94"/>
    <mergeCell ref="B92:B94"/>
    <mergeCell ref="K75:T75"/>
    <mergeCell ref="A88:J88"/>
    <mergeCell ref="U75:AD75"/>
    <mergeCell ref="A86:J86"/>
    <mergeCell ref="A85:J85"/>
    <mergeCell ref="A84:J84"/>
    <mergeCell ref="A83:J83"/>
    <mergeCell ref="A78:J78"/>
    <mergeCell ref="A75:J75"/>
    <mergeCell ref="U74:AD74"/>
    <mergeCell ref="K72:T72"/>
    <mergeCell ref="A74:J74"/>
    <mergeCell ref="K74:T74"/>
    <mergeCell ref="A73:J73"/>
    <mergeCell ref="A72:J72"/>
    <mergeCell ref="A45:A50"/>
    <mergeCell ref="B45:B50"/>
    <mergeCell ref="A24:A26"/>
    <mergeCell ref="B24:B26"/>
    <mergeCell ref="A51:A53"/>
    <mergeCell ref="B51:B53"/>
    <mergeCell ref="B43:B44"/>
    <mergeCell ref="A43:A44"/>
    <mergeCell ref="A35:J35"/>
    <mergeCell ref="A37:J37"/>
    <mergeCell ref="A38:J38"/>
    <mergeCell ref="A39:J39"/>
    <mergeCell ref="A54:A68"/>
    <mergeCell ref="B54:B68"/>
    <mergeCell ref="G1:J1"/>
    <mergeCell ref="A5:A8"/>
    <mergeCell ref="B5:B8"/>
    <mergeCell ref="C5:C8"/>
    <mergeCell ref="D5:D8"/>
    <mergeCell ref="E5:E8"/>
    <mergeCell ref="G7:G8"/>
    <mergeCell ref="H7:H8"/>
    <mergeCell ref="I7:I8"/>
    <mergeCell ref="J7:J8"/>
    <mergeCell ref="A4:J4"/>
    <mergeCell ref="A10:J10"/>
    <mergeCell ref="F5:J6"/>
    <mergeCell ref="F7:F8"/>
    <mergeCell ref="G2:J2"/>
    <mergeCell ref="A11:J11"/>
    <mergeCell ref="A12:J12"/>
    <mergeCell ref="A19:A20"/>
    <mergeCell ref="B41:B42"/>
    <mergeCell ref="A41:A42"/>
    <mergeCell ref="A27:A28"/>
    <mergeCell ref="B27:B28"/>
    <mergeCell ref="A13:J13"/>
    <mergeCell ref="A14:J14"/>
    <mergeCell ref="A17:A18"/>
    <mergeCell ref="B17:B18"/>
    <mergeCell ref="B19:B20"/>
    <mergeCell ref="A40:J40"/>
    <mergeCell ref="A23:J23"/>
  </mergeCells>
  <phoneticPr fontId="1" type="noConversion"/>
  <pageMargins left="0.11811023622047245" right="0.11811023622047245" top="0.55118110236220474" bottom="0.55118110236220474" header="0.31496062992125984" footer="0.31496062992125984"/>
  <pageSetup paperSize="9" scale="90" orientation="landscape" r:id="rId1"/>
  <rowBreaks count="6" manualBreakCount="6">
    <brk id="21" max="9" man="1"/>
    <brk id="37" max="9" man="1"/>
    <brk id="49" max="9" man="1"/>
    <brk id="63" max="9" man="1"/>
    <brk id="74" max="9" man="1"/>
    <brk id="8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конеч.рез.</vt:lpstr>
      <vt:lpstr>1.переченьПБДД</vt:lpstr>
      <vt:lpstr>2.переченьМРАД</vt:lpstr>
      <vt:lpstr>3.меропр.</vt:lpstr>
      <vt:lpstr>4.индик.</vt:lpstr>
      <vt:lpstr>'1.переченьПБДД'!Заголовки_для_печати</vt:lpstr>
      <vt:lpstr>'2.переченьМРАД'!Заголовки_для_печати</vt:lpstr>
      <vt:lpstr>'3.меропр.'!Заголовки_для_печати</vt:lpstr>
      <vt:lpstr>'4.индик.'!Заголовки_для_печати</vt:lpstr>
      <vt:lpstr>конеч.рез.!Заголовки_для_печати</vt:lpstr>
      <vt:lpstr>'1.переченьПБДД'!Область_печати</vt:lpstr>
      <vt:lpstr>'2.переченьМРАД'!Область_печати</vt:lpstr>
      <vt:lpstr>'3.меропр.'!Область_печати</vt:lpstr>
      <vt:lpstr>'4.индик.'!Область_печати</vt:lpstr>
      <vt:lpstr>конеч.рез.!Область_печати</vt:lpstr>
    </vt:vector>
  </TitlesOfParts>
  <Company>job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krasnova.ai</cp:lastModifiedBy>
  <cp:lastPrinted>2021-12-02T07:24:23Z</cp:lastPrinted>
  <dcterms:created xsi:type="dcterms:W3CDTF">2014-07-04T09:02:24Z</dcterms:created>
  <dcterms:modified xsi:type="dcterms:W3CDTF">2021-12-02T07:24:29Z</dcterms:modified>
</cp:coreProperties>
</file>