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360" windowHeight="7470" tabRatio="874" activeTab="0"/>
  </bookViews>
  <sheets>
    <sheet name="Прил." sheetId="1" r:id="rId1"/>
  </sheets>
  <definedNames>
    <definedName name="_xlnm.Print_Titles" localSheetId="0">'Прил.'!$2:$5</definedName>
    <definedName name="_xlnm.Print_Area" localSheetId="0">'Прил.'!$A$1:$AD$102</definedName>
  </definedNames>
  <calcPr fullCalcOnLoad="1"/>
</workbook>
</file>

<file path=xl/sharedStrings.xml><?xml version="1.0" encoding="utf-8"?>
<sst xmlns="http://schemas.openxmlformats.org/spreadsheetml/2006/main" count="257" uniqueCount="144">
  <si>
    <t>1.1</t>
  </si>
  <si>
    <t>1.2</t>
  </si>
  <si>
    <t>1.3</t>
  </si>
  <si>
    <t>2.1</t>
  </si>
  <si>
    <t>4.1</t>
  </si>
  <si>
    <t>Сроки реализации</t>
  </si>
  <si>
    <t>ИТОГО</t>
  </si>
  <si>
    <t>Всего</t>
  </si>
  <si>
    <t>Местный бюджет</t>
  </si>
  <si>
    <t>Областной бюджет</t>
  </si>
  <si>
    <t>ДГХ</t>
  </si>
  <si>
    <t>Итого по задаче 1:</t>
  </si>
  <si>
    <t>Итого по задаче 2:</t>
  </si>
  <si>
    <t>Итого по задаче 3:</t>
  </si>
  <si>
    <t>4.2</t>
  </si>
  <si>
    <t>Итого по задаче 4:</t>
  </si>
  <si>
    <t>5.1</t>
  </si>
  <si>
    <t>4.3</t>
  </si>
  <si>
    <t>Текущее содержание дорог  в зимнее и летнее время</t>
  </si>
  <si>
    <t>Ликвидация несанкционированных свалок</t>
  </si>
  <si>
    <t>Обеспечение водоснабжения</t>
  </si>
  <si>
    <t>3.1</t>
  </si>
  <si>
    <t>3.2</t>
  </si>
  <si>
    <t>3.3</t>
  </si>
  <si>
    <t>3.4</t>
  </si>
  <si>
    <t>3.5</t>
  </si>
  <si>
    <t>3.6</t>
  </si>
  <si>
    <t>Федеральный бюджет</t>
  </si>
  <si>
    <t>Внебюджетные средства</t>
  </si>
  <si>
    <t>Удаление аварийно-опасных, сухостойных и упавших деревьев</t>
  </si>
  <si>
    <t>Обработка территорий пляжей</t>
  </si>
  <si>
    <t>Обработка территорий парков</t>
  </si>
  <si>
    <t>2.2</t>
  </si>
  <si>
    <t>2.3</t>
  </si>
  <si>
    <t>Обработка земельных участков общего пользования, расположенных в границах городского округа Тольятти</t>
  </si>
  <si>
    <t xml:space="preserve">Задача 3: Содержание мест погребения (мест захоронения) городского округа Тольятти </t>
  </si>
  <si>
    <t>3.7</t>
  </si>
  <si>
    <t xml:space="preserve"> ДГХ</t>
  </si>
  <si>
    <t xml:space="preserve"> ДГХ </t>
  </si>
  <si>
    <t>№ п/п</t>
  </si>
  <si>
    <t xml:space="preserve">Наименование целей, задач и мероприятий муниципальной программы  </t>
  </si>
  <si>
    <t>Ответсвенный исполнитель</t>
  </si>
  <si>
    <t>Финансовое обеспечение реализации муниципальной программы, тыс. руб.</t>
  </si>
  <si>
    <t>Подготовка мест проведения праздничных мероприятий</t>
  </si>
  <si>
    <t>2.4</t>
  </si>
  <si>
    <t>План на 2020 год</t>
  </si>
  <si>
    <t>План на 2021 год</t>
  </si>
  <si>
    <t>План на 2022 год</t>
  </si>
  <si>
    <t>План на 2023 год</t>
  </si>
  <si>
    <t>План на 2024 год</t>
  </si>
  <si>
    <t>2020-2024</t>
  </si>
  <si>
    <t>Содержание пляжа и прилегающей территории</t>
  </si>
  <si>
    <t xml:space="preserve">Предоставление субсидий на выплату ежемесячных доплат и компенсационных выплат матерям (или другим родственникам, фактически осуществляющим уход за ребенком), находящимся в отпуске </t>
  </si>
  <si>
    <t>Содержание  территории парков города</t>
  </si>
  <si>
    <t>Перечень мероприятий муниципальной программы "Тольятти - чистый город на 2020-2024 годы"</t>
  </si>
  <si>
    <t>Содержание  объектов озеленения</t>
  </si>
  <si>
    <t>Содержание автодорог</t>
  </si>
  <si>
    <t>Задача 2: Проведение акарицидной обработки и дератизации территорий общего пользования городского округа Тольятти</t>
  </si>
  <si>
    <t>Задача 1: Содержание территорий общего пользования, комплексное содержание жилых кварталов и объектов озеленения городского округа Тольятти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</si>
  <si>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</si>
  <si>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</si>
  <si>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</si>
  <si>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</si>
  <si>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</si>
  <si>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</si>
  <si>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</si>
  <si>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</si>
  <si>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</si>
  <si>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 xml:space="preserve">Содержание объектов благоустройства </t>
  </si>
  <si>
    <t>Задача 4: Праздничное оформление городских общественных пространств</t>
  </si>
  <si>
    <t>Задача 5: Обеспечение безопасности населения городского округа Тольятти от неблагоприятного воздействия животных без владельцев</t>
  </si>
  <si>
    <t>Цель: Обеспечение выполнения комплекса мероприятий по содержанию территории городского округа Тольятти, направленных на предупреждение потенциального экологического вреда и обеспечение соответствия городских общественных пространств высоким стандартам качества городской среды</t>
  </si>
  <si>
    <t>Санитарная очистка мест проведения праздничных мероприятий</t>
  </si>
  <si>
    <t>Обращение с твердыми коммунальными отходами</t>
  </si>
  <si>
    <t>Содержание территории берегоукрепления</t>
  </si>
  <si>
    <t>Текущий (ямочный)  ремонт асфальтобетонного покрытия дорог, тротуаров Автозаводского, Комсомольского и мкр. Поволжский</t>
  </si>
  <si>
    <t xml:space="preserve">Содержание тротуаров </t>
  </si>
  <si>
    <t xml:space="preserve">Содержание газонов </t>
  </si>
  <si>
    <t>1.13</t>
  </si>
  <si>
    <t>1.14</t>
  </si>
  <si>
    <t>Содержание катков и  кортов</t>
  </si>
  <si>
    <t>Текущий (ямочный) ремонт асфальтобетонного покрытия дорог, тротуаров в Центральном районе</t>
  </si>
  <si>
    <t>Содержание скверов и площадок семейного отдыха</t>
  </si>
  <si>
    <t>ДГХ (МБУ "Зеленстрой")</t>
  </si>
  <si>
    <t>3.8</t>
  </si>
  <si>
    <t>2020-2022</t>
  </si>
  <si>
    <t>Захоронение смета</t>
  </si>
  <si>
    <t>Транспортные услуги по вывозу смета</t>
  </si>
  <si>
    <t>3.9</t>
  </si>
  <si>
    <t>3.10</t>
  </si>
  <si>
    <t>3.11</t>
  </si>
  <si>
    <t>Предоставление субсидий на иные цели, в том числе на реализацию мероприятий,  направленных на содержание мест погребения (мест захоронения)</t>
  </si>
  <si>
    <t>2021-2024</t>
  </si>
  <si>
    <t>Освобождение земельных участков и благоустройство после сноса (демонтаж сооружений)</t>
  </si>
  <si>
    <t>Дератизация территории кладбищ</t>
  </si>
  <si>
    <t>Ремонт территории воинских захоронений, захоронений участников Великой Отечественной войны</t>
  </si>
  <si>
    <t>Предоставление субсидий на иные цели, в том числе на приобретение, и (или) модернизацию, и (или) дооборудование, и (или) капитальный ремонт основных средств Учреждений, не              относящихся к объектам капитального                      строительства;</t>
  </si>
  <si>
    <t>6.1</t>
  </si>
  <si>
    <t>6.2</t>
  </si>
  <si>
    <t>6.3</t>
  </si>
  <si>
    <t>6.5</t>
  </si>
  <si>
    <t>6.4</t>
  </si>
  <si>
    <t>Задача 6: Проведение санитарной очистки территорий общего пользования городского округа Тольятти</t>
  </si>
  <si>
    <t>ДК</t>
  </si>
  <si>
    <t>ДО</t>
  </si>
  <si>
    <t>УФиС</t>
  </si>
  <si>
    <t>Х</t>
  </si>
  <si>
    <t>Уход за зелеными насаждениями</t>
  </si>
  <si>
    <t xml:space="preserve">Акарицидная обработка </t>
  </si>
  <si>
    <t>Итого по задаче 6 без учета оплаты ранее принятых обязательств:</t>
  </si>
  <si>
    <t xml:space="preserve">Дератизация набережной Комсомольского района и территорий общего пользования </t>
  </si>
  <si>
    <t>Инвентаризация захоронений</t>
  </si>
  <si>
    <t>3.12</t>
  </si>
  <si>
    <t>2021</t>
  </si>
  <si>
    <t>Обращение с твердыми коммунальными отходами, содержание контейнерных площадок</t>
  </si>
  <si>
    <t>Итого по Программе без учета оплаты ранее принятых обязательств:</t>
  </si>
  <si>
    <t>Оплата ранее принятых обязательств по Программе:</t>
  </si>
  <si>
    <t>Оплата ранее принятых обязательств по задаче 6:</t>
  </si>
  <si>
    <t>Итого по Программе  с учетом оплаты ранее принятых обязательств:</t>
  </si>
  <si>
    <t>Оплата ранее принятых обязательств</t>
  </si>
  <si>
    <t>2020-2021</t>
  </si>
  <si>
    <t>2020</t>
  </si>
  <si>
    <t>Ремонт автомобильных дорог (текущий ремонт внутриквартальных проездов, тротуаров)</t>
  </si>
  <si>
    <t>1.15</t>
  </si>
  <si>
    <t>Ремонт покрытий проездов и пешеходных дорожек, ремонт автомобильных дорог (ремонт проездов, пешеходных дорожек)</t>
  </si>
  <si>
    <t>1.16</t>
  </si>
  <si>
    <t>Предоставление субсидий на иные цели в целях реализации мероприятий,  не включенных в муниципальное задание учреждений</t>
  </si>
  <si>
    <t xml:space="preserve">Итого по задаче 5 </t>
  </si>
  <si>
    <t>6.6</t>
  </si>
  <si>
    <t>2022</t>
  </si>
  <si>
    <t>Санитарная очистка территорий</t>
  </si>
  <si>
    <t>Организация мероприятий при осуществлении деятельности по обращению с животными без владельцев</t>
  </si>
  <si>
    <t>2146 переносится на 4.3</t>
  </si>
  <si>
    <t>Текущий ремонт памятных мест,  в том числе посадка и содержание зеленых насаждений</t>
  </si>
  <si>
    <t>2020, 2022</t>
  </si>
  <si>
    <t>2021- 2022</t>
  </si>
  <si>
    <t>2021, 2023, 2024</t>
  </si>
  <si>
    <t>2020-2021, 2023-2024</t>
  </si>
  <si>
    <t>2022-2024</t>
  </si>
  <si>
    <t>3.13</t>
  </si>
  <si>
    <t>ДГХ (МКУ "Ритуал")</t>
  </si>
  <si>
    <t>2023-2024</t>
  </si>
  <si>
    <t>Содержание МКУ "Ритуал"</t>
  </si>
  <si>
    <t xml:space="preserve">Приобретение мусоросборников, предназначенных для складирования ТКО (Государственная программа Самарской области "Совершенствование системы обращения с отходами, в том числе с 
твердыми коммунальными отходами, на территории Самарской области" на 2018 - 2024 годы")  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</si>
</sst>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"/>
    <numFmt numFmtId="181" formatCode="_-* #,##0_р_._-;\-* #,##0_р_._-;_-* &quot;-&quot;??_р_._-;_-@_-"/>
    <numFmt numFmtId="182" formatCode="[$-F800]dddd\,\ mmmm\ dd\,\ yyyy"/>
    <numFmt numFmtId="183" formatCode="_-* #,##0.0_р_._-;\-* #,##0.0_р_._-;_-* &quot;-&quot;??_р_._-;_-@_-"/>
    <numFmt numFmtId="184" formatCode="[$-FC19]d\ mmmm\ yyyy\ &quot;г.&quot;"/>
    <numFmt numFmtId="185" formatCode="#,##0.00_ ;\-#,##0.00\ "/>
    <numFmt numFmtId="186" formatCode="#,##0.0"/>
    <numFmt numFmtId="187" formatCode="_-* #,##0.00_р_._-;\-* #,##0.00_р_._-;_-* \-??_р_._-;_-@_-"/>
    <numFmt numFmtId="188" formatCode="_-* #,##0_р_._-;\-* #,##0_р_._-;_-* \-??_р_._-;_-@_-"/>
    <numFmt numFmtId="189" formatCode="dddd&quot;, &quot;mmmm\ dd&quot;, &quot;yyyy"/>
    <numFmt numFmtId="190" formatCode="#,##0.00;[Red]#,##0.00"/>
    <numFmt numFmtId="191" formatCode="#,##0.000;[Red]#,##0.000"/>
    <numFmt numFmtId="192" formatCode="#,##0.0;[Red]#,##0.0"/>
    <numFmt numFmtId="193" formatCode="#,##0;[Red]#,##0"/>
    <numFmt numFmtId="194" formatCode="0.0;[Red]0.0"/>
    <numFmt numFmtId="195" formatCode="#,##0.000"/>
    <numFmt numFmtId="196" formatCode="#,##0.0000"/>
    <numFmt numFmtId="197" formatCode="#,##0.00000"/>
    <numFmt numFmtId="198" formatCode="#,##0.0000;[Red]#,##0.0000"/>
    <numFmt numFmtId="199" formatCode="#,##0.000000"/>
    <numFmt numFmtId="200" formatCode="0.00;[Red]0.00"/>
    <numFmt numFmtId="201" formatCode="0.000000"/>
    <numFmt numFmtId="202" formatCode="0.00000"/>
    <numFmt numFmtId="203" formatCode="0.0000000"/>
    <numFmt numFmtId="204" formatCode="0.00000000"/>
    <numFmt numFmtId="205" formatCode="0.000000000"/>
    <numFmt numFmtId="206" formatCode="0.0000000000"/>
    <numFmt numFmtId="207" formatCode="0.00000000000"/>
    <numFmt numFmtId="208" formatCode="0.000000000000"/>
    <numFmt numFmtId="209" formatCode="0.0000000000000"/>
    <numFmt numFmtId="210" formatCode="0.00000000000000"/>
    <numFmt numFmtId="211" formatCode="0.000000000000000"/>
    <numFmt numFmtId="212" formatCode="#,##0.0000000"/>
    <numFmt numFmtId="213" formatCode="#\ ##0.0"/>
    <numFmt numFmtId="214" formatCode="#,##0.00000000"/>
    <numFmt numFmtId="215" formatCode="#,##0.000000000"/>
    <numFmt numFmtId="216" formatCode="#,##0.0000000000"/>
    <numFmt numFmtId="217" formatCode="#,##0.00000000000"/>
    <numFmt numFmtId="218" formatCode="_-* #,##0.000_р_._-;\-* #,##0.000_р_._-;_-* &quot;-&quot;??_р_._-;_-@_-"/>
    <numFmt numFmtId="219" formatCode="_-* #,##0.0_р_._-;\-* #,##0.0_р_._-;_-* &quot;-&quot;?_р_._-;_-@_-"/>
    <numFmt numFmtId="220" formatCode="_-* #,##0.0\ _₽_-;\-* #,##0.0\ _₽_-;_-* &quot;-&quot;?\ _₽_-;_-@_-"/>
    <numFmt numFmtId="221" formatCode="#,##0.00\ &quot;₽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9"/>
      <name val="Times New Roman"/>
      <family val="1"/>
    </font>
    <font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0" fontId="54" fillId="31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6" fillId="32" borderId="0" xfId="0" applyFont="1" applyFill="1" applyAlignment="1">
      <alignment vertical="center" wrapText="1"/>
    </xf>
    <xf numFmtId="186" fontId="6" fillId="32" borderId="0" xfId="0" applyNumberFormat="1" applyFont="1" applyFill="1" applyAlignment="1">
      <alignment vertical="center" wrapText="1"/>
    </xf>
    <xf numFmtId="0" fontId="6" fillId="32" borderId="0" xfId="0" applyFont="1" applyFill="1" applyBorder="1" applyAlignment="1">
      <alignment vertical="center" wrapText="1"/>
    </xf>
    <xf numFmtId="186" fontId="12" fillId="32" borderId="0" xfId="0" applyNumberFormat="1" applyFont="1" applyFill="1" applyBorder="1" applyAlignment="1">
      <alignment vertical="center" wrapText="1"/>
    </xf>
    <xf numFmtId="186" fontId="6" fillId="32" borderId="0" xfId="0" applyNumberFormat="1" applyFont="1" applyFill="1" applyBorder="1" applyAlignment="1">
      <alignment vertical="center" wrapText="1"/>
    </xf>
    <xf numFmtId="49" fontId="6" fillId="32" borderId="0" xfId="0" applyNumberFormat="1" applyFont="1" applyFill="1" applyBorder="1" applyAlignment="1">
      <alignment vertical="center" wrapText="1"/>
    </xf>
    <xf numFmtId="180" fontId="6" fillId="32" borderId="0" xfId="0" applyNumberFormat="1" applyFont="1" applyFill="1" applyAlignment="1">
      <alignment vertical="center" wrapText="1"/>
    </xf>
    <xf numFmtId="186" fontId="9" fillId="32" borderId="0" xfId="0" applyNumberFormat="1" applyFont="1" applyFill="1" applyAlignment="1">
      <alignment vertical="center" wrapText="1"/>
    </xf>
    <xf numFmtId="0" fontId="9" fillId="32" borderId="0" xfId="0" applyFont="1" applyFill="1" applyAlignment="1">
      <alignment vertical="center" wrapText="1"/>
    </xf>
    <xf numFmtId="4" fontId="6" fillId="32" borderId="0" xfId="0" applyNumberFormat="1" applyFont="1" applyFill="1" applyAlignment="1">
      <alignment vertical="center" wrapText="1"/>
    </xf>
    <xf numFmtId="4" fontId="9" fillId="32" borderId="0" xfId="0" applyNumberFormat="1" applyFont="1" applyFill="1" applyAlignment="1">
      <alignment vertical="center" wrapText="1"/>
    </xf>
    <xf numFmtId="195" fontId="6" fillId="32" borderId="0" xfId="0" applyNumberFormat="1" applyFont="1" applyFill="1" applyAlignment="1">
      <alignment vertical="center" wrapText="1"/>
    </xf>
    <xf numFmtId="212" fontId="6" fillId="32" borderId="0" xfId="0" applyNumberFormat="1" applyFont="1" applyFill="1" applyAlignment="1">
      <alignment vertical="center" wrapText="1"/>
    </xf>
    <xf numFmtId="1" fontId="6" fillId="32" borderId="0" xfId="0" applyNumberFormat="1" applyFont="1" applyFill="1" applyBorder="1" applyAlignment="1">
      <alignment vertical="center" wrapText="1"/>
    </xf>
    <xf numFmtId="214" fontId="6" fillId="32" borderId="0" xfId="0" applyNumberFormat="1" applyFont="1" applyFill="1" applyAlignment="1">
      <alignment vertical="center" wrapText="1"/>
    </xf>
    <xf numFmtId="186" fontId="12" fillId="32" borderId="0" xfId="0" applyNumberFormat="1" applyFont="1" applyFill="1" applyAlignment="1">
      <alignment vertical="center" wrapText="1"/>
    </xf>
    <xf numFmtId="49" fontId="6" fillId="32" borderId="0" xfId="0" applyNumberFormat="1" applyFont="1" applyFill="1" applyAlignment="1">
      <alignment vertical="center" wrapText="1"/>
    </xf>
    <xf numFmtId="2" fontId="6" fillId="32" borderId="0" xfId="0" applyNumberFormat="1" applyFont="1" applyFill="1" applyAlignment="1">
      <alignment vertical="center" wrapText="1"/>
    </xf>
    <xf numFmtId="186" fontId="10" fillId="0" borderId="0" xfId="0" applyNumberFormat="1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86" fontId="6" fillId="0" borderId="0" xfId="0" applyNumberFormat="1" applyFont="1" applyFill="1" applyBorder="1" applyAlignment="1">
      <alignment vertical="center" wrapText="1"/>
    </xf>
    <xf numFmtId="186" fontId="12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186" fontId="11" fillId="32" borderId="0" xfId="0" applyNumberFormat="1" applyFont="1" applyFill="1" applyBorder="1" applyAlignment="1">
      <alignment horizontal="center" vertical="center" wrapText="1"/>
    </xf>
    <xf numFmtId="186" fontId="4" fillId="32" borderId="0" xfId="0" applyNumberFormat="1" applyFont="1" applyFill="1" applyBorder="1" applyAlignment="1">
      <alignment vertical="center" wrapText="1"/>
    </xf>
    <xf numFmtId="186" fontId="10" fillId="32" borderId="0" xfId="0" applyNumberFormat="1" applyFont="1" applyFill="1" applyBorder="1" applyAlignment="1">
      <alignment vertical="center" wrapText="1"/>
    </xf>
    <xf numFmtId="186" fontId="10" fillId="32" borderId="0" xfId="0" applyNumberFormat="1" applyFont="1" applyFill="1" applyAlignment="1">
      <alignment vertical="center" wrapText="1"/>
    </xf>
    <xf numFmtId="2" fontId="9" fillId="32" borderId="0" xfId="0" applyNumberFormat="1" applyFont="1" applyFill="1" applyAlignment="1">
      <alignment vertical="center" wrapText="1"/>
    </xf>
    <xf numFmtId="2" fontId="4" fillId="32" borderId="0" xfId="0" applyNumberFormat="1" applyFont="1" applyFill="1" applyAlignment="1">
      <alignment vertical="center" wrapText="1"/>
    </xf>
    <xf numFmtId="2" fontId="9" fillId="32" borderId="0" xfId="0" applyNumberFormat="1" applyFont="1" applyFill="1" applyBorder="1" applyAlignment="1">
      <alignment vertical="center" wrapText="1"/>
    </xf>
    <xf numFmtId="220" fontId="6" fillId="32" borderId="0" xfId="0" applyNumberFormat="1" applyFont="1" applyFill="1" applyAlignment="1">
      <alignment vertical="center" wrapText="1"/>
    </xf>
    <xf numFmtId="186" fontId="11" fillId="32" borderId="10" xfId="0" applyNumberFormat="1" applyFont="1" applyFill="1" applyBorder="1" applyAlignment="1">
      <alignment horizontal="center" vertical="center" wrapText="1"/>
    </xf>
    <xf numFmtId="186" fontId="55" fillId="32" borderId="0" xfId="0" applyNumberFormat="1" applyFont="1" applyFill="1" applyAlignment="1">
      <alignment horizontal="center" vertical="center"/>
    </xf>
    <xf numFmtId="3" fontId="9" fillId="32" borderId="0" xfId="0" applyNumberFormat="1" applyFont="1" applyFill="1" applyAlignment="1">
      <alignment vertical="center" wrapText="1"/>
    </xf>
    <xf numFmtId="220" fontId="9" fillId="32" borderId="0" xfId="0" applyNumberFormat="1" applyFont="1" applyFill="1" applyAlignment="1">
      <alignment vertical="center" wrapText="1"/>
    </xf>
    <xf numFmtId="186" fontId="14" fillId="32" borderId="10" xfId="0" applyNumberFormat="1" applyFont="1" applyFill="1" applyBorder="1" applyAlignment="1">
      <alignment horizontal="center" vertical="center" wrapText="1"/>
    </xf>
    <xf numFmtId="220" fontId="6" fillId="32" borderId="0" xfId="0" applyNumberFormat="1" applyFont="1" applyFill="1" applyAlignment="1">
      <alignment horizontal="right" vertical="center" wrapText="1"/>
    </xf>
    <xf numFmtId="0" fontId="10" fillId="32" borderId="0" xfId="0" applyFont="1" applyFill="1" applyAlignment="1">
      <alignment vertical="center" wrapText="1"/>
    </xf>
    <xf numFmtId="2" fontId="10" fillId="32" borderId="0" xfId="0" applyNumberFormat="1" applyFont="1" applyFill="1" applyAlignment="1">
      <alignment vertical="center" wrapText="1"/>
    </xf>
    <xf numFmtId="49" fontId="6" fillId="32" borderId="0" xfId="0" applyNumberFormat="1" applyFont="1" applyFill="1" applyAlignment="1">
      <alignment horizontal="left" vertical="center" wrapText="1"/>
    </xf>
    <xf numFmtId="0" fontId="6" fillId="32" borderId="0" xfId="0" applyFont="1" applyFill="1" applyAlignment="1">
      <alignment horizontal="left" vertical="center" wrapText="1"/>
    </xf>
    <xf numFmtId="0" fontId="56" fillId="32" borderId="0" xfId="0" applyFont="1" applyFill="1" applyAlignment="1">
      <alignment/>
    </xf>
    <xf numFmtId="186" fontId="11" fillId="0" borderId="10" xfId="0" applyNumberFormat="1" applyFont="1" applyFill="1" applyBorder="1" applyAlignment="1">
      <alignment horizontal="center" vertical="center" wrapText="1"/>
    </xf>
    <xf numFmtId="186" fontId="11" fillId="0" borderId="11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86" fontId="13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186" fontId="13" fillId="0" borderId="14" xfId="0" applyNumberFormat="1" applyFont="1" applyFill="1" applyBorder="1" applyAlignment="1">
      <alignment horizontal="center" vertical="center" wrapText="1"/>
    </xf>
    <xf numFmtId="186" fontId="13" fillId="0" borderId="15" xfId="0" applyNumberFormat="1" applyFont="1" applyFill="1" applyBorder="1" applyAlignment="1">
      <alignment horizontal="center" vertical="center" wrapText="1"/>
    </xf>
    <xf numFmtId="186" fontId="6" fillId="0" borderId="0" xfId="0" applyNumberFormat="1" applyFont="1" applyFill="1" applyAlignment="1">
      <alignment vertical="center" wrapText="1"/>
    </xf>
    <xf numFmtId="2" fontId="6" fillId="0" borderId="0" xfId="0" applyNumberFormat="1" applyFont="1" applyFill="1" applyAlignment="1">
      <alignment vertical="center" wrapText="1"/>
    </xf>
    <xf numFmtId="186" fontId="6" fillId="0" borderId="0" xfId="0" applyNumberFormat="1" applyFont="1" applyFill="1" applyAlignment="1">
      <alignment horizontal="left" vertical="center" wrapText="1"/>
    </xf>
    <xf numFmtId="0" fontId="6" fillId="0" borderId="16" xfId="0" applyFont="1" applyFill="1" applyBorder="1" applyAlignment="1">
      <alignment vertical="center" wrapText="1"/>
    </xf>
    <xf numFmtId="186" fontId="12" fillId="0" borderId="16" xfId="0" applyNumberFormat="1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vertical="center" wrapText="1"/>
    </xf>
    <xf numFmtId="186" fontId="10" fillId="0" borderId="0" xfId="0" applyNumberFormat="1" applyFont="1" applyFill="1" applyBorder="1" applyAlignment="1">
      <alignment vertical="center" wrapText="1"/>
    </xf>
    <xf numFmtId="186" fontId="4" fillId="0" borderId="0" xfId="0" applyNumberFormat="1" applyFont="1" applyFill="1" applyBorder="1" applyAlignment="1">
      <alignment vertical="center" wrapText="1"/>
    </xf>
    <xf numFmtId="0" fontId="56" fillId="0" borderId="0" xfId="0" applyFont="1" applyFill="1" applyAlignment="1">
      <alignment/>
    </xf>
    <xf numFmtId="186" fontId="12" fillId="0" borderId="0" xfId="0" applyNumberFormat="1" applyFont="1" applyFill="1" applyAlignment="1">
      <alignment vertical="center" wrapText="1"/>
    </xf>
    <xf numFmtId="186" fontId="6" fillId="32" borderId="0" xfId="0" applyNumberFormat="1" applyFont="1" applyFill="1" applyAlignment="1">
      <alignment horizontal="left" vertical="center" wrapText="1"/>
    </xf>
    <xf numFmtId="186" fontId="9" fillId="32" borderId="0" xfId="0" applyNumberFormat="1" applyFont="1" applyFill="1" applyAlignment="1">
      <alignment horizontal="left" vertical="center" wrapText="1"/>
    </xf>
    <xf numFmtId="178" fontId="6" fillId="32" borderId="0" xfId="0" applyNumberFormat="1" applyFont="1" applyFill="1" applyAlignment="1">
      <alignment horizontal="left" vertical="center" wrapText="1"/>
    </xf>
    <xf numFmtId="180" fontId="6" fillId="32" borderId="0" xfId="0" applyNumberFormat="1" applyFont="1" applyFill="1" applyAlignment="1">
      <alignment horizontal="left" vertical="center" wrapText="1"/>
    </xf>
    <xf numFmtId="195" fontId="6" fillId="32" borderId="0" xfId="0" applyNumberFormat="1" applyFont="1" applyFill="1" applyAlignment="1">
      <alignment horizontal="left" vertical="center" wrapText="1"/>
    </xf>
    <xf numFmtId="215" fontId="6" fillId="32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186" fontId="15" fillId="32" borderId="0" xfId="0" applyNumberFormat="1" applyFont="1" applyFill="1" applyAlignment="1">
      <alignment horizontal="left" vertical="center" wrapText="1"/>
    </xf>
    <xf numFmtId="186" fontId="16" fillId="32" borderId="0" xfId="0" applyNumberFormat="1" applyFont="1" applyFill="1" applyAlignment="1">
      <alignment horizontal="left" vertical="center" wrapText="1"/>
    </xf>
    <xf numFmtId="186" fontId="17" fillId="32" borderId="0" xfId="0" applyNumberFormat="1" applyFont="1" applyFill="1" applyBorder="1" applyAlignment="1">
      <alignment horizontal="left" vertical="center" wrapText="1"/>
    </xf>
    <xf numFmtId="186" fontId="18" fillId="32" borderId="0" xfId="0" applyNumberFormat="1" applyFont="1" applyFill="1" applyAlignment="1">
      <alignment horizontal="left" vertical="center" wrapText="1"/>
    </xf>
    <xf numFmtId="186" fontId="19" fillId="32" borderId="0" xfId="0" applyNumberFormat="1" applyFont="1" applyFill="1" applyAlignment="1">
      <alignment horizontal="left" vertical="center" wrapText="1"/>
    </xf>
    <xf numFmtId="186" fontId="19" fillId="32" borderId="0" xfId="0" applyNumberFormat="1" applyFont="1" applyFill="1" applyAlignment="1">
      <alignment vertical="center" wrapText="1"/>
    </xf>
    <xf numFmtId="0" fontId="11" fillId="0" borderId="17" xfId="0" applyFont="1" applyFill="1" applyBorder="1" applyAlignment="1">
      <alignment horizontal="center" vertical="center" wrapText="1"/>
    </xf>
    <xf numFmtId="186" fontId="6" fillId="32" borderId="0" xfId="0" applyNumberFormat="1" applyFont="1" applyFill="1" applyAlignment="1">
      <alignment horizontal="left" vertical="center" wrapText="1"/>
    </xf>
    <xf numFmtId="186" fontId="6" fillId="32" borderId="0" xfId="0" applyNumberFormat="1" applyFont="1" applyFill="1" applyAlignment="1">
      <alignment horizontal="left" vertical="center" wrapText="1"/>
    </xf>
    <xf numFmtId="0" fontId="11" fillId="0" borderId="17" xfId="0" applyFont="1" applyFill="1" applyBorder="1" applyAlignment="1">
      <alignment vertical="center" wrapText="1"/>
    </xf>
    <xf numFmtId="183" fontId="11" fillId="0" borderId="10" xfId="67" applyNumberFormat="1" applyFont="1" applyFill="1" applyBorder="1" applyAlignment="1">
      <alignment horizontal="center" vertical="center" wrapText="1"/>
    </xf>
    <xf numFmtId="186" fontId="55" fillId="0" borderId="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 wrapText="1"/>
    </xf>
    <xf numFmtId="178" fontId="11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86" fontId="55" fillId="0" borderId="10" xfId="0" applyNumberFormat="1" applyFont="1" applyFill="1" applyBorder="1" applyAlignment="1">
      <alignment horizontal="center" vertical="center" wrapText="1"/>
    </xf>
    <xf numFmtId="186" fontId="58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6" fontId="55" fillId="0" borderId="10" xfId="0" applyNumberFormat="1" applyFont="1" applyFill="1" applyBorder="1" applyAlignment="1">
      <alignment horizontal="left" vertical="center" wrapText="1"/>
    </xf>
    <xf numFmtId="186" fontId="6" fillId="32" borderId="0" xfId="0" applyNumberFormat="1" applyFont="1" applyFill="1" applyAlignment="1">
      <alignment horizontal="left" vertical="center" wrapText="1"/>
    </xf>
    <xf numFmtId="186" fontId="9" fillId="33" borderId="0" xfId="0" applyNumberFormat="1" applyFont="1" applyFill="1" applyAlignment="1">
      <alignment horizontal="left" vertical="center" wrapText="1"/>
    </xf>
    <xf numFmtId="186" fontId="9" fillId="33" borderId="0" xfId="0" applyNumberFormat="1" applyFont="1" applyFill="1" applyAlignment="1">
      <alignment vertical="center" wrapText="1"/>
    </xf>
    <xf numFmtId="186" fontId="6" fillId="33" borderId="0" xfId="0" applyNumberFormat="1" applyFont="1" applyFill="1" applyAlignment="1">
      <alignment horizontal="left" vertical="center" wrapText="1"/>
    </xf>
    <xf numFmtId="186" fontId="6" fillId="33" borderId="0" xfId="0" applyNumberFormat="1" applyFont="1" applyFill="1" applyAlignment="1">
      <alignment vertical="center" wrapText="1"/>
    </xf>
    <xf numFmtId="186" fontId="4" fillId="0" borderId="0" xfId="0" applyNumberFormat="1" applyFont="1" applyFill="1" applyAlignment="1">
      <alignment vertical="center" wrapText="1"/>
    </xf>
    <xf numFmtId="186" fontId="6" fillId="32" borderId="0" xfId="0" applyNumberFormat="1" applyFont="1" applyFill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186" fontId="6" fillId="32" borderId="0" xfId="0" applyNumberFormat="1" applyFont="1" applyFill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186" fontId="13" fillId="0" borderId="11" xfId="0" applyNumberFormat="1" applyFont="1" applyFill="1" applyBorder="1" applyAlignment="1">
      <alignment horizontal="center" vertical="center" wrapText="1"/>
    </xf>
    <xf numFmtId="196" fontId="6" fillId="32" borderId="0" xfId="0" applyNumberFormat="1" applyFont="1" applyFill="1" applyAlignment="1">
      <alignment vertical="center" wrapText="1"/>
    </xf>
    <xf numFmtId="186" fontId="6" fillId="32" borderId="0" xfId="0" applyNumberFormat="1" applyFont="1" applyFill="1" applyAlignment="1">
      <alignment horizontal="left" vertical="center" wrapText="1"/>
    </xf>
    <xf numFmtId="2" fontId="6" fillId="32" borderId="0" xfId="0" applyNumberFormat="1" applyFont="1" applyFill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9" fillId="0" borderId="12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49" fontId="11" fillId="0" borderId="21" xfId="0" applyNumberFormat="1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left" vertical="center" wrapText="1"/>
    </xf>
    <xf numFmtId="49" fontId="11" fillId="0" borderId="23" xfId="0" applyNumberFormat="1" applyFont="1" applyFill="1" applyBorder="1" applyAlignment="1">
      <alignment horizontal="left" vertical="center" wrapText="1"/>
    </xf>
    <xf numFmtId="4" fontId="11" fillId="0" borderId="12" xfId="0" applyNumberFormat="1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left" vertical="center" wrapText="1"/>
    </xf>
    <xf numFmtId="4" fontId="11" fillId="0" borderId="11" xfId="0" applyNumberFormat="1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49" fontId="11" fillId="0" borderId="26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left" vertical="center" wrapText="1"/>
    </xf>
    <xf numFmtId="2" fontId="11" fillId="0" borderId="11" xfId="0" applyNumberFormat="1" applyFont="1" applyFill="1" applyBorder="1" applyAlignment="1">
      <alignment horizontal="left" vertical="center" wrapText="1"/>
    </xf>
    <xf numFmtId="49" fontId="57" fillId="0" borderId="12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/>
    </xf>
    <xf numFmtId="49" fontId="11" fillId="0" borderId="28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/>
    </xf>
    <xf numFmtId="0" fontId="38" fillId="0" borderId="11" xfId="0" applyFont="1" applyFill="1" applyBorder="1" applyAlignment="1">
      <alignment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2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19"/>
  <sheetViews>
    <sheetView tabSelected="1" view="pageBreakPreview" zoomScale="75" zoomScaleNormal="75" zoomScaleSheetLayoutView="75" zoomScalePageLayoutView="75" workbookViewId="0" topLeftCell="A1">
      <pane ySplit="5" topLeftCell="A121" activePane="bottomLeft" state="frozen"/>
      <selection pane="topLeft" activeCell="A1" sqref="A1"/>
      <selection pane="bottomLeft" activeCell="AR46" sqref="AR46"/>
    </sheetView>
  </sheetViews>
  <sheetFormatPr defaultColWidth="9.140625" defaultRowHeight="15"/>
  <cols>
    <col min="1" max="1" width="6.00390625" style="17" customWidth="1"/>
    <col min="2" max="2" width="20.140625" style="1" customWidth="1"/>
    <col min="3" max="3" width="11.8515625" style="1" customWidth="1"/>
    <col min="4" max="4" width="9.421875" style="17" customWidth="1"/>
    <col min="5" max="5" width="8.57421875" style="1" customWidth="1"/>
    <col min="6" max="6" width="9.57421875" style="1" customWidth="1"/>
    <col min="7" max="7" width="7.7109375" style="1" customWidth="1"/>
    <col min="8" max="8" width="7.421875" style="1" customWidth="1"/>
    <col min="9" max="9" width="6.7109375" style="1" customWidth="1"/>
    <col min="10" max="10" width="9.00390625" style="1" customWidth="1"/>
    <col min="11" max="11" width="9.140625" style="1" customWidth="1"/>
    <col min="12" max="12" width="7.421875" style="1" customWidth="1"/>
    <col min="13" max="13" width="4.8515625" style="1" customWidth="1"/>
    <col min="14" max="14" width="5.00390625" style="1" customWidth="1"/>
    <col min="15" max="16" width="9.00390625" style="23" customWidth="1"/>
    <col min="17" max="17" width="8.7109375" style="23" customWidth="1"/>
    <col min="18" max="18" width="4.421875" style="23" customWidth="1"/>
    <col min="19" max="19" width="4.28125" style="23" customWidth="1"/>
    <col min="20" max="20" width="9.421875" style="23" customWidth="1"/>
    <col min="21" max="21" width="9.57421875" style="23" customWidth="1"/>
    <col min="22" max="22" width="7.00390625" style="23" customWidth="1"/>
    <col min="23" max="23" width="6.00390625" style="23" customWidth="1"/>
    <col min="24" max="24" width="5.140625" style="23" customWidth="1"/>
    <col min="25" max="25" width="9.421875" style="23" customWidth="1"/>
    <col min="26" max="26" width="9.8515625" style="23" customWidth="1"/>
    <col min="27" max="27" width="7.28125" style="23" customWidth="1"/>
    <col min="28" max="28" width="4.28125" style="23" customWidth="1"/>
    <col min="29" max="29" width="5.00390625" style="23" customWidth="1"/>
    <col min="30" max="30" width="11.00390625" style="23" customWidth="1"/>
    <col min="31" max="31" width="52.421875" style="43" hidden="1" customWidth="1"/>
    <col min="32" max="32" width="19.00390625" style="1" hidden="1" customWidth="1"/>
    <col min="33" max="33" width="16.28125" style="1" hidden="1" customWidth="1"/>
    <col min="34" max="34" width="10.421875" style="1" hidden="1" customWidth="1"/>
    <col min="35" max="35" width="12.140625" style="18" hidden="1" customWidth="1"/>
    <col min="36" max="36" width="12.140625" style="1" customWidth="1"/>
    <col min="37" max="37" width="10.00390625" style="1" customWidth="1"/>
    <col min="38" max="38" width="14.00390625" style="1" customWidth="1"/>
    <col min="39" max="39" width="14.421875" style="1" customWidth="1"/>
    <col min="40" max="41" width="10.421875" style="1" customWidth="1"/>
    <col min="42" max="43" width="9.140625" style="1" customWidth="1"/>
    <col min="44" max="44" width="14.8515625" style="1" customWidth="1"/>
    <col min="45" max="45" width="14.00390625" style="1" customWidth="1"/>
    <col min="46" max="46" width="12.140625" style="1" customWidth="1"/>
    <col min="47" max="51" width="9.140625" style="1" customWidth="1"/>
    <col min="52" max="52" width="13.28125" style="1" customWidth="1"/>
    <col min="53" max="53" width="15.140625" style="1" customWidth="1"/>
    <col min="54" max="55" width="12.7109375" style="1" customWidth="1"/>
    <col min="56" max="56" width="12.8515625" style="1" customWidth="1"/>
    <col min="57" max="57" width="16.28125" style="1" customWidth="1"/>
    <col min="58" max="58" width="11.28125" style="1" customWidth="1"/>
    <col min="59" max="59" width="9.140625" style="1" customWidth="1"/>
    <col min="60" max="60" width="13.421875" style="1" customWidth="1"/>
    <col min="61" max="61" width="9.140625" style="1" customWidth="1"/>
    <col min="62" max="62" width="12.140625" style="1" bestFit="1" customWidth="1"/>
    <col min="63" max="64" width="9.140625" style="1" customWidth="1"/>
    <col min="65" max="65" width="10.57421875" style="1" bestFit="1" customWidth="1"/>
    <col min="66" max="16384" width="9.140625" style="1" customWidth="1"/>
  </cols>
  <sheetData>
    <row r="1" spans="1:30" ht="34.5" customHeight="1" thickBot="1">
      <c r="A1" s="154" t="s">
        <v>54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</row>
    <row r="2" spans="1:30" ht="15.75" customHeight="1">
      <c r="A2" s="150" t="s">
        <v>39</v>
      </c>
      <c r="B2" s="128" t="s">
        <v>40</v>
      </c>
      <c r="C2" s="128" t="s">
        <v>41</v>
      </c>
      <c r="D2" s="123" t="s">
        <v>5</v>
      </c>
      <c r="E2" s="125" t="s">
        <v>42</v>
      </c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7"/>
    </row>
    <row r="3" spans="1:30" ht="15.75" customHeight="1">
      <c r="A3" s="151"/>
      <c r="B3" s="129"/>
      <c r="C3" s="129"/>
      <c r="D3" s="124"/>
      <c r="E3" s="130" t="s">
        <v>45</v>
      </c>
      <c r="F3" s="130"/>
      <c r="G3" s="130"/>
      <c r="H3" s="130"/>
      <c r="I3" s="130"/>
      <c r="J3" s="130" t="s">
        <v>46</v>
      </c>
      <c r="K3" s="130"/>
      <c r="L3" s="130"/>
      <c r="M3" s="130"/>
      <c r="N3" s="130"/>
      <c r="O3" s="130" t="s">
        <v>47</v>
      </c>
      <c r="P3" s="130"/>
      <c r="Q3" s="130"/>
      <c r="R3" s="130"/>
      <c r="S3" s="130"/>
      <c r="T3" s="130" t="s">
        <v>48</v>
      </c>
      <c r="U3" s="130"/>
      <c r="V3" s="130"/>
      <c r="W3" s="130"/>
      <c r="X3" s="130"/>
      <c r="Y3" s="130" t="s">
        <v>49</v>
      </c>
      <c r="Z3" s="130"/>
      <c r="AA3" s="130"/>
      <c r="AB3" s="130"/>
      <c r="AC3" s="130"/>
      <c r="AD3" s="149" t="s">
        <v>6</v>
      </c>
    </row>
    <row r="4" spans="1:45" ht="76.5" customHeight="1">
      <c r="A4" s="151"/>
      <c r="B4" s="129"/>
      <c r="C4" s="129"/>
      <c r="D4" s="124"/>
      <c r="E4" s="48" t="s">
        <v>7</v>
      </c>
      <c r="F4" s="48" t="s">
        <v>8</v>
      </c>
      <c r="G4" s="48" t="s">
        <v>9</v>
      </c>
      <c r="H4" s="48" t="s">
        <v>27</v>
      </c>
      <c r="I4" s="48" t="s">
        <v>28</v>
      </c>
      <c r="J4" s="48" t="s">
        <v>7</v>
      </c>
      <c r="K4" s="48" t="s">
        <v>8</v>
      </c>
      <c r="L4" s="48" t="s">
        <v>9</v>
      </c>
      <c r="M4" s="48" t="s">
        <v>27</v>
      </c>
      <c r="N4" s="48" t="s">
        <v>28</v>
      </c>
      <c r="O4" s="48" t="s">
        <v>7</v>
      </c>
      <c r="P4" s="48" t="s">
        <v>8</v>
      </c>
      <c r="Q4" s="48" t="s">
        <v>9</v>
      </c>
      <c r="R4" s="48" t="s">
        <v>27</v>
      </c>
      <c r="S4" s="48" t="s">
        <v>28</v>
      </c>
      <c r="T4" s="48" t="s">
        <v>7</v>
      </c>
      <c r="U4" s="48" t="s">
        <v>8</v>
      </c>
      <c r="V4" s="48" t="s">
        <v>9</v>
      </c>
      <c r="W4" s="48" t="s">
        <v>27</v>
      </c>
      <c r="X4" s="48" t="s">
        <v>28</v>
      </c>
      <c r="Y4" s="48" t="s">
        <v>7</v>
      </c>
      <c r="Z4" s="48" t="s">
        <v>8</v>
      </c>
      <c r="AA4" s="48" t="s">
        <v>9</v>
      </c>
      <c r="AB4" s="48" t="s">
        <v>27</v>
      </c>
      <c r="AC4" s="48" t="s">
        <v>28</v>
      </c>
      <c r="AD4" s="149"/>
      <c r="AF4" s="7"/>
      <c r="AS4" s="33"/>
    </row>
    <row r="5" spans="1:37" ht="27.75" customHeight="1">
      <c r="A5" s="49">
        <v>1</v>
      </c>
      <c r="B5" s="48">
        <v>2</v>
      </c>
      <c r="C5" s="48">
        <v>3</v>
      </c>
      <c r="D5" s="47">
        <v>4</v>
      </c>
      <c r="E5" s="48">
        <v>5</v>
      </c>
      <c r="F5" s="48">
        <v>6</v>
      </c>
      <c r="G5" s="48">
        <v>7</v>
      </c>
      <c r="H5" s="48">
        <v>8</v>
      </c>
      <c r="I5" s="48">
        <v>9</v>
      </c>
      <c r="J5" s="48">
        <v>10</v>
      </c>
      <c r="K5" s="48">
        <v>11</v>
      </c>
      <c r="L5" s="48">
        <v>12</v>
      </c>
      <c r="M5" s="48">
        <v>13</v>
      </c>
      <c r="N5" s="48">
        <v>14</v>
      </c>
      <c r="O5" s="48">
        <v>15</v>
      </c>
      <c r="P5" s="48">
        <v>16</v>
      </c>
      <c r="Q5" s="48">
        <v>17</v>
      </c>
      <c r="R5" s="48">
        <v>18</v>
      </c>
      <c r="S5" s="48">
        <v>19</v>
      </c>
      <c r="T5" s="48">
        <v>20</v>
      </c>
      <c r="U5" s="48">
        <v>21</v>
      </c>
      <c r="V5" s="48">
        <v>22</v>
      </c>
      <c r="W5" s="48">
        <v>23</v>
      </c>
      <c r="X5" s="48">
        <v>24</v>
      </c>
      <c r="Y5" s="48">
        <v>25</v>
      </c>
      <c r="Z5" s="48">
        <v>26</v>
      </c>
      <c r="AA5" s="48">
        <v>27</v>
      </c>
      <c r="AB5" s="48">
        <v>28</v>
      </c>
      <c r="AC5" s="48">
        <v>29</v>
      </c>
      <c r="AD5" s="111">
        <v>30</v>
      </c>
      <c r="AJ5" s="2"/>
      <c r="AK5" s="2"/>
    </row>
    <row r="6" spans="1:46" ht="28.5" customHeight="1">
      <c r="A6" s="145" t="s">
        <v>71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7"/>
      <c r="AE6" s="112">
        <f>AE8+4185</f>
        <v>328244</v>
      </c>
      <c r="AF6" s="2">
        <f>AE6+AG8</f>
        <v>566956</v>
      </c>
      <c r="AG6" s="2">
        <f>AE6-U50</f>
        <v>323032</v>
      </c>
      <c r="AK6" s="33"/>
      <c r="AR6" s="33"/>
      <c r="AT6" s="33"/>
    </row>
    <row r="7" spans="1:55" ht="26.25" customHeight="1">
      <c r="A7" s="118" t="s">
        <v>58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6"/>
      <c r="AE7" s="112">
        <f>AE8+AG8</f>
        <v>562771</v>
      </c>
      <c r="AM7" s="10"/>
      <c r="BC7" s="2"/>
    </row>
    <row r="8" spans="1:60" ht="30.75" customHeight="1">
      <c r="A8" s="148" t="s">
        <v>0</v>
      </c>
      <c r="B8" s="131" t="s">
        <v>76</v>
      </c>
      <c r="C8" s="48" t="s">
        <v>10</v>
      </c>
      <c r="D8" s="47" t="s">
        <v>50</v>
      </c>
      <c r="E8" s="45">
        <f aca="true" t="shared" si="0" ref="E8:E30">F8+G8+H8+I8</f>
        <v>45433.3</v>
      </c>
      <c r="F8" s="45">
        <v>45433.3</v>
      </c>
      <c r="G8" s="45">
        <v>0</v>
      </c>
      <c r="H8" s="45">
        <v>0</v>
      </c>
      <c r="I8" s="45">
        <v>0</v>
      </c>
      <c r="J8" s="45">
        <f>K8+L8+M8+N8</f>
        <v>50205.3</v>
      </c>
      <c r="K8" s="45">
        <f>45433.3+4772</f>
        <v>50205.3</v>
      </c>
      <c r="L8" s="45">
        <v>0</v>
      </c>
      <c r="M8" s="45">
        <v>0</v>
      </c>
      <c r="N8" s="45">
        <v>0</v>
      </c>
      <c r="O8" s="45">
        <f>P8+Q8+R8+S8</f>
        <v>49479</v>
      </c>
      <c r="P8" s="45">
        <f>45433.3+4045.7</f>
        <v>49479</v>
      </c>
      <c r="Q8" s="45">
        <v>0</v>
      </c>
      <c r="R8" s="45">
        <v>0</v>
      </c>
      <c r="S8" s="45">
        <v>0</v>
      </c>
      <c r="T8" s="45">
        <f>U8+V8+W8+X8</f>
        <v>63883.100000000006</v>
      </c>
      <c r="U8" s="45">
        <f>56405.3+4045.7+702.3+2729.8</f>
        <v>63883.100000000006</v>
      </c>
      <c r="V8" s="45">
        <v>0</v>
      </c>
      <c r="W8" s="45">
        <v>0</v>
      </c>
      <c r="X8" s="45">
        <v>0</v>
      </c>
      <c r="Y8" s="45">
        <f>Z8+AA8+AB8+AC8</f>
        <v>65020.200000000004</v>
      </c>
      <c r="Z8" s="45">
        <f>61153.3+3866.9</f>
        <v>65020.200000000004</v>
      </c>
      <c r="AA8" s="45">
        <v>0</v>
      </c>
      <c r="AB8" s="45">
        <v>0</v>
      </c>
      <c r="AC8" s="45">
        <v>0</v>
      </c>
      <c r="AD8" s="46">
        <f>Y8+T8+O8+J8+E8</f>
        <v>274020.9</v>
      </c>
      <c r="AE8" s="89">
        <f>U8+U10+U12+U14+U16+U18+U20+U21+U29+U36+U51+U53+U56+U63+U66+U75+U60</f>
        <v>324059</v>
      </c>
      <c r="AF8" s="104">
        <f>Y8+Y10+Y12+Y14+Y16+Y18+Y20+Y21+Y29+Y36+Y51+Y53+Y56+Y63+Y66+Y75+Y61</f>
        <v>322006</v>
      </c>
      <c r="AG8" s="2">
        <f>U9+U11+U13+U15+U17+U19+U22+U23+U24+U25+U26+U27+U54+U55+U57+U64+U67+U74</f>
        <v>238712</v>
      </c>
      <c r="AH8" s="2">
        <f>AG8-214496</f>
        <v>24216</v>
      </c>
      <c r="AR8" s="2"/>
      <c r="AS8" s="2"/>
      <c r="BB8" s="2"/>
      <c r="BD8" s="34"/>
      <c r="BE8" s="2"/>
      <c r="BF8" s="2"/>
      <c r="BH8" s="2"/>
    </row>
    <row r="9" spans="1:63" ht="41.25" customHeight="1">
      <c r="A9" s="148"/>
      <c r="B9" s="131"/>
      <c r="C9" s="48" t="s">
        <v>83</v>
      </c>
      <c r="D9" s="47" t="s">
        <v>50</v>
      </c>
      <c r="E9" s="45">
        <f t="shared" si="0"/>
        <v>28059.5</v>
      </c>
      <c r="F9" s="45">
        <f>28059.5</f>
        <v>28059.5</v>
      </c>
      <c r="G9" s="45">
        <v>0</v>
      </c>
      <c r="H9" s="45">
        <v>0</v>
      </c>
      <c r="I9" s="45">
        <v>0</v>
      </c>
      <c r="J9" s="45">
        <f>K9+L9+M9+N9</f>
        <v>28355</v>
      </c>
      <c r="K9" s="45">
        <v>28355</v>
      </c>
      <c r="L9" s="45">
        <v>0</v>
      </c>
      <c r="M9" s="45">
        <v>0</v>
      </c>
      <c r="N9" s="45">
        <v>0</v>
      </c>
      <c r="O9" s="45">
        <f>P9+Q9+R9+S9</f>
        <v>32278</v>
      </c>
      <c r="P9" s="45">
        <f>32069+209</f>
        <v>32278</v>
      </c>
      <c r="Q9" s="45">
        <v>0</v>
      </c>
      <c r="R9" s="45">
        <v>0</v>
      </c>
      <c r="S9" s="45">
        <v>0</v>
      </c>
      <c r="T9" s="45">
        <f>U9+V9+W9+X9</f>
        <v>35808</v>
      </c>
      <c r="U9" s="45">
        <v>35808</v>
      </c>
      <c r="V9" s="45">
        <v>0</v>
      </c>
      <c r="W9" s="45">
        <v>0</v>
      </c>
      <c r="X9" s="45">
        <v>0</v>
      </c>
      <c r="Y9" s="45">
        <f>Z9+AA9+AB9+AC9</f>
        <v>36558</v>
      </c>
      <c r="Z9" s="45">
        <f>35808+750</f>
        <v>36558</v>
      </c>
      <c r="AA9" s="45">
        <v>0</v>
      </c>
      <c r="AB9" s="45">
        <v>0</v>
      </c>
      <c r="AC9" s="45">
        <v>0</v>
      </c>
      <c r="AD9" s="46">
        <f aca="true" t="shared" si="1" ref="AD9:AD29">Y9+T9+O9+J9+E9</f>
        <v>161058.5</v>
      </c>
      <c r="AE9" s="89">
        <v>311091</v>
      </c>
      <c r="AF9" s="2">
        <v>307768</v>
      </c>
      <c r="AG9" s="2">
        <f>AF8-Z50</f>
        <v>317054</v>
      </c>
      <c r="AH9" s="2">
        <f>AG8-U27-U26</f>
        <v>220015</v>
      </c>
      <c r="AJ9" s="2"/>
      <c r="AM9" s="2"/>
      <c r="AR9" s="2"/>
      <c r="BA9" s="2"/>
      <c r="BB9" s="2"/>
      <c r="BD9" s="34"/>
      <c r="BE9" s="39"/>
      <c r="BF9" s="116"/>
      <c r="BG9" s="116"/>
      <c r="BH9" s="116"/>
      <c r="BI9" s="116"/>
      <c r="BJ9" s="116"/>
      <c r="BK9" s="116"/>
    </row>
    <row r="10" spans="1:63" ht="34.5" customHeight="1">
      <c r="A10" s="122" t="s">
        <v>1</v>
      </c>
      <c r="B10" s="131" t="s">
        <v>77</v>
      </c>
      <c r="C10" s="48" t="s">
        <v>10</v>
      </c>
      <c r="D10" s="47" t="s">
        <v>50</v>
      </c>
      <c r="E10" s="45">
        <f t="shared" si="0"/>
        <v>55397.7</v>
      </c>
      <c r="F10" s="45">
        <f>64141-8743.3</f>
        <v>55397.7</v>
      </c>
      <c r="G10" s="45">
        <v>0</v>
      </c>
      <c r="H10" s="45">
        <v>0</v>
      </c>
      <c r="I10" s="45">
        <v>0</v>
      </c>
      <c r="J10" s="45">
        <f>K10+L10+M10+N10</f>
        <v>64141</v>
      </c>
      <c r="K10" s="45">
        <v>64141</v>
      </c>
      <c r="L10" s="45">
        <v>0</v>
      </c>
      <c r="M10" s="45">
        <v>0</v>
      </c>
      <c r="N10" s="45">
        <v>0</v>
      </c>
      <c r="O10" s="45">
        <f>P10+Q10+R10+S10</f>
        <v>64141</v>
      </c>
      <c r="P10" s="45">
        <v>64141</v>
      </c>
      <c r="Q10" s="45">
        <v>0</v>
      </c>
      <c r="R10" s="45">
        <v>0</v>
      </c>
      <c r="S10" s="45">
        <v>0</v>
      </c>
      <c r="T10" s="45">
        <f>U10+V10+W10+X10</f>
        <v>74316.6</v>
      </c>
      <c r="U10" s="45">
        <f>71141+3175.6</f>
        <v>74316.6</v>
      </c>
      <c r="V10" s="45">
        <v>0</v>
      </c>
      <c r="W10" s="45">
        <v>0</v>
      </c>
      <c r="X10" s="45">
        <v>0</v>
      </c>
      <c r="Y10" s="45">
        <f>Z10+AA10+AB10+AC10</f>
        <v>75641.1</v>
      </c>
      <c r="Z10" s="45">
        <f>71141+4500.1</f>
        <v>75641.1</v>
      </c>
      <c r="AA10" s="45">
        <v>0</v>
      </c>
      <c r="AB10" s="45">
        <v>0</v>
      </c>
      <c r="AC10" s="45">
        <v>0</v>
      </c>
      <c r="AD10" s="46">
        <f t="shared" si="1"/>
        <v>333637.4</v>
      </c>
      <c r="AE10" s="107">
        <f>AE9-AE8</f>
        <v>-12968</v>
      </c>
      <c r="AF10" s="108">
        <f>AF9-AF8</f>
        <v>-14238</v>
      </c>
      <c r="AG10" s="2">
        <f>AF9+215578+4</f>
        <v>523350</v>
      </c>
      <c r="AM10" s="2"/>
      <c r="AR10" s="2"/>
      <c r="AT10" s="2"/>
      <c r="BA10" s="2"/>
      <c r="BB10" s="2"/>
      <c r="BD10" s="34"/>
      <c r="BE10" s="33"/>
      <c r="BF10" s="116"/>
      <c r="BG10" s="116"/>
      <c r="BH10" s="116"/>
      <c r="BI10" s="116"/>
      <c r="BJ10" s="116"/>
      <c r="BK10" s="116"/>
    </row>
    <row r="11" spans="1:63" ht="33.75" customHeight="1">
      <c r="A11" s="132"/>
      <c r="B11" s="131"/>
      <c r="C11" s="48" t="s">
        <v>83</v>
      </c>
      <c r="D11" s="47" t="s">
        <v>50</v>
      </c>
      <c r="E11" s="45">
        <f t="shared" si="0"/>
        <v>34261</v>
      </c>
      <c r="F11" s="45">
        <f>30000.4+4250-1076+921+165.6</f>
        <v>34261</v>
      </c>
      <c r="G11" s="45">
        <v>0</v>
      </c>
      <c r="H11" s="45">
        <v>0</v>
      </c>
      <c r="I11" s="45">
        <v>0</v>
      </c>
      <c r="J11" s="45">
        <f aca="true" t="shared" si="2" ref="J11:J21">K11+L11+M11+N11</f>
        <v>29106</v>
      </c>
      <c r="K11" s="45">
        <f>29086+20</f>
        <v>29106</v>
      </c>
      <c r="L11" s="45">
        <v>0</v>
      </c>
      <c r="M11" s="45">
        <v>0</v>
      </c>
      <c r="N11" s="45">
        <v>0</v>
      </c>
      <c r="O11" s="45">
        <f>P11+Q11+R11+S11</f>
        <v>35409</v>
      </c>
      <c r="P11" s="45">
        <f>35346+63</f>
        <v>35409</v>
      </c>
      <c r="Q11" s="45">
        <v>0</v>
      </c>
      <c r="R11" s="45">
        <v>0</v>
      </c>
      <c r="S11" s="45">
        <v>0</v>
      </c>
      <c r="T11" s="45">
        <f>U11+V11+W11+X11</f>
        <v>33846</v>
      </c>
      <c r="U11" s="45">
        <v>33846</v>
      </c>
      <c r="V11" s="45">
        <v>0</v>
      </c>
      <c r="W11" s="45">
        <v>0</v>
      </c>
      <c r="X11" s="45">
        <v>0</v>
      </c>
      <c r="Y11" s="45">
        <f>Z11+AA11+AB11+AC11</f>
        <v>33846</v>
      </c>
      <c r="Z11" s="45">
        <v>33846</v>
      </c>
      <c r="AA11" s="45">
        <v>0</v>
      </c>
      <c r="AB11" s="45">
        <v>0</v>
      </c>
      <c r="AC11" s="45">
        <v>0</v>
      </c>
      <c r="AD11" s="46">
        <f t="shared" si="1"/>
        <v>166468</v>
      </c>
      <c r="AE11" s="89">
        <f>U8+U10+U12+U14+U16+U18+U20+U21+U29</f>
        <v>253879</v>
      </c>
      <c r="AF11" s="2">
        <f>Y8+Y10+Y12+Y14+Y16+Y18+Y20+Y21+Y29</f>
        <v>249753.00000000003</v>
      </c>
      <c r="AK11" s="17"/>
      <c r="AM11" s="2"/>
      <c r="AR11" s="2"/>
      <c r="AS11" s="2"/>
      <c r="BA11" s="2"/>
      <c r="BB11" s="2"/>
      <c r="BD11" s="34"/>
      <c r="BE11" s="2"/>
      <c r="BF11" s="116"/>
      <c r="BG11" s="116"/>
      <c r="BH11" s="116"/>
      <c r="BI11" s="116"/>
      <c r="BJ11" s="116"/>
      <c r="BK11" s="116"/>
    </row>
    <row r="12" spans="1:63" s="9" customFormat="1" ht="24.75" customHeight="1">
      <c r="A12" s="143" t="s">
        <v>2</v>
      </c>
      <c r="B12" s="131" t="s">
        <v>56</v>
      </c>
      <c r="C12" s="48" t="s">
        <v>10</v>
      </c>
      <c r="D12" s="47" t="s">
        <v>50</v>
      </c>
      <c r="E12" s="45">
        <f t="shared" si="0"/>
        <v>34609.3</v>
      </c>
      <c r="F12" s="92">
        <v>34609.3</v>
      </c>
      <c r="G12" s="45">
        <v>0</v>
      </c>
      <c r="H12" s="45">
        <v>0</v>
      </c>
      <c r="I12" s="45">
        <v>0</v>
      </c>
      <c r="J12" s="45">
        <f t="shared" si="2"/>
        <v>43855</v>
      </c>
      <c r="K12" s="93">
        <f>34609.3+3176+6069.7</f>
        <v>43855</v>
      </c>
      <c r="L12" s="45">
        <v>0</v>
      </c>
      <c r="M12" s="45">
        <v>0</v>
      </c>
      <c r="N12" s="45">
        <v>0</v>
      </c>
      <c r="O12" s="45">
        <f>P12+G12+H12+I12</f>
        <v>36709.3</v>
      </c>
      <c r="P12" s="92">
        <f>34609.3+2100</f>
        <v>36709.3</v>
      </c>
      <c r="Q12" s="45">
        <v>0</v>
      </c>
      <c r="R12" s="45">
        <v>0</v>
      </c>
      <c r="S12" s="45">
        <v>0</v>
      </c>
      <c r="T12" s="45">
        <f>U12+L12+M12+N12</f>
        <v>49051</v>
      </c>
      <c r="U12" s="92">
        <f>44855+2100+2096</f>
        <v>49051</v>
      </c>
      <c r="V12" s="45">
        <v>0</v>
      </c>
      <c r="W12" s="45">
        <v>0</v>
      </c>
      <c r="X12" s="45">
        <v>0</v>
      </c>
      <c r="Y12" s="45">
        <f>Z12+Q12+R12+S12</f>
        <v>49925.8</v>
      </c>
      <c r="Z12" s="92">
        <f>46955+2970.8</f>
        <v>49925.8</v>
      </c>
      <c r="AA12" s="45">
        <v>0</v>
      </c>
      <c r="AB12" s="45">
        <v>0</v>
      </c>
      <c r="AC12" s="45">
        <v>0</v>
      </c>
      <c r="AD12" s="46">
        <f t="shared" si="1"/>
        <v>214150.40000000002</v>
      </c>
      <c r="AE12" s="105">
        <f>243812</f>
        <v>243812</v>
      </c>
      <c r="AF12" s="106">
        <f>AF9-AE13-4952</f>
        <v>235515</v>
      </c>
      <c r="AG12" s="8">
        <f>AF12-AF11</f>
        <v>-14238.00000000003</v>
      </c>
      <c r="AI12" s="18"/>
      <c r="AL12" s="1"/>
      <c r="AM12" s="11"/>
      <c r="BA12" s="8"/>
      <c r="BD12" s="35"/>
      <c r="BF12" s="116"/>
      <c r="BG12" s="116"/>
      <c r="BH12" s="116"/>
      <c r="BI12" s="116"/>
      <c r="BJ12" s="116"/>
      <c r="BK12" s="116"/>
    </row>
    <row r="13" spans="1:63" ht="32.25" customHeight="1">
      <c r="A13" s="144"/>
      <c r="B13" s="131"/>
      <c r="C13" s="48" t="s">
        <v>83</v>
      </c>
      <c r="D13" s="47" t="s">
        <v>50</v>
      </c>
      <c r="E13" s="45">
        <f>F13+G13+H13+I13</f>
        <v>8476</v>
      </c>
      <c r="F13" s="45">
        <f>8446.3+29.7</f>
        <v>8476</v>
      </c>
      <c r="G13" s="45">
        <v>0</v>
      </c>
      <c r="H13" s="45">
        <v>0</v>
      </c>
      <c r="I13" s="45">
        <v>0</v>
      </c>
      <c r="J13" s="45">
        <f t="shared" si="2"/>
        <v>8600</v>
      </c>
      <c r="K13" s="45">
        <f>8633-33</f>
        <v>8600</v>
      </c>
      <c r="L13" s="45">
        <v>0</v>
      </c>
      <c r="M13" s="45">
        <v>0</v>
      </c>
      <c r="N13" s="45">
        <v>0</v>
      </c>
      <c r="O13" s="45">
        <f>P13+Q13+R13+S13</f>
        <v>9185</v>
      </c>
      <c r="P13" s="45">
        <f>9168+17</f>
        <v>9185</v>
      </c>
      <c r="Q13" s="45">
        <v>0</v>
      </c>
      <c r="R13" s="45">
        <v>0</v>
      </c>
      <c r="S13" s="45">
        <v>0</v>
      </c>
      <c r="T13" s="45">
        <f>U13+V13+W13+X13</f>
        <v>10233</v>
      </c>
      <c r="U13" s="45">
        <v>10233</v>
      </c>
      <c r="V13" s="45">
        <v>0</v>
      </c>
      <c r="W13" s="45">
        <v>0</v>
      </c>
      <c r="X13" s="45">
        <v>0</v>
      </c>
      <c r="Y13" s="45">
        <f>Z13+AA13+AB13+AC13</f>
        <v>10565</v>
      </c>
      <c r="Z13" s="45">
        <f>10233+332</f>
        <v>10565</v>
      </c>
      <c r="AA13" s="45">
        <v>0</v>
      </c>
      <c r="AB13" s="45">
        <v>0</v>
      </c>
      <c r="AC13" s="45">
        <v>0</v>
      </c>
      <c r="AD13" s="46">
        <f t="shared" si="1"/>
        <v>47059</v>
      </c>
      <c r="AE13" s="77">
        <f>6771+941+39100+2519+17970</f>
        <v>67301</v>
      </c>
      <c r="AF13" s="2">
        <f>AF12+AE13+4952</f>
        <v>307768</v>
      </c>
      <c r="AJ13" s="2"/>
      <c r="AM13" s="10"/>
      <c r="BD13" s="34"/>
      <c r="BE13" s="2"/>
      <c r="BF13" s="116"/>
      <c r="BG13" s="116"/>
      <c r="BH13" s="116"/>
      <c r="BI13" s="116"/>
      <c r="BJ13" s="116"/>
      <c r="BK13" s="116"/>
    </row>
    <row r="14" spans="1:63" ht="24" customHeight="1">
      <c r="A14" s="122" t="s">
        <v>59</v>
      </c>
      <c r="B14" s="121" t="s">
        <v>55</v>
      </c>
      <c r="C14" s="48" t="s">
        <v>10</v>
      </c>
      <c r="D14" s="47" t="s">
        <v>50</v>
      </c>
      <c r="E14" s="45">
        <f t="shared" si="0"/>
        <v>12515.6</v>
      </c>
      <c r="F14" s="45">
        <v>12515.6</v>
      </c>
      <c r="G14" s="45">
        <v>0</v>
      </c>
      <c r="H14" s="45">
        <v>0</v>
      </c>
      <c r="I14" s="45">
        <v>0</v>
      </c>
      <c r="J14" s="45">
        <f t="shared" si="2"/>
        <v>12515.6</v>
      </c>
      <c r="K14" s="45">
        <v>12515.6</v>
      </c>
      <c r="L14" s="45">
        <v>0</v>
      </c>
      <c r="M14" s="45">
        <v>0</v>
      </c>
      <c r="N14" s="45">
        <v>0</v>
      </c>
      <c r="O14" s="45">
        <f>P14</f>
        <v>12515.6</v>
      </c>
      <c r="P14" s="45">
        <v>12515.6</v>
      </c>
      <c r="Q14" s="45">
        <v>0</v>
      </c>
      <c r="R14" s="45">
        <v>0</v>
      </c>
      <c r="S14" s="45">
        <v>0</v>
      </c>
      <c r="T14" s="45">
        <f>U14</f>
        <v>13074.300000000001</v>
      </c>
      <c r="U14" s="45">
        <f>12515.6+558.7</f>
        <v>13074.300000000001</v>
      </c>
      <c r="V14" s="45">
        <v>0</v>
      </c>
      <c r="W14" s="45">
        <v>0</v>
      </c>
      <c r="X14" s="45">
        <v>0</v>
      </c>
      <c r="Y14" s="45">
        <f>Z14</f>
        <v>13309.1</v>
      </c>
      <c r="Z14" s="45">
        <f>12515.6+793.5</f>
        <v>13309.1</v>
      </c>
      <c r="AA14" s="45">
        <v>0</v>
      </c>
      <c r="AB14" s="45">
        <v>0</v>
      </c>
      <c r="AC14" s="45">
        <v>0</v>
      </c>
      <c r="AD14" s="46">
        <f t="shared" si="1"/>
        <v>63930.2</v>
      </c>
      <c r="AE14" s="89">
        <f>AE12-AE11</f>
        <v>-10067</v>
      </c>
      <c r="AK14" s="18"/>
      <c r="AM14" s="10"/>
      <c r="BD14" s="34"/>
      <c r="BF14" s="116"/>
      <c r="BG14" s="116"/>
      <c r="BH14" s="116"/>
      <c r="BI14" s="116"/>
      <c r="BJ14" s="116"/>
      <c r="BK14" s="116"/>
    </row>
    <row r="15" spans="1:63" ht="35.25" customHeight="1">
      <c r="A15" s="122"/>
      <c r="B15" s="152"/>
      <c r="C15" s="48" t="s">
        <v>83</v>
      </c>
      <c r="D15" s="47" t="s">
        <v>50</v>
      </c>
      <c r="E15" s="45">
        <f t="shared" si="0"/>
        <v>24010</v>
      </c>
      <c r="F15" s="45">
        <f>19587+4632+77.3-631+344.7</f>
        <v>24010</v>
      </c>
      <c r="G15" s="45">
        <v>0</v>
      </c>
      <c r="H15" s="45">
        <v>0</v>
      </c>
      <c r="I15" s="45">
        <v>0</v>
      </c>
      <c r="J15" s="45">
        <f t="shared" si="2"/>
        <v>31864</v>
      </c>
      <c r="K15" s="45">
        <f>29500+2446-82</f>
        <v>31864</v>
      </c>
      <c r="L15" s="45">
        <v>0</v>
      </c>
      <c r="M15" s="45">
        <v>0</v>
      </c>
      <c r="N15" s="45">
        <v>0</v>
      </c>
      <c r="O15" s="45">
        <f>P15+Q15+R15+S15</f>
        <v>36805</v>
      </c>
      <c r="P15" s="45">
        <f>32828+2500+227+1250</f>
        <v>36805</v>
      </c>
      <c r="Q15" s="45">
        <v>0</v>
      </c>
      <c r="R15" s="45">
        <v>0</v>
      </c>
      <c r="S15" s="45">
        <v>0</v>
      </c>
      <c r="T15" s="45">
        <f>U15+V15+W15+X15</f>
        <v>42377</v>
      </c>
      <c r="U15" s="45">
        <f>31496+10881</f>
        <v>42377</v>
      </c>
      <c r="V15" s="45">
        <v>0</v>
      </c>
      <c r="W15" s="45">
        <v>0</v>
      </c>
      <c r="X15" s="45">
        <v>0</v>
      </c>
      <c r="Y15" s="45">
        <f>Z15+AA15+AB15+AC15</f>
        <v>31496</v>
      </c>
      <c r="Z15" s="45">
        <v>31496</v>
      </c>
      <c r="AA15" s="45">
        <v>0</v>
      </c>
      <c r="AB15" s="45">
        <v>0</v>
      </c>
      <c r="AC15" s="45">
        <v>0</v>
      </c>
      <c r="AD15" s="46">
        <f t="shared" si="1"/>
        <v>166552</v>
      </c>
      <c r="AE15" s="104">
        <f>Z9+Z11+Z13+Z15+Z17+Z19+Z22+Z24+Z25+Z54+Z55+Z57+Z64+Z67+Z74</f>
        <v>207582</v>
      </c>
      <c r="AG15" s="2"/>
      <c r="AJ15" s="17"/>
      <c r="AK15" s="2"/>
      <c r="BD15" s="34"/>
      <c r="BE15" s="2"/>
      <c r="BF15" s="116"/>
      <c r="BG15" s="116"/>
      <c r="BH15" s="116"/>
      <c r="BI15" s="116"/>
      <c r="BJ15" s="116"/>
      <c r="BK15" s="116"/>
    </row>
    <row r="16" spans="1:63" ht="28.5" customHeight="1">
      <c r="A16" s="122" t="s">
        <v>60</v>
      </c>
      <c r="B16" s="121" t="s">
        <v>80</v>
      </c>
      <c r="C16" s="48" t="s">
        <v>10</v>
      </c>
      <c r="D16" s="47" t="s">
        <v>50</v>
      </c>
      <c r="E16" s="45">
        <f t="shared" si="0"/>
        <v>9396.3</v>
      </c>
      <c r="F16" s="45">
        <v>9396.3</v>
      </c>
      <c r="G16" s="45">
        <v>0</v>
      </c>
      <c r="H16" s="45">
        <v>0</v>
      </c>
      <c r="I16" s="45">
        <v>0</v>
      </c>
      <c r="J16" s="45">
        <f t="shared" si="2"/>
        <v>9476.3</v>
      </c>
      <c r="K16" s="45">
        <f>9396.3+80</f>
        <v>9476.3</v>
      </c>
      <c r="L16" s="45">
        <v>0</v>
      </c>
      <c r="M16" s="45">
        <v>0</v>
      </c>
      <c r="N16" s="45">
        <v>0</v>
      </c>
      <c r="O16" s="45">
        <f>P16</f>
        <v>9396.3</v>
      </c>
      <c r="P16" s="45">
        <v>9396.3</v>
      </c>
      <c r="Q16" s="45">
        <v>0</v>
      </c>
      <c r="R16" s="45">
        <v>0</v>
      </c>
      <c r="S16" s="45">
        <v>0</v>
      </c>
      <c r="T16" s="45">
        <f>U16</f>
        <v>9815.8</v>
      </c>
      <c r="U16" s="45">
        <f>9396.3+419.5</f>
        <v>9815.8</v>
      </c>
      <c r="V16" s="45">
        <v>0</v>
      </c>
      <c r="W16" s="45">
        <v>0</v>
      </c>
      <c r="X16" s="45">
        <v>0</v>
      </c>
      <c r="Y16" s="45">
        <f>Z16</f>
        <v>9959</v>
      </c>
      <c r="Z16" s="45">
        <f>9363.3+595.7</f>
        <v>9959</v>
      </c>
      <c r="AA16" s="45">
        <v>0</v>
      </c>
      <c r="AB16" s="45">
        <v>0</v>
      </c>
      <c r="AC16" s="45">
        <v>0</v>
      </c>
      <c r="AD16" s="46">
        <f t="shared" si="1"/>
        <v>48043.7</v>
      </c>
      <c r="AE16" s="104">
        <f>AE12-U29</f>
        <v>231812</v>
      </c>
      <c r="AH16" s="12"/>
      <c r="AK16" s="115"/>
      <c r="BD16" s="34"/>
      <c r="BF16" s="116"/>
      <c r="BG16" s="116"/>
      <c r="BH16" s="116"/>
      <c r="BI16" s="116"/>
      <c r="BJ16" s="116"/>
      <c r="BK16" s="116"/>
    </row>
    <row r="17" spans="1:63" ht="33.75" customHeight="1">
      <c r="A17" s="122"/>
      <c r="B17" s="121"/>
      <c r="C17" s="48" t="s">
        <v>83</v>
      </c>
      <c r="D17" s="47" t="s">
        <v>50</v>
      </c>
      <c r="E17" s="45">
        <f t="shared" si="0"/>
        <v>2072.5</v>
      </c>
      <c r="F17" s="45">
        <f>2072.5</f>
        <v>2072.5</v>
      </c>
      <c r="G17" s="45">
        <v>0</v>
      </c>
      <c r="H17" s="45">
        <v>0</v>
      </c>
      <c r="I17" s="45">
        <v>0</v>
      </c>
      <c r="J17" s="45">
        <f t="shared" si="2"/>
        <v>2100</v>
      </c>
      <c r="K17" s="45">
        <v>2100</v>
      </c>
      <c r="L17" s="45">
        <v>0</v>
      </c>
      <c r="M17" s="45">
        <v>0</v>
      </c>
      <c r="N17" s="45">
        <v>0</v>
      </c>
      <c r="O17" s="45">
        <f aca="true" t="shared" si="3" ref="O17:O29">P17+Q17+R17+S17</f>
        <v>2975</v>
      </c>
      <c r="P17" s="45">
        <f>2966+9</f>
        <v>2975</v>
      </c>
      <c r="Q17" s="45">
        <v>0</v>
      </c>
      <c r="R17" s="45">
        <v>0</v>
      </c>
      <c r="S17" s="45">
        <v>0</v>
      </c>
      <c r="T17" s="45">
        <f aca="true" t="shared" si="4" ref="T17:T29">U17+V17+W17+X17</f>
        <v>3469</v>
      </c>
      <c r="U17" s="45">
        <v>3469</v>
      </c>
      <c r="V17" s="45">
        <v>0</v>
      </c>
      <c r="W17" s="45">
        <v>0</v>
      </c>
      <c r="X17" s="45">
        <v>0</v>
      </c>
      <c r="Y17" s="45">
        <f aca="true" t="shared" si="5" ref="Y17:Y29">Z17+AA17+AB17+AC17</f>
        <v>3469</v>
      </c>
      <c r="Z17" s="45">
        <v>3469</v>
      </c>
      <c r="AA17" s="45">
        <v>0</v>
      </c>
      <c r="AB17" s="45">
        <v>0</v>
      </c>
      <c r="AC17" s="45">
        <v>0</v>
      </c>
      <c r="AD17" s="46">
        <f t="shared" si="1"/>
        <v>14085.5</v>
      </c>
      <c r="AE17" s="89"/>
      <c r="AF17" s="2">
        <f>AF12-Z29</f>
        <v>231812</v>
      </c>
      <c r="AH17" s="12"/>
      <c r="AZ17" s="2"/>
      <c r="BD17" s="34"/>
      <c r="BE17" s="2"/>
      <c r="BF17" s="116"/>
      <c r="BG17" s="116"/>
      <c r="BH17" s="116"/>
      <c r="BI17" s="116"/>
      <c r="BJ17" s="116"/>
      <c r="BK17" s="116"/>
    </row>
    <row r="18" spans="1:63" ht="23.25" customHeight="1">
      <c r="A18" s="122" t="s">
        <v>61</v>
      </c>
      <c r="B18" s="121" t="s">
        <v>82</v>
      </c>
      <c r="C18" s="48" t="s">
        <v>10</v>
      </c>
      <c r="D18" s="47" t="s">
        <v>50</v>
      </c>
      <c r="E18" s="45">
        <f t="shared" si="0"/>
        <v>15536.8</v>
      </c>
      <c r="F18" s="45">
        <f>20242.8-4706</f>
        <v>15536.8</v>
      </c>
      <c r="G18" s="45">
        <v>0</v>
      </c>
      <c r="H18" s="45">
        <v>0</v>
      </c>
      <c r="I18" s="45">
        <v>0</v>
      </c>
      <c r="J18" s="45">
        <f t="shared" si="2"/>
        <v>22360.8</v>
      </c>
      <c r="K18" s="45">
        <f>20242.8+2118</f>
        <v>22360.8</v>
      </c>
      <c r="L18" s="45">
        <v>0</v>
      </c>
      <c r="M18" s="45">
        <v>0</v>
      </c>
      <c r="N18" s="45">
        <v>0</v>
      </c>
      <c r="O18" s="45">
        <f t="shared" si="3"/>
        <v>20242.8</v>
      </c>
      <c r="P18" s="45">
        <v>20242.8</v>
      </c>
      <c r="Q18" s="45">
        <v>0</v>
      </c>
      <c r="R18" s="45">
        <v>0</v>
      </c>
      <c r="S18" s="45">
        <v>0</v>
      </c>
      <c r="T18" s="45">
        <f t="shared" si="4"/>
        <v>25448.2</v>
      </c>
      <c r="U18" s="45">
        <f>24360.8+1087.4</f>
        <v>25448.2</v>
      </c>
      <c r="V18" s="45">
        <v>0</v>
      </c>
      <c r="W18" s="45">
        <v>0</v>
      </c>
      <c r="X18" s="45">
        <v>0</v>
      </c>
      <c r="Y18" s="45">
        <f t="shared" si="5"/>
        <v>25904.8</v>
      </c>
      <c r="Z18" s="45">
        <f>24360.8+1544</f>
        <v>25904.8</v>
      </c>
      <c r="AA18" s="45">
        <v>0</v>
      </c>
      <c r="AB18" s="45">
        <v>0</v>
      </c>
      <c r="AC18" s="45">
        <v>0</v>
      </c>
      <c r="AD18" s="46">
        <f t="shared" si="1"/>
        <v>109493.40000000001</v>
      </c>
      <c r="AE18" s="43">
        <f>878+2500+1180</f>
        <v>4558</v>
      </c>
      <c r="AG18" s="1">
        <f>AE18-2500</f>
        <v>2058</v>
      </c>
      <c r="AH18" s="12">
        <f>1180+878</f>
        <v>2058</v>
      </c>
      <c r="AR18" s="18"/>
      <c r="AS18" s="18"/>
      <c r="AZ18" s="2"/>
      <c r="BD18" s="34"/>
      <c r="BF18" s="116"/>
      <c r="BG18" s="116"/>
      <c r="BH18" s="116"/>
      <c r="BI18" s="116"/>
      <c r="BJ18" s="116"/>
      <c r="BK18" s="116"/>
    </row>
    <row r="19" spans="1:63" ht="35.25" customHeight="1">
      <c r="A19" s="122"/>
      <c r="B19" s="121"/>
      <c r="C19" s="48" t="s">
        <v>83</v>
      </c>
      <c r="D19" s="47" t="s">
        <v>50</v>
      </c>
      <c r="E19" s="45">
        <f t="shared" si="0"/>
        <v>11464.4</v>
      </c>
      <c r="F19" s="45">
        <f>6588.4+4876</f>
        <v>11464.4</v>
      </c>
      <c r="G19" s="45">
        <v>0</v>
      </c>
      <c r="H19" s="45">
        <v>0</v>
      </c>
      <c r="I19" s="45">
        <v>0</v>
      </c>
      <c r="J19" s="45">
        <f t="shared" si="2"/>
        <v>23521</v>
      </c>
      <c r="K19" s="45">
        <f>23333+188</f>
        <v>23521</v>
      </c>
      <c r="L19" s="45">
        <v>0</v>
      </c>
      <c r="M19" s="45">
        <v>0</v>
      </c>
      <c r="N19" s="45">
        <v>0</v>
      </c>
      <c r="O19" s="45">
        <f t="shared" si="3"/>
        <v>28403</v>
      </c>
      <c r="P19" s="45">
        <f>26981+242+1180</f>
        <v>28403</v>
      </c>
      <c r="Q19" s="45">
        <v>0</v>
      </c>
      <c r="R19" s="45">
        <v>0</v>
      </c>
      <c r="S19" s="45">
        <v>0</v>
      </c>
      <c r="T19" s="45">
        <f t="shared" si="4"/>
        <v>29514</v>
      </c>
      <c r="U19" s="45">
        <f>25619+446+3449</f>
        <v>29514</v>
      </c>
      <c r="V19" s="45">
        <v>0</v>
      </c>
      <c r="W19" s="45">
        <v>0</v>
      </c>
      <c r="X19" s="45">
        <v>0</v>
      </c>
      <c r="Y19" s="45">
        <f t="shared" si="5"/>
        <v>25619</v>
      </c>
      <c r="Z19" s="45">
        <v>25619</v>
      </c>
      <c r="AA19" s="45">
        <v>0</v>
      </c>
      <c r="AB19" s="45">
        <v>0</v>
      </c>
      <c r="AC19" s="45">
        <v>0</v>
      </c>
      <c r="AD19" s="46">
        <f t="shared" si="1"/>
        <v>118521.4</v>
      </c>
      <c r="AE19" s="43">
        <f>1180+242</f>
        <v>1422</v>
      </c>
      <c r="AH19" s="12"/>
      <c r="AM19" s="2"/>
      <c r="AZ19" s="2"/>
      <c r="BD19" s="34"/>
      <c r="BE19" s="2"/>
      <c r="BF19" s="116"/>
      <c r="BG19" s="116"/>
      <c r="BH19" s="116"/>
      <c r="BI19" s="116"/>
      <c r="BJ19" s="116"/>
      <c r="BK19" s="116"/>
    </row>
    <row r="20" spans="1:63" s="9" customFormat="1" ht="97.5" customHeight="1">
      <c r="A20" s="49" t="s">
        <v>62</v>
      </c>
      <c r="B20" s="51" t="s">
        <v>75</v>
      </c>
      <c r="C20" s="48" t="s">
        <v>10</v>
      </c>
      <c r="D20" s="47" t="s">
        <v>50</v>
      </c>
      <c r="E20" s="45">
        <f t="shared" si="0"/>
        <v>6327</v>
      </c>
      <c r="F20" s="45">
        <f>2500-238+4065</f>
        <v>6327</v>
      </c>
      <c r="G20" s="45">
        <v>0</v>
      </c>
      <c r="H20" s="45">
        <v>0</v>
      </c>
      <c r="I20" s="45">
        <v>0</v>
      </c>
      <c r="J20" s="45">
        <f t="shared" si="2"/>
        <v>6259</v>
      </c>
      <c r="K20" s="45">
        <f>4065+1297+2097-1200</f>
        <v>6259</v>
      </c>
      <c r="L20" s="45">
        <v>0</v>
      </c>
      <c r="M20" s="45">
        <v>0</v>
      </c>
      <c r="N20" s="45">
        <v>0</v>
      </c>
      <c r="O20" s="45">
        <f t="shared" si="3"/>
        <v>6259</v>
      </c>
      <c r="P20" s="45">
        <v>6259</v>
      </c>
      <c r="Q20" s="45">
        <v>0</v>
      </c>
      <c r="R20" s="45">
        <v>0</v>
      </c>
      <c r="S20" s="45">
        <v>0</v>
      </c>
      <c r="T20" s="45">
        <f t="shared" si="4"/>
        <v>6290</v>
      </c>
      <c r="U20" s="45">
        <v>6290</v>
      </c>
      <c r="V20" s="45">
        <v>0</v>
      </c>
      <c r="W20" s="45">
        <v>0</v>
      </c>
      <c r="X20" s="45">
        <v>0</v>
      </c>
      <c r="Y20" s="45">
        <f t="shared" si="5"/>
        <v>6290</v>
      </c>
      <c r="Z20" s="45">
        <f>U20</f>
        <v>6290</v>
      </c>
      <c r="AA20" s="45">
        <v>0</v>
      </c>
      <c r="AB20" s="45">
        <v>0</v>
      </c>
      <c r="AC20" s="45">
        <v>0</v>
      </c>
      <c r="AD20" s="46">
        <f>Y20+T20+O20+J20+E20</f>
        <v>31425</v>
      </c>
      <c r="AE20" s="76"/>
      <c r="AF20" s="8"/>
      <c r="AI20" s="18"/>
      <c r="AJ20" s="8"/>
      <c r="AK20" s="8"/>
      <c r="BD20" s="34"/>
      <c r="BF20" s="116"/>
      <c r="BG20" s="116"/>
      <c r="BH20" s="116"/>
      <c r="BI20" s="116"/>
      <c r="BJ20" s="116"/>
      <c r="BK20" s="116"/>
    </row>
    <row r="21" spans="1:63" s="9" customFormat="1" ht="77.25" customHeight="1">
      <c r="A21" s="49" t="s">
        <v>63</v>
      </c>
      <c r="B21" s="94" t="s">
        <v>81</v>
      </c>
      <c r="C21" s="48" t="s">
        <v>10</v>
      </c>
      <c r="D21" s="47" t="s">
        <v>121</v>
      </c>
      <c r="E21" s="45">
        <f t="shared" si="0"/>
        <v>732</v>
      </c>
      <c r="F21" s="95">
        <f>2006.7-18-1256.7</f>
        <v>732</v>
      </c>
      <c r="G21" s="95">
        <v>0</v>
      </c>
      <c r="H21" s="95">
        <v>0</v>
      </c>
      <c r="I21" s="95">
        <v>0</v>
      </c>
      <c r="J21" s="45">
        <f t="shared" si="2"/>
        <v>0</v>
      </c>
      <c r="K21" s="45">
        <f>800-800</f>
        <v>0</v>
      </c>
      <c r="L21" s="95">
        <v>0</v>
      </c>
      <c r="M21" s="95">
        <v>0</v>
      </c>
      <c r="N21" s="95">
        <v>0</v>
      </c>
      <c r="O21" s="45">
        <f t="shared" si="3"/>
        <v>0</v>
      </c>
      <c r="P21" s="45">
        <v>0</v>
      </c>
      <c r="Q21" s="45">
        <v>0</v>
      </c>
      <c r="R21" s="45">
        <v>0</v>
      </c>
      <c r="S21" s="45">
        <v>0</v>
      </c>
      <c r="T21" s="45">
        <f t="shared" si="4"/>
        <v>0</v>
      </c>
      <c r="U21" s="45">
        <v>0</v>
      </c>
      <c r="V21" s="45">
        <v>0</v>
      </c>
      <c r="W21" s="45">
        <v>0</v>
      </c>
      <c r="X21" s="45">
        <v>0</v>
      </c>
      <c r="Y21" s="45">
        <f t="shared" si="5"/>
        <v>0</v>
      </c>
      <c r="Z21" s="45">
        <v>0</v>
      </c>
      <c r="AA21" s="45">
        <v>0</v>
      </c>
      <c r="AB21" s="45">
        <v>0</v>
      </c>
      <c r="AC21" s="45">
        <v>0</v>
      </c>
      <c r="AD21" s="46">
        <f t="shared" si="1"/>
        <v>732</v>
      </c>
      <c r="AE21" s="76"/>
      <c r="AF21" s="8"/>
      <c r="AI21" s="18"/>
      <c r="AK21" s="8"/>
      <c r="BD21" s="34"/>
      <c r="BF21" s="116"/>
      <c r="BG21" s="116"/>
      <c r="BH21" s="116"/>
      <c r="BI21" s="116"/>
      <c r="BJ21" s="116"/>
      <c r="BK21" s="116"/>
    </row>
    <row r="22" spans="1:63" ht="40.5" customHeight="1">
      <c r="A22" s="49" t="s">
        <v>64</v>
      </c>
      <c r="B22" s="51" t="s">
        <v>68</v>
      </c>
      <c r="C22" s="48" t="s">
        <v>83</v>
      </c>
      <c r="D22" s="47" t="s">
        <v>50</v>
      </c>
      <c r="E22" s="45">
        <f t="shared" si="0"/>
        <v>2184.3</v>
      </c>
      <c r="F22" s="45">
        <f>2184.3</f>
        <v>2184.3</v>
      </c>
      <c r="G22" s="45">
        <v>0</v>
      </c>
      <c r="H22" s="45">
        <v>0</v>
      </c>
      <c r="I22" s="45">
        <v>0</v>
      </c>
      <c r="J22" s="45">
        <f aca="true" t="shared" si="6" ref="J22:J27">K22+L22+M22+N22</f>
        <v>3283</v>
      </c>
      <c r="K22" s="45">
        <f>3549-266</f>
        <v>3283</v>
      </c>
      <c r="L22" s="45">
        <v>0</v>
      </c>
      <c r="M22" s="45">
        <v>0</v>
      </c>
      <c r="N22" s="45">
        <v>0</v>
      </c>
      <c r="O22" s="45">
        <f t="shared" si="3"/>
        <v>3308</v>
      </c>
      <c r="P22" s="45">
        <v>3308</v>
      </c>
      <c r="Q22" s="45">
        <v>0</v>
      </c>
      <c r="R22" s="45">
        <v>0</v>
      </c>
      <c r="S22" s="45">
        <v>0</v>
      </c>
      <c r="T22" s="45">
        <f t="shared" si="4"/>
        <v>6329</v>
      </c>
      <c r="U22" s="45">
        <f>3669+2660</f>
        <v>6329</v>
      </c>
      <c r="V22" s="45">
        <v>0</v>
      </c>
      <c r="W22" s="45">
        <v>0</v>
      </c>
      <c r="X22" s="45">
        <v>0</v>
      </c>
      <c r="Y22" s="45">
        <f t="shared" si="5"/>
        <v>3669</v>
      </c>
      <c r="Z22" s="45">
        <v>3669</v>
      </c>
      <c r="AA22" s="45">
        <v>0</v>
      </c>
      <c r="AB22" s="45">
        <v>0</v>
      </c>
      <c r="AC22" s="45">
        <v>0</v>
      </c>
      <c r="AD22" s="46">
        <f t="shared" si="1"/>
        <v>18773.3</v>
      </c>
      <c r="AE22" s="89"/>
      <c r="AM22" s="2"/>
      <c r="BD22" s="34"/>
      <c r="BE22" s="2"/>
      <c r="BF22" s="116"/>
      <c r="BG22" s="116"/>
      <c r="BH22" s="116"/>
      <c r="BI22" s="116"/>
      <c r="BJ22" s="116"/>
      <c r="BK22" s="116"/>
    </row>
    <row r="23" spans="1:63" ht="43.5" customHeight="1">
      <c r="A23" s="49" t="s">
        <v>65</v>
      </c>
      <c r="B23" s="51" t="s">
        <v>74</v>
      </c>
      <c r="C23" s="48" t="s">
        <v>83</v>
      </c>
      <c r="D23" s="47" t="s">
        <v>120</v>
      </c>
      <c r="E23" s="45">
        <f t="shared" si="0"/>
        <v>6718</v>
      </c>
      <c r="F23" s="45">
        <f>6718</f>
        <v>6718</v>
      </c>
      <c r="G23" s="45">
        <v>0</v>
      </c>
      <c r="H23" s="45">
        <v>0</v>
      </c>
      <c r="I23" s="45">
        <v>0</v>
      </c>
      <c r="J23" s="45">
        <f t="shared" si="6"/>
        <v>6917</v>
      </c>
      <c r="K23" s="45">
        <v>6917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f t="shared" si="4"/>
        <v>7996</v>
      </c>
      <c r="U23" s="45">
        <v>7996</v>
      </c>
      <c r="V23" s="45">
        <v>0</v>
      </c>
      <c r="W23" s="45">
        <v>0</v>
      </c>
      <c r="X23" s="45">
        <v>0</v>
      </c>
      <c r="Y23" s="45">
        <f t="shared" si="5"/>
        <v>7996</v>
      </c>
      <c r="Z23" s="45">
        <v>7996</v>
      </c>
      <c r="AA23" s="45">
        <v>0</v>
      </c>
      <c r="AB23" s="45">
        <v>0</v>
      </c>
      <c r="AC23" s="45">
        <v>0</v>
      </c>
      <c r="AD23" s="46">
        <f t="shared" si="1"/>
        <v>29627</v>
      </c>
      <c r="AE23" s="89"/>
      <c r="AM23" s="2"/>
      <c r="AN23" s="2"/>
      <c r="BD23" s="34"/>
      <c r="BE23" s="2"/>
      <c r="BF23" s="116"/>
      <c r="BG23" s="116"/>
      <c r="BH23" s="116"/>
      <c r="BI23" s="116"/>
      <c r="BJ23" s="116"/>
      <c r="BK23" s="116"/>
    </row>
    <row r="24" spans="1:63" ht="36.75" customHeight="1">
      <c r="A24" s="49" t="s">
        <v>66</v>
      </c>
      <c r="B24" s="51" t="s">
        <v>53</v>
      </c>
      <c r="C24" s="48" t="s">
        <v>83</v>
      </c>
      <c r="D24" s="47" t="s">
        <v>50</v>
      </c>
      <c r="E24" s="45">
        <f t="shared" si="0"/>
        <v>25652.8</v>
      </c>
      <c r="F24" s="45">
        <f>25652.8</f>
        <v>25652.8</v>
      </c>
      <c r="G24" s="45">
        <v>0</v>
      </c>
      <c r="H24" s="45">
        <v>0</v>
      </c>
      <c r="I24" s="45">
        <v>0</v>
      </c>
      <c r="J24" s="45">
        <f t="shared" si="6"/>
        <v>26734</v>
      </c>
      <c r="K24" s="45">
        <v>26734</v>
      </c>
      <c r="L24" s="45">
        <v>0</v>
      </c>
      <c r="M24" s="45">
        <v>0</v>
      </c>
      <c r="N24" s="45">
        <v>0</v>
      </c>
      <c r="O24" s="45">
        <f t="shared" si="3"/>
        <v>30023</v>
      </c>
      <c r="P24" s="45">
        <f>29912+111</f>
        <v>30023</v>
      </c>
      <c r="Q24" s="45">
        <v>0</v>
      </c>
      <c r="R24" s="45">
        <v>0</v>
      </c>
      <c r="S24" s="45">
        <v>0</v>
      </c>
      <c r="T24" s="45">
        <f t="shared" si="4"/>
        <v>30095</v>
      </c>
      <c r="U24" s="45">
        <v>30095</v>
      </c>
      <c r="V24" s="45">
        <v>0</v>
      </c>
      <c r="W24" s="45">
        <v>0</v>
      </c>
      <c r="X24" s="45">
        <v>0</v>
      </c>
      <c r="Y24" s="45">
        <f t="shared" si="5"/>
        <v>30095</v>
      </c>
      <c r="Z24" s="45">
        <v>30095</v>
      </c>
      <c r="AA24" s="45">
        <v>0</v>
      </c>
      <c r="AB24" s="45">
        <v>0</v>
      </c>
      <c r="AC24" s="45">
        <v>0</v>
      </c>
      <c r="AD24" s="46">
        <f t="shared" si="1"/>
        <v>142599.8</v>
      </c>
      <c r="AE24" s="78"/>
      <c r="AM24" s="2"/>
      <c r="AN24" s="2"/>
      <c r="BD24" s="34"/>
      <c r="BE24" s="2"/>
      <c r="BF24" s="116"/>
      <c r="BG24" s="116"/>
      <c r="BH24" s="116"/>
      <c r="BI24" s="116"/>
      <c r="BJ24" s="116"/>
      <c r="BK24" s="116"/>
    </row>
    <row r="25" spans="1:64" ht="46.5" customHeight="1">
      <c r="A25" s="49" t="s">
        <v>67</v>
      </c>
      <c r="B25" s="51" t="s">
        <v>51</v>
      </c>
      <c r="C25" s="48" t="s">
        <v>83</v>
      </c>
      <c r="D25" s="47" t="s">
        <v>50</v>
      </c>
      <c r="E25" s="45">
        <f t="shared" si="0"/>
        <v>1660</v>
      </c>
      <c r="F25" s="45">
        <f>1660</f>
        <v>1660</v>
      </c>
      <c r="G25" s="45">
        <v>0</v>
      </c>
      <c r="H25" s="45">
        <v>0</v>
      </c>
      <c r="I25" s="45">
        <v>0</v>
      </c>
      <c r="J25" s="45">
        <f t="shared" si="6"/>
        <v>3757</v>
      </c>
      <c r="K25" s="45">
        <v>3757</v>
      </c>
      <c r="L25" s="45">
        <v>0</v>
      </c>
      <c r="M25" s="45">
        <v>0</v>
      </c>
      <c r="N25" s="45">
        <v>0</v>
      </c>
      <c r="O25" s="45">
        <f t="shared" si="3"/>
        <v>2931</v>
      </c>
      <c r="P25" s="45">
        <v>2931</v>
      </c>
      <c r="Q25" s="45">
        <v>0</v>
      </c>
      <c r="R25" s="45">
        <v>0</v>
      </c>
      <c r="S25" s="45">
        <v>0</v>
      </c>
      <c r="T25" s="45">
        <f t="shared" si="4"/>
        <v>3086</v>
      </c>
      <c r="U25" s="45">
        <f>15003-590-10881-446</f>
        <v>3086</v>
      </c>
      <c r="V25" s="45">
        <v>0</v>
      </c>
      <c r="W25" s="45">
        <v>0</v>
      </c>
      <c r="X25" s="45">
        <v>0</v>
      </c>
      <c r="Y25" s="45">
        <f t="shared" si="5"/>
        <v>15003</v>
      </c>
      <c r="Z25" s="45">
        <v>15003</v>
      </c>
      <c r="AA25" s="45">
        <v>0</v>
      </c>
      <c r="AB25" s="45">
        <v>0</v>
      </c>
      <c r="AC25" s="45">
        <v>0</v>
      </c>
      <c r="AD25" s="46">
        <f t="shared" si="1"/>
        <v>26437</v>
      </c>
      <c r="AE25" s="89"/>
      <c r="AM25" s="2"/>
      <c r="AN25" s="2"/>
      <c r="BD25" s="34"/>
      <c r="BE25" s="2"/>
      <c r="BF25" s="116"/>
      <c r="BG25" s="116"/>
      <c r="BH25" s="116"/>
      <c r="BI25" s="116"/>
      <c r="BJ25" s="116"/>
      <c r="BK25" s="116"/>
      <c r="BL25" s="2"/>
    </row>
    <row r="26" spans="1:56" ht="121.5" customHeight="1">
      <c r="A26" s="49" t="s">
        <v>78</v>
      </c>
      <c r="B26" s="51" t="s">
        <v>52</v>
      </c>
      <c r="C26" s="48" t="s">
        <v>83</v>
      </c>
      <c r="D26" s="47" t="s">
        <v>50</v>
      </c>
      <c r="E26" s="45">
        <f t="shared" si="0"/>
        <v>26</v>
      </c>
      <c r="F26" s="45">
        <f>24+2</f>
        <v>26</v>
      </c>
      <c r="G26" s="45">
        <v>0</v>
      </c>
      <c r="H26" s="45">
        <v>0</v>
      </c>
      <c r="I26" s="45">
        <v>0</v>
      </c>
      <c r="J26" s="45">
        <f t="shared" si="6"/>
        <v>8</v>
      </c>
      <c r="K26" s="45">
        <v>8</v>
      </c>
      <c r="L26" s="45">
        <v>0</v>
      </c>
      <c r="M26" s="45">
        <v>0</v>
      </c>
      <c r="N26" s="45">
        <v>0</v>
      </c>
      <c r="O26" s="45">
        <f t="shared" si="3"/>
        <v>9</v>
      </c>
      <c r="P26" s="45">
        <f>6+3</f>
        <v>9</v>
      </c>
      <c r="Q26" s="45">
        <v>0</v>
      </c>
      <c r="R26" s="45">
        <v>0</v>
      </c>
      <c r="S26" s="45">
        <v>0</v>
      </c>
      <c r="T26" s="45">
        <f t="shared" si="4"/>
        <v>4</v>
      </c>
      <c r="U26" s="45">
        <v>4</v>
      </c>
      <c r="V26" s="45">
        <v>0</v>
      </c>
      <c r="W26" s="45">
        <v>0</v>
      </c>
      <c r="X26" s="45">
        <v>0</v>
      </c>
      <c r="Y26" s="45">
        <f t="shared" si="5"/>
        <v>4</v>
      </c>
      <c r="Z26" s="45">
        <v>4</v>
      </c>
      <c r="AA26" s="45">
        <v>0</v>
      </c>
      <c r="AB26" s="45">
        <v>0</v>
      </c>
      <c r="AC26" s="45">
        <v>0</v>
      </c>
      <c r="AD26" s="46">
        <f t="shared" si="1"/>
        <v>51</v>
      </c>
      <c r="AE26" s="89"/>
      <c r="AM26" s="2"/>
      <c r="BA26" s="2"/>
      <c r="BD26" s="34"/>
    </row>
    <row r="27" spans="1:56" ht="146.25" customHeight="1">
      <c r="A27" s="49" t="s">
        <v>79</v>
      </c>
      <c r="B27" s="96" t="s">
        <v>96</v>
      </c>
      <c r="C27" s="52" t="s">
        <v>83</v>
      </c>
      <c r="D27" s="47" t="s">
        <v>134</v>
      </c>
      <c r="E27" s="45">
        <f t="shared" si="0"/>
        <v>3123</v>
      </c>
      <c r="F27" s="45">
        <v>3123</v>
      </c>
      <c r="G27" s="45">
        <v>0</v>
      </c>
      <c r="H27" s="45">
        <v>0</v>
      </c>
      <c r="I27" s="45">
        <v>0</v>
      </c>
      <c r="J27" s="45">
        <f t="shared" si="6"/>
        <v>0</v>
      </c>
      <c r="K27" s="45">
        <v>0</v>
      </c>
      <c r="L27" s="45">
        <v>0</v>
      </c>
      <c r="M27" s="45">
        <v>0</v>
      </c>
      <c r="N27" s="45">
        <v>0</v>
      </c>
      <c r="O27" s="45">
        <f t="shared" si="3"/>
        <v>0</v>
      </c>
      <c r="P27" s="45">
        <f>21965-21965</f>
        <v>0</v>
      </c>
      <c r="Q27" s="45">
        <v>0</v>
      </c>
      <c r="R27" s="45">
        <v>0</v>
      </c>
      <c r="S27" s="45">
        <v>0</v>
      </c>
      <c r="T27" s="45">
        <f t="shared" si="4"/>
        <v>18693</v>
      </c>
      <c r="U27" s="45">
        <f>5123+7797+5773</f>
        <v>18693</v>
      </c>
      <c r="V27" s="45">
        <v>0</v>
      </c>
      <c r="W27" s="45">
        <v>0</v>
      </c>
      <c r="X27" s="45">
        <v>0</v>
      </c>
      <c r="Y27" s="45">
        <f t="shared" si="5"/>
        <v>25464</v>
      </c>
      <c r="Z27" s="45">
        <v>25464</v>
      </c>
      <c r="AA27" s="45">
        <v>0</v>
      </c>
      <c r="AB27" s="45">
        <v>0</v>
      </c>
      <c r="AC27" s="45">
        <v>0</v>
      </c>
      <c r="AD27" s="46">
        <f t="shared" si="1"/>
        <v>47280</v>
      </c>
      <c r="AE27" s="89"/>
      <c r="AF27" s="1">
        <v>2236450</v>
      </c>
      <c r="AM27" s="2"/>
      <c r="BA27" s="2"/>
      <c r="BD27" s="34"/>
    </row>
    <row r="28" spans="1:56" ht="84.75" customHeight="1">
      <c r="A28" s="49" t="s">
        <v>123</v>
      </c>
      <c r="B28" s="96" t="s">
        <v>126</v>
      </c>
      <c r="C28" s="52" t="s">
        <v>83</v>
      </c>
      <c r="D28" s="47" t="s">
        <v>113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f>K28+L28+M28+N28</f>
        <v>600</v>
      </c>
      <c r="K28" s="45">
        <v>600</v>
      </c>
      <c r="L28" s="45">
        <v>0</v>
      </c>
      <c r="M28" s="45">
        <v>0</v>
      </c>
      <c r="N28" s="45">
        <v>0</v>
      </c>
      <c r="O28" s="45">
        <f>P28+Q28+R28+S28</f>
        <v>0</v>
      </c>
      <c r="P28" s="45">
        <v>0</v>
      </c>
      <c r="Q28" s="45">
        <v>0</v>
      </c>
      <c r="R28" s="45">
        <v>0</v>
      </c>
      <c r="S28" s="45">
        <v>0</v>
      </c>
      <c r="T28" s="45">
        <f t="shared" si="4"/>
        <v>57387</v>
      </c>
      <c r="U28" s="45">
        <v>57387</v>
      </c>
      <c r="V28" s="45">
        <v>0</v>
      </c>
      <c r="W28" s="45">
        <v>0</v>
      </c>
      <c r="X28" s="45">
        <v>0</v>
      </c>
      <c r="Y28" s="45">
        <f t="shared" si="5"/>
        <v>0</v>
      </c>
      <c r="Z28" s="45">
        <v>0</v>
      </c>
      <c r="AA28" s="45">
        <v>0</v>
      </c>
      <c r="AB28" s="45">
        <v>0</v>
      </c>
      <c r="AC28" s="45">
        <v>0</v>
      </c>
      <c r="AD28" s="46">
        <f t="shared" si="1"/>
        <v>57987</v>
      </c>
      <c r="AE28" s="89"/>
      <c r="AF28" s="1">
        <f>145966+4405</f>
        <v>150371</v>
      </c>
      <c r="AG28" s="1">
        <f>2058+2500</f>
        <v>4558</v>
      </c>
      <c r="AM28" s="2"/>
      <c r="BA28" s="2"/>
      <c r="BD28" s="34"/>
    </row>
    <row r="29" spans="1:56" ht="54.75" customHeight="1">
      <c r="A29" s="49" t="s">
        <v>125</v>
      </c>
      <c r="B29" s="96" t="s">
        <v>122</v>
      </c>
      <c r="C29" s="52" t="s">
        <v>10</v>
      </c>
      <c r="D29" s="47" t="s">
        <v>135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f>K29+L29+M29+N29</f>
        <v>2000</v>
      </c>
      <c r="K29" s="45">
        <f>2000</f>
        <v>2000</v>
      </c>
      <c r="L29" s="45">
        <v>0</v>
      </c>
      <c r="M29" s="45">
        <v>0</v>
      </c>
      <c r="N29" s="45">
        <v>0</v>
      </c>
      <c r="O29" s="45">
        <f t="shared" si="3"/>
        <v>11383</v>
      </c>
      <c r="P29" s="45">
        <v>11383</v>
      </c>
      <c r="Q29" s="45">
        <v>0</v>
      </c>
      <c r="R29" s="45">
        <v>0</v>
      </c>
      <c r="S29" s="45">
        <v>0</v>
      </c>
      <c r="T29" s="45">
        <f t="shared" si="4"/>
        <v>12000</v>
      </c>
      <c r="U29" s="45">
        <v>12000</v>
      </c>
      <c r="V29" s="45">
        <v>0</v>
      </c>
      <c r="W29" s="45">
        <v>0</v>
      </c>
      <c r="X29" s="45">
        <v>0</v>
      </c>
      <c r="Y29" s="45">
        <f t="shared" si="5"/>
        <v>3703</v>
      </c>
      <c r="Z29" s="45">
        <v>3703</v>
      </c>
      <c r="AA29" s="45">
        <v>0</v>
      </c>
      <c r="AB29" s="45">
        <v>0</v>
      </c>
      <c r="AC29" s="45">
        <v>0</v>
      </c>
      <c r="AD29" s="46">
        <f t="shared" si="1"/>
        <v>29086</v>
      </c>
      <c r="AE29" s="89">
        <f>U8+U10+U12+U14+U16+U18+U20+U29</f>
        <v>253879</v>
      </c>
      <c r="AF29" s="1">
        <f>AF28+AF27</f>
        <v>2386821</v>
      </c>
      <c r="AM29" s="2"/>
      <c r="BA29" s="2"/>
      <c r="BD29" s="34"/>
    </row>
    <row r="30" spans="1:57" s="40" customFormat="1" ht="25.5" customHeight="1">
      <c r="A30" s="49"/>
      <c r="B30" s="51" t="s">
        <v>11</v>
      </c>
      <c r="C30" s="48"/>
      <c r="D30" s="47"/>
      <c r="E30" s="45">
        <f t="shared" si="0"/>
        <v>327655.5</v>
      </c>
      <c r="F30" s="45">
        <f>F27+F26+F25+F24+F23+F22+F21+F20+F19+F18+F17+F16+F15+F14+F13+F12+F11+F10+F9+F8</f>
        <v>327655.5</v>
      </c>
      <c r="G30" s="45">
        <f aca="true" t="shared" si="7" ref="G30:S30">G27+G26+G25+G24+G23+G22+G21+G20+G19+G18+G17+G16+G15+G14+G13+G12+G11+G10+G9+G8</f>
        <v>0</v>
      </c>
      <c r="H30" s="45">
        <f t="shared" si="7"/>
        <v>0</v>
      </c>
      <c r="I30" s="45">
        <f t="shared" si="7"/>
        <v>0</v>
      </c>
      <c r="J30" s="45">
        <f>J27+J26+J25+J24+J23+J22+J21+J20+J19+J18+J17+J16+J15+J14+J13+J12+J11+J10+J9+J8+J29+J28</f>
        <v>375658</v>
      </c>
      <c r="K30" s="45">
        <f>K27+K26+K25+K24+K23+K22+K21+K20+K19+K18+K17+K16+K15+K14+K13+K12+K11+K10+K9+K8+K29+K28</f>
        <v>375658</v>
      </c>
      <c r="L30" s="45">
        <f t="shared" si="7"/>
        <v>0</v>
      </c>
      <c r="M30" s="45">
        <f t="shared" si="7"/>
        <v>0</v>
      </c>
      <c r="N30" s="45">
        <f t="shared" si="7"/>
        <v>0</v>
      </c>
      <c r="O30" s="45">
        <f>O27+O26+O25+O24+O23+O22+O21+O20+O19+O18+O17+O16+O15+O14+O13+O12+O11+O10+O9+O8+O29</f>
        <v>391452</v>
      </c>
      <c r="P30" s="45">
        <f>P27+P26+P25+P24+P23+P22+P21+P20+P19+P18+P17+P16+P15+P14+P13+P12+P11+P10+P9+P8+P29</f>
        <v>391452</v>
      </c>
      <c r="Q30" s="45">
        <f t="shared" si="7"/>
        <v>0</v>
      </c>
      <c r="R30" s="45">
        <f t="shared" si="7"/>
        <v>0</v>
      </c>
      <c r="S30" s="45">
        <f t="shared" si="7"/>
        <v>0</v>
      </c>
      <c r="T30" s="45">
        <f>U30+V30+W30+X30</f>
        <v>532716</v>
      </c>
      <c r="U30" s="45">
        <f>U27+U26+U25+U24+U23+U22+U21+U20+U19+U18+U17+U16+U15+U14+U13+U12+U11+U10+U9+U8+U29+U28</f>
        <v>532716</v>
      </c>
      <c r="V30" s="45">
        <f aca="true" t="shared" si="8" ref="V30:AC30">V27+V26+V25+V24+V23+V22+V21+V20+V19+V18+V17+V16+V15+V14+V13+V12+V11+V10+V9+V8+V29</f>
        <v>0</v>
      </c>
      <c r="W30" s="45">
        <f t="shared" si="8"/>
        <v>0</v>
      </c>
      <c r="X30" s="45">
        <f t="shared" si="8"/>
        <v>0</v>
      </c>
      <c r="Y30" s="45">
        <f>Z30</f>
        <v>473537.00000000006</v>
      </c>
      <c r="Z30" s="45">
        <f>Z27+Z26+Z25+Z24+Z23+Z22+Z21+Z20+Z19+Z18+Z17+Z16+Z15+Z14+Z13+Z12+Z11+Z10+Z9+Z8+Z29</f>
        <v>473537.00000000006</v>
      </c>
      <c r="AA30" s="45">
        <f t="shared" si="8"/>
        <v>0</v>
      </c>
      <c r="AB30" s="45">
        <f t="shared" si="8"/>
        <v>0</v>
      </c>
      <c r="AC30" s="45">
        <f t="shared" si="8"/>
        <v>0</v>
      </c>
      <c r="AD30" s="46">
        <f>Y30+T30+O30+J30+E30</f>
        <v>2101018.5</v>
      </c>
      <c r="AE30" s="82">
        <f>AD8+AD9+AD10+AD11+AD12+AD13+AD14+AD15+AD16+AD17+AD18+AD19+AD20+AD21+AD22+AD23+AD24+AD25+AD26+AD27+AD28+AD29</f>
        <v>2101018.5</v>
      </c>
      <c r="AF30" s="29"/>
      <c r="AG30" s="29"/>
      <c r="AI30" s="41"/>
      <c r="AJ30" s="29"/>
      <c r="AM30" s="29"/>
      <c r="BD30" s="38"/>
      <c r="BE30" s="29"/>
    </row>
    <row r="31" spans="1:55" ht="24.75" customHeight="1">
      <c r="A31" s="137" t="s">
        <v>57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9"/>
      <c r="AE31" s="79"/>
      <c r="AF31" s="13">
        <v>387169</v>
      </c>
      <c r="AG31" s="2">
        <f>U30-AF31</f>
        <v>145547</v>
      </c>
      <c r="AH31" s="2"/>
      <c r="AJ31" s="5"/>
      <c r="AK31" s="3"/>
      <c r="AL31" s="5"/>
      <c r="AM31" s="5"/>
      <c r="AN31" s="5"/>
      <c r="AO31" s="3"/>
      <c r="BA31" s="2"/>
      <c r="BB31" s="2"/>
      <c r="BC31" s="2"/>
    </row>
    <row r="32" spans="1:55" ht="30" customHeight="1">
      <c r="A32" s="49" t="s">
        <v>3</v>
      </c>
      <c r="B32" s="51" t="s">
        <v>30</v>
      </c>
      <c r="C32" s="48" t="s">
        <v>37</v>
      </c>
      <c r="D32" s="47" t="s">
        <v>50</v>
      </c>
      <c r="E32" s="45">
        <f>F32</f>
        <v>9</v>
      </c>
      <c r="F32" s="45">
        <f>43-34</f>
        <v>9</v>
      </c>
      <c r="G32" s="45">
        <v>0</v>
      </c>
      <c r="H32" s="45">
        <v>0</v>
      </c>
      <c r="I32" s="45">
        <v>0</v>
      </c>
      <c r="J32" s="45">
        <f>K32</f>
        <v>19</v>
      </c>
      <c r="K32" s="45">
        <v>19</v>
      </c>
      <c r="L32" s="45">
        <v>0</v>
      </c>
      <c r="M32" s="45">
        <v>0</v>
      </c>
      <c r="N32" s="45">
        <v>0</v>
      </c>
      <c r="O32" s="45">
        <f>P32</f>
        <v>8.499999999999996</v>
      </c>
      <c r="P32" s="45">
        <f>43-7.2-27.3</f>
        <v>8.499999999999996</v>
      </c>
      <c r="Q32" s="45">
        <v>0</v>
      </c>
      <c r="R32" s="45">
        <v>0</v>
      </c>
      <c r="S32" s="45">
        <v>0</v>
      </c>
      <c r="T32" s="45">
        <f>U32</f>
        <v>43</v>
      </c>
      <c r="U32" s="45">
        <v>43</v>
      </c>
      <c r="V32" s="45">
        <v>0</v>
      </c>
      <c r="W32" s="45">
        <v>0</v>
      </c>
      <c r="X32" s="45">
        <v>0</v>
      </c>
      <c r="Y32" s="45">
        <f>Z32</f>
        <v>43</v>
      </c>
      <c r="Z32" s="45">
        <v>43</v>
      </c>
      <c r="AA32" s="45">
        <v>0</v>
      </c>
      <c r="AB32" s="45">
        <v>0</v>
      </c>
      <c r="AC32" s="45">
        <v>0</v>
      </c>
      <c r="AD32" s="46">
        <f>Y32+T32+O32+J32+E32</f>
        <v>122.5</v>
      </c>
      <c r="AE32" s="79"/>
      <c r="AF32" s="13"/>
      <c r="AG32" s="2">
        <f>Z30-AF31</f>
        <v>86368.00000000006</v>
      </c>
      <c r="AH32" s="2"/>
      <c r="AJ32" s="5"/>
      <c r="AK32" s="3"/>
      <c r="AL32" s="5"/>
      <c r="AM32" s="5"/>
      <c r="AN32" s="5"/>
      <c r="AO32" s="3"/>
      <c r="BA32" s="2"/>
      <c r="BB32" s="2"/>
      <c r="BC32" s="2"/>
    </row>
    <row r="33" spans="1:55" ht="33" customHeight="1">
      <c r="A33" s="49" t="s">
        <v>32</v>
      </c>
      <c r="B33" s="51" t="s">
        <v>31</v>
      </c>
      <c r="C33" s="48" t="s">
        <v>38</v>
      </c>
      <c r="D33" s="47" t="s">
        <v>50</v>
      </c>
      <c r="E33" s="45">
        <f>F33</f>
        <v>13.5</v>
      </c>
      <c r="F33" s="45">
        <f>68-54.5</f>
        <v>13.5</v>
      </c>
      <c r="G33" s="45">
        <v>0</v>
      </c>
      <c r="H33" s="45">
        <v>0</v>
      </c>
      <c r="I33" s="45">
        <v>0</v>
      </c>
      <c r="J33" s="45">
        <f>K33</f>
        <v>30</v>
      </c>
      <c r="K33" s="45">
        <v>30</v>
      </c>
      <c r="L33" s="45">
        <v>0</v>
      </c>
      <c r="M33" s="45">
        <v>0</v>
      </c>
      <c r="N33" s="45">
        <v>0</v>
      </c>
      <c r="O33" s="45">
        <f>P33</f>
        <v>13.5</v>
      </c>
      <c r="P33" s="45">
        <f>68-12.2-42.3</f>
        <v>13.5</v>
      </c>
      <c r="Q33" s="45">
        <v>0</v>
      </c>
      <c r="R33" s="45">
        <v>0</v>
      </c>
      <c r="S33" s="45">
        <v>0</v>
      </c>
      <c r="T33" s="45">
        <f>U33</f>
        <v>68</v>
      </c>
      <c r="U33" s="45">
        <v>68</v>
      </c>
      <c r="V33" s="45">
        <v>0</v>
      </c>
      <c r="W33" s="45">
        <v>0</v>
      </c>
      <c r="X33" s="45">
        <v>0</v>
      </c>
      <c r="Y33" s="45">
        <f>Z33</f>
        <v>68</v>
      </c>
      <c r="Z33" s="45">
        <v>68</v>
      </c>
      <c r="AA33" s="45">
        <v>0</v>
      </c>
      <c r="AB33" s="45">
        <v>0</v>
      </c>
      <c r="AC33" s="45">
        <v>0</v>
      </c>
      <c r="AD33" s="46">
        <f>Y33+T33+O33+J33+E33</f>
        <v>193</v>
      </c>
      <c r="AE33" s="79"/>
      <c r="AF33" s="13"/>
      <c r="AG33" s="2"/>
      <c r="AH33" s="2"/>
      <c r="AJ33" s="5"/>
      <c r="AK33" s="3"/>
      <c r="AL33" s="5"/>
      <c r="AM33" s="5"/>
      <c r="AN33" s="5"/>
      <c r="AO33" s="3"/>
      <c r="BA33" s="2"/>
      <c r="BB33" s="2"/>
      <c r="BC33" s="2"/>
    </row>
    <row r="34" spans="1:53" ht="77.25" customHeight="1">
      <c r="A34" s="49" t="s">
        <v>33</v>
      </c>
      <c r="B34" s="51" t="s">
        <v>34</v>
      </c>
      <c r="C34" s="48" t="s">
        <v>10</v>
      </c>
      <c r="D34" s="47" t="s">
        <v>50</v>
      </c>
      <c r="E34" s="45">
        <f>F34</f>
        <v>87.5</v>
      </c>
      <c r="F34" s="45">
        <f>442-354.5</f>
        <v>87.5</v>
      </c>
      <c r="G34" s="45">
        <v>0</v>
      </c>
      <c r="H34" s="45">
        <v>0</v>
      </c>
      <c r="I34" s="45">
        <v>0</v>
      </c>
      <c r="J34" s="45">
        <f>K34</f>
        <v>197</v>
      </c>
      <c r="K34" s="45">
        <v>197</v>
      </c>
      <c r="L34" s="45">
        <v>0</v>
      </c>
      <c r="M34" s="45">
        <v>0</v>
      </c>
      <c r="N34" s="45">
        <v>0</v>
      </c>
      <c r="O34" s="45">
        <f>P34</f>
        <v>102</v>
      </c>
      <c r="P34" s="45">
        <f>770-340.6-327.4</f>
        <v>102</v>
      </c>
      <c r="Q34" s="45">
        <v>0</v>
      </c>
      <c r="R34" s="45">
        <v>0</v>
      </c>
      <c r="S34" s="45">
        <v>0</v>
      </c>
      <c r="T34" s="45">
        <f>U34</f>
        <v>770</v>
      </c>
      <c r="U34" s="45">
        <v>770</v>
      </c>
      <c r="V34" s="45">
        <v>0</v>
      </c>
      <c r="W34" s="45">
        <v>0</v>
      </c>
      <c r="X34" s="45">
        <v>0</v>
      </c>
      <c r="Y34" s="45">
        <f>Z34</f>
        <v>770</v>
      </c>
      <c r="Z34" s="45">
        <v>770</v>
      </c>
      <c r="AA34" s="45">
        <v>0</v>
      </c>
      <c r="AB34" s="45">
        <v>0</v>
      </c>
      <c r="AC34" s="45">
        <v>0</v>
      </c>
      <c r="AD34" s="46">
        <f>Y34+T34+O34+J34+E34</f>
        <v>1926.5</v>
      </c>
      <c r="AE34" s="80"/>
      <c r="AF34" s="2"/>
      <c r="AG34" s="2"/>
      <c r="AH34" s="2"/>
      <c r="AJ34" s="5"/>
      <c r="AK34" s="3"/>
      <c r="AL34" s="5"/>
      <c r="AM34" s="5"/>
      <c r="AN34" s="14"/>
      <c r="AO34" s="3"/>
      <c r="AQ34" s="2"/>
      <c r="BA34" s="2"/>
    </row>
    <row r="35" spans="1:53" ht="62.25" customHeight="1">
      <c r="A35" s="49" t="s">
        <v>44</v>
      </c>
      <c r="B35" s="51" t="s">
        <v>110</v>
      </c>
      <c r="C35" s="48" t="s">
        <v>10</v>
      </c>
      <c r="D35" s="47" t="s">
        <v>50</v>
      </c>
      <c r="E35" s="45">
        <f>F35+G35</f>
        <v>1008</v>
      </c>
      <c r="F35" s="45">
        <f>60-15</f>
        <v>45</v>
      </c>
      <c r="G35" s="45">
        <v>963</v>
      </c>
      <c r="H35" s="45">
        <v>0</v>
      </c>
      <c r="I35" s="45">
        <v>0</v>
      </c>
      <c r="J35" s="45">
        <f>K35</f>
        <v>15</v>
      </c>
      <c r="K35" s="45">
        <f>60-45</f>
        <v>15</v>
      </c>
      <c r="L35" s="45">
        <v>0</v>
      </c>
      <c r="M35" s="45">
        <v>0</v>
      </c>
      <c r="N35" s="45">
        <v>0</v>
      </c>
      <c r="O35" s="45">
        <f>P35</f>
        <v>60</v>
      </c>
      <c r="P35" s="45">
        <f>60</f>
        <v>60</v>
      </c>
      <c r="Q35" s="45">
        <v>0</v>
      </c>
      <c r="R35" s="45">
        <v>0</v>
      </c>
      <c r="S35" s="45">
        <v>0</v>
      </c>
      <c r="T35" s="45">
        <f>U35</f>
        <v>60</v>
      </c>
      <c r="U35" s="45">
        <f>60</f>
        <v>60</v>
      </c>
      <c r="V35" s="45">
        <v>0</v>
      </c>
      <c r="W35" s="45">
        <v>0</v>
      </c>
      <c r="X35" s="45">
        <v>0</v>
      </c>
      <c r="Y35" s="45">
        <f>Z35</f>
        <v>60</v>
      </c>
      <c r="Z35" s="45">
        <f>60</f>
        <v>60</v>
      </c>
      <c r="AA35" s="45">
        <v>0</v>
      </c>
      <c r="AB35" s="45">
        <v>0</v>
      </c>
      <c r="AC35" s="45">
        <v>0</v>
      </c>
      <c r="AD35" s="46">
        <f>Y35+T35+O35+J35+E35</f>
        <v>1203</v>
      </c>
      <c r="AE35" s="80"/>
      <c r="AF35" s="2"/>
      <c r="AG35" s="2"/>
      <c r="AH35" s="2"/>
      <c r="AJ35" s="5"/>
      <c r="AK35" s="3"/>
      <c r="AL35" s="5"/>
      <c r="AM35" s="5"/>
      <c r="AN35" s="14"/>
      <c r="AO35" s="3"/>
      <c r="AQ35" s="2"/>
      <c r="BA35" s="2"/>
    </row>
    <row r="36" spans="1:53" ht="27.75" customHeight="1">
      <c r="A36" s="49"/>
      <c r="B36" s="51" t="s">
        <v>12</v>
      </c>
      <c r="C36" s="48"/>
      <c r="D36" s="47"/>
      <c r="E36" s="45">
        <f>F36+G36</f>
        <v>1118</v>
      </c>
      <c r="F36" s="45">
        <f>F35+F34+F33+F32</f>
        <v>155</v>
      </c>
      <c r="G36" s="45">
        <f>G35</f>
        <v>963</v>
      </c>
      <c r="H36" s="45">
        <f>H32+H33+H34</f>
        <v>0</v>
      </c>
      <c r="I36" s="45">
        <f>I32+I33+I34</f>
        <v>0</v>
      </c>
      <c r="J36" s="45">
        <f>K36</f>
        <v>261</v>
      </c>
      <c r="K36" s="45">
        <f>K35+K34+K33+K32</f>
        <v>261</v>
      </c>
      <c r="L36" s="45">
        <f>L32+L33+L34</f>
        <v>0</v>
      </c>
      <c r="M36" s="45">
        <f>M32+M33+M34</f>
        <v>0</v>
      </c>
      <c r="N36" s="45">
        <f>N32+N33+N34</f>
        <v>0</v>
      </c>
      <c r="O36" s="45">
        <f>P36</f>
        <v>184</v>
      </c>
      <c r="P36" s="45">
        <f>P35+P34+P33+P32</f>
        <v>184</v>
      </c>
      <c r="Q36" s="45">
        <f>Q32+Q33+Q34</f>
        <v>0</v>
      </c>
      <c r="R36" s="45">
        <f>R32+R33+R34</f>
        <v>0</v>
      </c>
      <c r="S36" s="45">
        <f>S32+S33+S34</f>
        <v>0</v>
      </c>
      <c r="T36" s="45">
        <f>U36</f>
        <v>941</v>
      </c>
      <c r="U36" s="45">
        <f>U35+U34+U33+U32</f>
        <v>941</v>
      </c>
      <c r="V36" s="45">
        <f>V32+V33+V34</f>
        <v>0</v>
      </c>
      <c r="W36" s="45">
        <f>W32+W33+W34</f>
        <v>0</v>
      </c>
      <c r="X36" s="45">
        <f>X32+X33+X34</f>
        <v>0</v>
      </c>
      <c r="Y36" s="45">
        <f>Z36</f>
        <v>941</v>
      </c>
      <c r="Z36" s="45">
        <f>Z35+Z34+Z33+Z32</f>
        <v>941</v>
      </c>
      <c r="AA36" s="45">
        <f>AA32+AA33+AA34</f>
        <v>0</v>
      </c>
      <c r="AB36" s="45">
        <f>AB32+AB33+AB34</f>
        <v>0</v>
      </c>
      <c r="AC36" s="45">
        <f>AC32+AC33+AC34</f>
        <v>0</v>
      </c>
      <c r="AD36" s="46">
        <f>Y36+T36+O36+J36+E36</f>
        <v>3445</v>
      </c>
      <c r="AE36" s="83">
        <f>AD32+AD33+AD34+AD35</f>
        <v>3445</v>
      </c>
      <c r="AF36" s="2"/>
      <c r="AG36" s="2"/>
      <c r="AH36" s="2"/>
      <c r="AJ36" s="5"/>
      <c r="AK36" s="5"/>
      <c r="AL36" s="5"/>
      <c r="AM36" s="5"/>
      <c r="AN36" s="14"/>
      <c r="AO36" s="3"/>
      <c r="AQ36" s="2"/>
      <c r="BA36" s="2"/>
    </row>
    <row r="37" spans="1:53" ht="30.75" customHeight="1">
      <c r="A37" s="118" t="s">
        <v>35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20"/>
      <c r="AE37" s="80"/>
      <c r="AF37" s="2"/>
      <c r="AG37" s="2"/>
      <c r="AH37" s="2"/>
      <c r="AJ37" s="5"/>
      <c r="AK37" s="3"/>
      <c r="AL37" s="5"/>
      <c r="AM37" s="5"/>
      <c r="AN37" s="14"/>
      <c r="AO37" s="3"/>
      <c r="AQ37" s="2"/>
      <c r="BA37" s="2"/>
    </row>
    <row r="38" spans="1:53" ht="45" customHeight="1">
      <c r="A38" s="49" t="s">
        <v>21</v>
      </c>
      <c r="B38" s="51" t="s">
        <v>18</v>
      </c>
      <c r="C38" s="48" t="s">
        <v>10</v>
      </c>
      <c r="D38" s="47" t="s">
        <v>50</v>
      </c>
      <c r="E38" s="45">
        <f>F38+G38+H38+I38</f>
        <v>1679</v>
      </c>
      <c r="F38" s="45">
        <f>1908-229</f>
        <v>1679</v>
      </c>
      <c r="G38" s="45">
        <v>0</v>
      </c>
      <c r="H38" s="45">
        <v>0</v>
      </c>
      <c r="I38" s="45">
        <v>0</v>
      </c>
      <c r="J38" s="45">
        <f>K38+L38+M38+N38</f>
        <v>3676</v>
      </c>
      <c r="K38" s="45">
        <f>4069-10-383</f>
        <v>3676</v>
      </c>
      <c r="L38" s="45">
        <v>0</v>
      </c>
      <c r="M38" s="45">
        <v>0</v>
      </c>
      <c r="N38" s="45">
        <v>0</v>
      </c>
      <c r="O38" s="45">
        <f>P38+Q38+R38+S38</f>
        <v>4110</v>
      </c>
      <c r="P38" s="45">
        <v>4110</v>
      </c>
      <c r="Q38" s="45">
        <v>0</v>
      </c>
      <c r="R38" s="45">
        <v>0</v>
      </c>
      <c r="S38" s="45">
        <v>0</v>
      </c>
      <c r="T38" s="45">
        <f>U38+V38+W38+X38</f>
        <v>3527</v>
      </c>
      <c r="U38" s="45">
        <f>3845-318</f>
        <v>3527</v>
      </c>
      <c r="V38" s="45">
        <v>0</v>
      </c>
      <c r="W38" s="45">
        <v>0</v>
      </c>
      <c r="X38" s="45">
        <v>0</v>
      </c>
      <c r="Y38" s="45">
        <f>Z38+AA38+AB38+AC38</f>
        <v>3845</v>
      </c>
      <c r="Z38" s="45">
        <v>3845</v>
      </c>
      <c r="AA38" s="45">
        <v>0</v>
      </c>
      <c r="AB38" s="45">
        <v>0</v>
      </c>
      <c r="AC38" s="45">
        <v>0</v>
      </c>
      <c r="AD38" s="46">
        <f>Y38+T38+O38+J38+E38</f>
        <v>16837</v>
      </c>
      <c r="AE38" s="89"/>
      <c r="AF38" s="15"/>
      <c r="AG38" s="2"/>
      <c r="AH38" s="2"/>
      <c r="AI38" s="31"/>
      <c r="AJ38" s="5"/>
      <c r="AK38" s="5"/>
      <c r="AL38" s="5"/>
      <c r="AM38" s="3"/>
      <c r="AN38" s="5"/>
      <c r="AO38" s="3"/>
      <c r="BA38" s="2"/>
    </row>
    <row r="39" spans="1:57" ht="45" customHeight="1">
      <c r="A39" s="49" t="s">
        <v>22</v>
      </c>
      <c r="B39" s="51" t="s">
        <v>73</v>
      </c>
      <c r="C39" s="48" t="s">
        <v>10</v>
      </c>
      <c r="D39" s="47" t="s">
        <v>50</v>
      </c>
      <c r="E39" s="45">
        <f>F39+G39+H39+I39</f>
        <v>8643</v>
      </c>
      <c r="F39" s="45">
        <f>10265-1622</f>
        <v>8643</v>
      </c>
      <c r="G39" s="45">
        <v>0</v>
      </c>
      <c r="H39" s="45">
        <v>0</v>
      </c>
      <c r="I39" s="45">
        <v>0</v>
      </c>
      <c r="J39" s="97">
        <f>K39+L39+M39+N39</f>
        <v>15090</v>
      </c>
      <c r="K39" s="45">
        <f>7337+5455+383+352+33+21+799+95+615</f>
        <v>15090</v>
      </c>
      <c r="L39" s="45">
        <v>0</v>
      </c>
      <c r="M39" s="45">
        <v>0</v>
      </c>
      <c r="N39" s="45">
        <v>0</v>
      </c>
      <c r="O39" s="45">
        <f>P39+Q39+R39+S39</f>
        <v>10994</v>
      </c>
      <c r="P39" s="45">
        <v>10994</v>
      </c>
      <c r="Q39" s="45">
        <v>0</v>
      </c>
      <c r="R39" s="45">
        <v>0</v>
      </c>
      <c r="S39" s="45">
        <v>0</v>
      </c>
      <c r="T39" s="45">
        <f>U39+V39+W39+X39</f>
        <v>17335</v>
      </c>
      <c r="U39" s="45">
        <f>10994+6328+13</f>
        <v>17335</v>
      </c>
      <c r="V39" s="45">
        <v>0</v>
      </c>
      <c r="W39" s="45">
        <v>0</v>
      </c>
      <c r="X39" s="45">
        <v>0</v>
      </c>
      <c r="Y39" s="45">
        <f aca="true" t="shared" si="9" ref="Y39:Y51">Z39+AA39+AB39+AC39</f>
        <v>10994</v>
      </c>
      <c r="Z39" s="45">
        <v>10994</v>
      </c>
      <c r="AA39" s="45">
        <v>0</v>
      </c>
      <c r="AB39" s="45">
        <v>0</v>
      </c>
      <c r="AC39" s="45">
        <v>0</v>
      </c>
      <c r="AD39" s="46">
        <f aca="true" t="shared" si="10" ref="AD39:AD50">Y39+T39+O39+J39+E39</f>
        <v>63056</v>
      </c>
      <c r="AE39" s="89"/>
      <c r="AF39" s="15"/>
      <c r="AG39" s="2"/>
      <c r="AH39" s="2"/>
      <c r="AI39" s="31"/>
      <c r="AJ39" s="5"/>
      <c r="AK39" s="3"/>
      <c r="AL39" s="5"/>
      <c r="AM39" s="5"/>
      <c r="AN39" s="5"/>
      <c r="AO39" s="3"/>
      <c r="AP39" s="2"/>
      <c r="BA39" s="2"/>
      <c r="BE39" s="2"/>
    </row>
    <row r="40" spans="1:53" ht="44.25" customHeight="1">
      <c r="A40" s="49" t="s">
        <v>23</v>
      </c>
      <c r="B40" s="51" t="s">
        <v>29</v>
      </c>
      <c r="C40" s="48" t="s">
        <v>10</v>
      </c>
      <c r="D40" s="47" t="s">
        <v>50</v>
      </c>
      <c r="E40" s="45">
        <f>F40</f>
        <v>7188</v>
      </c>
      <c r="F40" s="45">
        <v>7188</v>
      </c>
      <c r="G40" s="45">
        <v>0</v>
      </c>
      <c r="H40" s="45">
        <v>0</v>
      </c>
      <c r="I40" s="45">
        <v>0</v>
      </c>
      <c r="J40" s="45">
        <f>K40</f>
        <v>3453</v>
      </c>
      <c r="K40" s="45">
        <v>3453</v>
      </c>
      <c r="L40" s="45">
        <v>0</v>
      </c>
      <c r="M40" s="45">
        <v>0</v>
      </c>
      <c r="N40" s="45">
        <v>0</v>
      </c>
      <c r="O40" s="45">
        <f>P40</f>
        <v>3544</v>
      </c>
      <c r="P40" s="45">
        <v>3544</v>
      </c>
      <c r="Q40" s="45">
        <v>0</v>
      </c>
      <c r="R40" s="45">
        <v>0</v>
      </c>
      <c r="S40" s="45">
        <v>0</v>
      </c>
      <c r="T40" s="45">
        <f>U40</f>
        <v>3279</v>
      </c>
      <c r="U40" s="45">
        <v>3279</v>
      </c>
      <c r="V40" s="45">
        <v>0</v>
      </c>
      <c r="W40" s="45">
        <v>0</v>
      </c>
      <c r="X40" s="45">
        <v>0</v>
      </c>
      <c r="Y40" s="45">
        <f t="shared" si="9"/>
        <v>3279</v>
      </c>
      <c r="Z40" s="45">
        <v>3279</v>
      </c>
      <c r="AA40" s="45">
        <v>0</v>
      </c>
      <c r="AB40" s="45">
        <v>0</v>
      </c>
      <c r="AC40" s="45">
        <v>0</v>
      </c>
      <c r="AD40" s="46">
        <f t="shared" si="10"/>
        <v>20743</v>
      </c>
      <c r="AE40" s="89"/>
      <c r="AF40" s="15"/>
      <c r="AG40" s="2"/>
      <c r="AH40" s="2"/>
      <c r="AI40" s="31"/>
      <c r="AJ40" s="5"/>
      <c r="AK40" s="3"/>
      <c r="AL40" s="5"/>
      <c r="AM40" s="3"/>
      <c r="AN40" s="5"/>
      <c r="AO40" s="5"/>
      <c r="BA40" s="2"/>
    </row>
    <row r="41" spans="1:53" ht="41.25" customHeight="1">
      <c r="A41" s="49" t="s">
        <v>24</v>
      </c>
      <c r="B41" s="51" t="s">
        <v>19</v>
      </c>
      <c r="C41" s="48" t="s">
        <v>10</v>
      </c>
      <c r="D41" s="47" t="s">
        <v>50</v>
      </c>
      <c r="E41" s="45">
        <f>F41+G41+H41+I41</f>
        <v>3078</v>
      </c>
      <c r="F41" s="45">
        <v>3078</v>
      </c>
      <c r="G41" s="45">
        <v>0</v>
      </c>
      <c r="H41" s="45">
        <v>0</v>
      </c>
      <c r="I41" s="45">
        <v>0</v>
      </c>
      <c r="J41" s="45">
        <f>K41+L41+M41+N41</f>
        <v>2955</v>
      </c>
      <c r="K41" s="45">
        <v>2955</v>
      </c>
      <c r="L41" s="45">
        <v>0</v>
      </c>
      <c r="M41" s="45">
        <v>0</v>
      </c>
      <c r="N41" s="45">
        <v>0</v>
      </c>
      <c r="O41" s="45">
        <f>P41+Q41+R41+S41</f>
        <v>3161</v>
      </c>
      <c r="P41" s="45">
        <v>3161</v>
      </c>
      <c r="Q41" s="45">
        <v>0</v>
      </c>
      <c r="R41" s="45">
        <v>0</v>
      </c>
      <c r="S41" s="45">
        <v>0</v>
      </c>
      <c r="T41" s="45">
        <f>U41+V41+W41+X41</f>
        <v>6490</v>
      </c>
      <c r="U41" s="45">
        <v>6490</v>
      </c>
      <c r="V41" s="45">
        <v>0</v>
      </c>
      <c r="W41" s="45">
        <v>0</v>
      </c>
      <c r="X41" s="45">
        <v>0</v>
      </c>
      <c r="Y41" s="45">
        <f t="shared" si="9"/>
        <v>6490</v>
      </c>
      <c r="Z41" s="45">
        <v>6490</v>
      </c>
      <c r="AA41" s="45">
        <v>0</v>
      </c>
      <c r="AB41" s="45">
        <v>0</v>
      </c>
      <c r="AC41" s="45">
        <v>0</v>
      </c>
      <c r="AD41" s="46">
        <f t="shared" si="10"/>
        <v>22174</v>
      </c>
      <c r="AE41" s="89"/>
      <c r="AF41" s="15"/>
      <c r="AG41" s="2"/>
      <c r="AH41" s="2"/>
      <c r="AI41" s="31"/>
      <c r="AJ41" s="5"/>
      <c r="AK41" s="3"/>
      <c r="AL41" s="5"/>
      <c r="AM41" s="3"/>
      <c r="AN41" s="5"/>
      <c r="AO41" s="3"/>
      <c r="BA41" s="2"/>
    </row>
    <row r="42" spans="1:53" ht="30" customHeight="1">
      <c r="A42" s="49" t="s">
        <v>25</v>
      </c>
      <c r="B42" s="96" t="s">
        <v>107</v>
      </c>
      <c r="C42" s="98" t="s">
        <v>10</v>
      </c>
      <c r="D42" s="99" t="s">
        <v>92</v>
      </c>
      <c r="E42" s="100">
        <f>F42+G42+H42</f>
        <v>0</v>
      </c>
      <c r="F42" s="100">
        <v>0</v>
      </c>
      <c r="G42" s="101">
        <v>0</v>
      </c>
      <c r="H42" s="101">
        <v>0</v>
      </c>
      <c r="I42" s="45">
        <v>0</v>
      </c>
      <c r="J42" s="45">
        <f>K42+L42+M42+N42</f>
        <v>1995</v>
      </c>
      <c r="K42" s="45">
        <f>7318-1776-2009-1538</f>
        <v>1995</v>
      </c>
      <c r="L42" s="45">
        <v>0</v>
      </c>
      <c r="M42" s="45">
        <v>0</v>
      </c>
      <c r="N42" s="45">
        <v>0</v>
      </c>
      <c r="O42" s="45">
        <f>P42+Q42+R42+S42</f>
        <v>7661</v>
      </c>
      <c r="P42" s="45">
        <f>8733-622-450</f>
        <v>7661</v>
      </c>
      <c r="Q42" s="45">
        <v>0</v>
      </c>
      <c r="R42" s="45">
        <v>0</v>
      </c>
      <c r="S42" s="45">
        <v>0</v>
      </c>
      <c r="T42" s="45">
        <f>U42+V42+W42+X42</f>
        <v>2456</v>
      </c>
      <c r="U42" s="45">
        <f>4135-1679</f>
        <v>2456</v>
      </c>
      <c r="V42" s="45">
        <v>0</v>
      </c>
      <c r="W42" s="45">
        <v>0</v>
      </c>
      <c r="X42" s="45">
        <v>0</v>
      </c>
      <c r="Y42" s="45">
        <f t="shared" si="9"/>
        <v>4135</v>
      </c>
      <c r="Z42" s="45">
        <v>4135</v>
      </c>
      <c r="AA42" s="45">
        <v>0</v>
      </c>
      <c r="AB42" s="45">
        <v>0</v>
      </c>
      <c r="AC42" s="45">
        <v>0</v>
      </c>
      <c r="AD42" s="46">
        <f t="shared" si="10"/>
        <v>16247</v>
      </c>
      <c r="AE42" s="89"/>
      <c r="AF42" s="15"/>
      <c r="AG42" s="2"/>
      <c r="AH42" s="2"/>
      <c r="AI42" s="31"/>
      <c r="AJ42" s="5"/>
      <c r="AK42" s="3"/>
      <c r="AL42" s="5"/>
      <c r="AM42" s="3"/>
      <c r="AN42" s="5"/>
      <c r="AO42" s="3"/>
      <c r="BA42" s="2"/>
    </row>
    <row r="43" spans="1:53" ht="30" customHeight="1">
      <c r="A43" s="49" t="s">
        <v>26</v>
      </c>
      <c r="B43" s="51" t="s">
        <v>20</v>
      </c>
      <c r="C43" s="48" t="s">
        <v>10</v>
      </c>
      <c r="D43" s="47" t="s">
        <v>50</v>
      </c>
      <c r="E43" s="45">
        <f aca="true" t="shared" si="11" ref="E43:E51">F43+G43+H43+I43</f>
        <v>626</v>
      </c>
      <c r="F43" s="45">
        <f>629-3</f>
        <v>626</v>
      </c>
      <c r="G43" s="45">
        <v>0</v>
      </c>
      <c r="H43" s="45">
        <v>0</v>
      </c>
      <c r="I43" s="45">
        <v>0</v>
      </c>
      <c r="J43" s="45">
        <f aca="true" t="shared" si="12" ref="J43:J51">K43+L43+M43+N43</f>
        <v>798</v>
      </c>
      <c r="K43" s="45">
        <v>798</v>
      </c>
      <c r="L43" s="45">
        <v>0</v>
      </c>
      <c r="M43" s="45">
        <v>0</v>
      </c>
      <c r="N43" s="45">
        <v>0</v>
      </c>
      <c r="O43" s="45">
        <f aca="true" t="shared" si="13" ref="O43:O49">P43+Q43+R43+S43</f>
        <v>830</v>
      </c>
      <c r="P43" s="45">
        <v>830</v>
      </c>
      <c r="Q43" s="45">
        <v>0</v>
      </c>
      <c r="R43" s="45">
        <v>0</v>
      </c>
      <c r="S43" s="45">
        <v>0</v>
      </c>
      <c r="T43" s="45">
        <f aca="true" t="shared" si="14" ref="T43:T50">U43+V43+W43+X43</f>
        <v>830</v>
      </c>
      <c r="U43" s="45">
        <v>830</v>
      </c>
      <c r="V43" s="45">
        <v>0</v>
      </c>
      <c r="W43" s="45">
        <v>0</v>
      </c>
      <c r="X43" s="45">
        <v>0</v>
      </c>
      <c r="Y43" s="45">
        <f t="shared" si="9"/>
        <v>830</v>
      </c>
      <c r="Z43" s="45">
        <v>830</v>
      </c>
      <c r="AA43" s="45">
        <v>0</v>
      </c>
      <c r="AB43" s="45">
        <v>0</v>
      </c>
      <c r="AC43" s="45">
        <v>0</v>
      </c>
      <c r="AD43" s="46">
        <f t="shared" si="10"/>
        <v>3914</v>
      </c>
      <c r="AE43" s="89"/>
      <c r="AF43" s="15"/>
      <c r="AG43" s="2"/>
      <c r="AH43" s="2"/>
      <c r="AI43" s="31"/>
      <c r="AJ43" s="5"/>
      <c r="AK43" s="3"/>
      <c r="AL43" s="5"/>
      <c r="AM43" s="3"/>
      <c r="AN43" s="5"/>
      <c r="AO43" s="3"/>
      <c r="BA43" s="2"/>
    </row>
    <row r="44" spans="1:53" ht="30" customHeight="1">
      <c r="A44" s="49" t="s">
        <v>36</v>
      </c>
      <c r="B44" s="51" t="s">
        <v>108</v>
      </c>
      <c r="C44" s="48" t="s">
        <v>10</v>
      </c>
      <c r="D44" s="47" t="s">
        <v>50</v>
      </c>
      <c r="E44" s="45">
        <f t="shared" si="11"/>
        <v>218</v>
      </c>
      <c r="F44" s="45">
        <f>911-692-1</f>
        <v>218</v>
      </c>
      <c r="G44" s="45">
        <v>0</v>
      </c>
      <c r="H44" s="45">
        <v>0</v>
      </c>
      <c r="I44" s="45">
        <v>0</v>
      </c>
      <c r="J44" s="45">
        <f t="shared" si="12"/>
        <v>83</v>
      </c>
      <c r="K44" s="45">
        <f>476-393</f>
        <v>83</v>
      </c>
      <c r="L44" s="45">
        <v>0</v>
      </c>
      <c r="M44" s="45">
        <v>0</v>
      </c>
      <c r="N44" s="45">
        <v>0</v>
      </c>
      <c r="O44" s="45">
        <f t="shared" si="13"/>
        <v>100</v>
      </c>
      <c r="P44" s="45">
        <f>994-440-454</f>
        <v>100</v>
      </c>
      <c r="Q44" s="45">
        <v>0</v>
      </c>
      <c r="R44" s="45">
        <v>0</v>
      </c>
      <c r="S44" s="45">
        <v>0</v>
      </c>
      <c r="T44" s="45">
        <f t="shared" si="14"/>
        <v>542</v>
      </c>
      <c r="U44" s="45">
        <f>989-447</f>
        <v>542</v>
      </c>
      <c r="V44" s="45">
        <v>0</v>
      </c>
      <c r="W44" s="45">
        <v>0</v>
      </c>
      <c r="X44" s="45">
        <v>0</v>
      </c>
      <c r="Y44" s="45">
        <f t="shared" si="9"/>
        <v>989</v>
      </c>
      <c r="Z44" s="45">
        <v>989</v>
      </c>
      <c r="AA44" s="45">
        <v>0</v>
      </c>
      <c r="AB44" s="45">
        <v>0</v>
      </c>
      <c r="AC44" s="45">
        <v>0</v>
      </c>
      <c r="AD44" s="46">
        <f t="shared" si="10"/>
        <v>1932</v>
      </c>
      <c r="AE44" s="89"/>
      <c r="AF44" s="15"/>
      <c r="AG44" s="2"/>
      <c r="AH44" s="2"/>
      <c r="AI44" s="31"/>
      <c r="AJ44" s="5"/>
      <c r="AK44" s="3"/>
      <c r="AL44" s="5"/>
      <c r="AM44" s="3"/>
      <c r="AN44" s="5"/>
      <c r="AO44" s="3"/>
      <c r="BA44" s="2"/>
    </row>
    <row r="45" spans="1:53" ht="67.5" customHeight="1">
      <c r="A45" s="49" t="s">
        <v>84</v>
      </c>
      <c r="B45" s="51" t="s">
        <v>95</v>
      </c>
      <c r="C45" s="48" t="s">
        <v>10</v>
      </c>
      <c r="D45" s="47">
        <v>2020</v>
      </c>
      <c r="E45" s="45">
        <f t="shared" si="11"/>
        <v>4091</v>
      </c>
      <c r="F45" s="45">
        <f>4162+5-353</f>
        <v>3814</v>
      </c>
      <c r="G45" s="45">
        <v>277</v>
      </c>
      <c r="H45" s="45">
        <v>0</v>
      </c>
      <c r="I45" s="45">
        <v>0</v>
      </c>
      <c r="J45" s="45">
        <f t="shared" si="12"/>
        <v>0</v>
      </c>
      <c r="K45" s="45">
        <v>0</v>
      </c>
      <c r="L45" s="45">
        <v>0</v>
      </c>
      <c r="M45" s="45">
        <v>0</v>
      </c>
      <c r="N45" s="45">
        <v>0</v>
      </c>
      <c r="O45" s="45">
        <f t="shared" si="13"/>
        <v>0</v>
      </c>
      <c r="P45" s="45">
        <v>0</v>
      </c>
      <c r="Q45" s="45">
        <v>0</v>
      </c>
      <c r="R45" s="45">
        <v>0</v>
      </c>
      <c r="S45" s="45">
        <v>0</v>
      </c>
      <c r="T45" s="45">
        <f t="shared" si="14"/>
        <v>0</v>
      </c>
      <c r="U45" s="45">
        <v>0</v>
      </c>
      <c r="V45" s="45">
        <v>0</v>
      </c>
      <c r="W45" s="45">
        <v>0</v>
      </c>
      <c r="X45" s="45">
        <v>0</v>
      </c>
      <c r="Y45" s="45">
        <f t="shared" si="9"/>
        <v>0</v>
      </c>
      <c r="Z45" s="45">
        <v>0</v>
      </c>
      <c r="AA45" s="45">
        <v>0</v>
      </c>
      <c r="AB45" s="45">
        <v>0</v>
      </c>
      <c r="AC45" s="45">
        <v>0</v>
      </c>
      <c r="AD45" s="46">
        <f t="shared" si="10"/>
        <v>4091</v>
      </c>
      <c r="AE45" s="89"/>
      <c r="AF45" s="15"/>
      <c r="AG45" s="2"/>
      <c r="AH45" s="2"/>
      <c r="AI45" s="31"/>
      <c r="AJ45" s="5"/>
      <c r="AK45" s="5"/>
      <c r="AL45" s="5"/>
      <c r="AM45" s="3"/>
      <c r="AN45" s="5"/>
      <c r="AO45" s="3"/>
      <c r="BA45" s="2"/>
    </row>
    <row r="46" spans="1:53" ht="81.75" customHeight="1">
      <c r="A46" s="49" t="s">
        <v>88</v>
      </c>
      <c r="B46" s="96" t="s">
        <v>124</v>
      </c>
      <c r="C46" s="102" t="s">
        <v>10</v>
      </c>
      <c r="D46" s="47" t="s">
        <v>136</v>
      </c>
      <c r="E46" s="45">
        <f t="shared" si="11"/>
        <v>0</v>
      </c>
      <c r="F46" s="45">
        <f>6203-3597+326-2932</f>
        <v>0</v>
      </c>
      <c r="G46" s="45">
        <v>0</v>
      </c>
      <c r="H46" s="45">
        <v>0</v>
      </c>
      <c r="I46" s="45">
        <v>0</v>
      </c>
      <c r="J46" s="45">
        <f t="shared" si="12"/>
        <v>7425</v>
      </c>
      <c r="K46" s="45">
        <f>6709+393+2009-922-33-731</f>
        <v>7425</v>
      </c>
      <c r="L46" s="45">
        <v>0</v>
      </c>
      <c r="M46" s="45">
        <v>0</v>
      </c>
      <c r="N46" s="45">
        <v>0</v>
      </c>
      <c r="O46" s="45">
        <f t="shared" si="13"/>
        <v>0</v>
      </c>
      <c r="P46" s="45">
        <v>0</v>
      </c>
      <c r="Q46" s="45">
        <v>0</v>
      </c>
      <c r="R46" s="45">
        <v>0</v>
      </c>
      <c r="S46" s="45">
        <v>0</v>
      </c>
      <c r="T46" s="45">
        <f t="shared" si="14"/>
        <v>2735</v>
      </c>
      <c r="U46" s="45">
        <f>5999-600-2664</f>
        <v>2735</v>
      </c>
      <c r="V46" s="45">
        <v>0</v>
      </c>
      <c r="W46" s="45">
        <v>0</v>
      </c>
      <c r="X46" s="45">
        <v>0</v>
      </c>
      <c r="Y46" s="45">
        <f t="shared" si="9"/>
        <v>5999</v>
      </c>
      <c r="Z46" s="45">
        <v>5999</v>
      </c>
      <c r="AA46" s="45">
        <v>0</v>
      </c>
      <c r="AB46" s="45">
        <v>0</v>
      </c>
      <c r="AC46" s="45">
        <v>0</v>
      </c>
      <c r="AD46" s="46">
        <f t="shared" si="10"/>
        <v>16159</v>
      </c>
      <c r="AE46" s="89"/>
      <c r="AF46" s="15"/>
      <c r="AG46" s="2"/>
      <c r="AH46" s="2"/>
      <c r="AJ46" s="5"/>
      <c r="AK46" s="5"/>
      <c r="AL46" s="5"/>
      <c r="AM46" s="3"/>
      <c r="AN46" s="5"/>
      <c r="AO46" s="3"/>
      <c r="BA46" s="2"/>
    </row>
    <row r="47" spans="1:53" ht="31.5" customHeight="1">
      <c r="A47" s="49" t="s">
        <v>89</v>
      </c>
      <c r="B47" s="103" t="s">
        <v>94</v>
      </c>
      <c r="C47" s="102" t="s">
        <v>10</v>
      </c>
      <c r="D47" s="47" t="s">
        <v>50</v>
      </c>
      <c r="E47" s="45">
        <f t="shared" si="11"/>
        <v>882</v>
      </c>
      <c r="F47" s="45">
        <f>1243-1086-1+15</f>
        <v>171</v>
      </c>
      <c r="G47" s="45">
        <v>711</v>
      </c>
      <c r="H47" s="45">
        <v>0</v>
      </c>
      <c r="I47" s="45">
        <v>0</v>
      </c>
      <c r="J47" s="45">
        <f t="shared" si="12"/>
        <v>49</v>
      </c>
      <c r="K47" s="45">
        <f>1284-1235</f>
        <v>49</v>
      </c>
      <c r="L47" s="45">
        <v>0</v>
      </c>
      <c r="M47" s="45">
        <v>0</v>
      </c>
      <c r="N47" s="45">
        <v>0</v>
      </c>
      <c r="O47" s="45">
        <f t="shared" si="13"/>
        <v>163</v>
      </c>
      <c r="P47" s="45">
        <f>2650-2487</f>
        <v>163</v>
      </c>
      <c r="Q47" s="45">
        <v>0</v>
      </c>
      <c r="R47" s="45">
        <v>0</v>
      </c>
      <c r="S47" s="45">
        <v>0</v>
      </c>
      <c r="T47" s="45">
        <f t="shared" si="14"/>
        <v>1306</v>
      </c>
      <c r="U47" s="45">
        <f>2539-1233</f>
        <v>1306</v>
      </c>
      <c r="V47" s="45">
        <v>0</v>
      </c>
      <c r="W47" s="45">
        <v>0</v>
      </c>
      <c r="X47" s="45">
        <v>0</v>
      </c>
      <c r="Y47" s="45">
        <f t="shared" si="9"/>
        <v>2539</v>
      </c>
      <c r="Z47" s="45">
        <v>2539</v>
      </c>
      <c r="AA47" s="45">
        <v>0</v>
      </c>
      <c r="AB47" s="45">
        <v>0</v>
      </c>
      <c r="AC47" s="45">
        <v>0</v>
      </c>
      <c r="AD47" s="46">
        <f t="shared" si="10"/>
        <v>4939</v>
      </c>
      <c r="AE47" s="89"/>
      <c r="AF47" s="15"/>
      <c r="AG47" s="2"/>
      <c r="AH47" s="2"/>
      <c r="AJ47" s="5"/>
      <c r="AK47" s="5"/>
      <c r="AL47" s="5"/>
      <c r="AM47" s="3"/>
      <c r="AN47" s="5"/>
      <c r="AO47" s="3"/>
      <c r="BA47" s="2"/>
    </row>
    <row r="48" spans="1:53" ht="105.75" customHeight="1">
      <c r="A48" s="49" t="s">
        <v>90</v>
      </c>
      <c r="B48" s="96" t="s">
        <v>91</v>
      </c>
      <c r="C48" s="52" t="s">
        <v>83</v>
      </c>
      <c r="D48" s="47">
        <v>2020</v>
      </c>
      <c r="E48" s="45">
        <f t="shared" si="11"/>
        <v>9140</v>
      </c>
      <c r="F48" s="45">
        <f>9551-411</f>
        <v>9140</v>
      </c>
      <c r="G48" s="45">
        <v>0</v>
      </c>
      <c r="H48" s="45">
        <v>0</v>
      </c>
      <c r="I48" s="45">
        <v>0</v>
      </c>
      <c r="J48" s="45">
        <f t="shared" si="12"/>
        <v>0</v>
      </c>
      <c r="K48" s="45">
        <v>0</v>
      </c>
      <c r="L48" s="45">
        <v>0</v>
      </c>
      <c r="M48" s="45">
        <v>0</v>
      </c>
      <c r="N48" s="45">
        <v>0</v>
      </c>
      <c r="O48" s="45">
        <f t="shared" si="13"/>
        <v>0</v>
      </c>
      <c r="P48" s="45">
        <v>0</v>
      </c>
      <c r="Q48" s="45">
        <v>0</v>
      </c>
      <c r="R48" s="45">
        <v>0</v>
      </c>
      <c r="S48" s="45">
        <v>0</v>
      </c>
      <c r="T48" s="45">
        <f t="shared" si="14"/>
        <v>0</v>
      </c>
      <c r="U48" s="45">
        <v>0</v>
      </c>
      <c r="V48" s="45">
        <v>0</v>
      </c>
      <c r="W48" s="45">
        <v>0</v>
      </c>
      <c r="X48" s="45">
        <v>0</v>
      </c>
      <c r="Y48" s="45">
        <f t="shared" si="9"/>
        <v>0</v>
      </c>
      <c r="Z48" s="45">
        <v>0</v>
      </c>
      <c r="AA48" s="45">
        <v>0</v>
      </c>
      <c r="AB48" s="45">
        <v>0</v>
      </c>
      <c r="AC48" s="45">
        <v>0</v>
      </c>
      <c r="AD48" s="46">
        <f t="shared" si="10"/>
        <v>9140</v>
      </c>
      <c r="AE48" s="89"/>
      <c r="AF48" s="15"/>
      <c r="AG48" s="2"/>
      <c r="AH48" s="2"/>
      <c r="AJ48" s="5"/>
      <c r="AK48" s="3"/>
      <c r="AL48" s="5"/>
      <c r="AM48" s="3"/>
      <c r="AN48" s="5"/>
      <c r="AO48" s="3"/>
      <c r="BA48" s="2"/>
    </row>
    <row r="49" spans="1:53" ht="31.5" customHeight="1">
      <c r="A49" s="49" t="s">
        <v>112</v>
      </c>
      <c r="B49" s="96" t="s">
        <v>111</v>
      </c>
      <c r="C49" s="52" t="s">
        <v>10</v>
      </c>
      <c r="D49" s="47" t="s">
        <v>92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f t="shared" si="12"/>
        <v>200</v>
      </c>
      <c r="K49" s="45">
        <f>221-21</f>
        <v>200</v>
      </c>
      <c r="L49" s="45">
        <v>0</v>
      </c>
      <c r="M49" s="45">
        <v>0</v>
      </c>
      <c r="N49" s="45">
        <v>0</v>
      </c>
      <c r="O49" s="45">
        <f t="shared" si="13"/>
        <v>1564</v>
      </c>
      <c r="P49" s="45">
        <v>1564</v>
      </c>
      <c r="Q49" s="45">
        <v>0</v>
      </c>
      <c r="R49" s="45">
        <v>0</v>
      </c>
      <c r="S49" s="45">
        <v>0</v>
      </c>
      <c r="T49" s="45">
        <f t="shared" si="14"/>
        <v>0</v>
      </c>
      <c r="U49" s="45">
        <v>0</v>
      </c>
      <c r="V49" s="45">
        <v>0</v>
      </c>
      <c r="W49" s="45">
        <v>0</v>
      </c>
      <c r="X49" s="45">
        <v>0</v>
      </c>
      <c r="Y49" s="45">
        <f t="shared" si="9"/>
        <v>0</v>
      </c>
      <c r="Z49" s="45">
        <v>0</v>
      </c>
      <c r="AA49" s="45">
        <v>0</v>
      </c>
      <c r="AB49" s="45">
        <v>0</v>
      </c>
      <c r="AC49" s="45">
        <v>0</v>
      </c>
      <c r="AD49" s="46">
        <f t="shared" si="10"/>
        <v>1764</v>
      </c>
      <c r="AE49" s="89"/>
      <c r="AF49" s="15"/>
      <c r="AG49" s="2"/>
      <c r="AH49" s="2"/>
      <c r="AJ49" s="5"/>
      <c r="AK49" s="3"/>
      <c r="AL49" s="5"/>
      <c r="AM49" s="3"/>
      <c r="AN49" s="5"/>
      <c r="AO49" s="3"/>
      <c r="BA49" s="2"/>
    </row>
    <row r="50" spans="1:53" ht="42.75" customHeight="1">
      <c r="A50" s="49" t="s">
        <v>139</v>
      </c>
      <c r="B50" s="96" t="s">
        <v>142</v>
      </c>
      <c r="C50" s="52" t="s">
        <v>140</v>
      </c>
      <c r="D50" s="47" t="s">
        <v>141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f t="shared" si="14"/>
        <v>5212</v>
      </c>
      <c r="U50" s="45">
        <f>5071+141</f>
        <v>5212</v>
      </c>
      <c r="V50" s="45">
        <v>0</v>
      </c>
      <c r="W50" s="45">
        <v>0</v>
      </c>
      <c r="X50" s="45">
        <v>0</v>
      </c>
      <c r="Y50" s="45">
        <f t="shared" si="9"/>
        <v>4952</v>
      </c>
      <c r="Z50" s="45">
        <v>4952</v>
      </c>
      <c r="AA50" s="45">
        <v>0</v>
      </c>
      <c r="AB50" s="45">
        <v>0</v>
      </c>
      <c r="AC50" s="45">
        <v>0</v>
      </c>
      <c r="AD50" s="46">
        <f t="shared" si="10"/>
        <v>10164</v>
      </c>
      <c r="AE50" s="104">
        <v>41580</v>
      </c>
      <c r="AF50" s="2">
        <f>U51-AE50</f>
        <v>2132</v>
      </c>
      <c r="AG50" s="2">
        <f>Y51-AE50</f>
        <v>2472</v>
      </c>
      <c r="AH50" s="2"/>
      <c r="AJ50" s="5"/>
      <c r="AK50" s="3"/>
      <c r="AL50" s="5"/>
      <c r="AM50" s="3"/>
      <c r="AN50" s="5"/>
      <c r="AO50" s="3"/>
      <c r="BA50" s="2"/>
    </row>
    <row r="51" spans="1:59" s="9" customFormat="1" ht="32.25" customHeight="1">
      <c r="A51" s="49"/>
      <c r="B51" s="51" t="s">
        <v>13</v>
      </c>
      <c r="C51" s="45"/>
      <c r="D51" s="47"/>
      <c r="E51" s="45">
        <f t="shared" si="11"/>
        <v>35545</v>
      </c>
      <c r="F51" s="45">
        <f>F38+F39+F40+F41+F43+F44+F45+F46+F47+F48+F42</f>
        <v>34557</v>
      </c>
      <c r="G51" s="45">
        <f>G45+G47</f>
        <v>988</v>
      </c>
      <c r="H51" s="45">
        <f>H45</f>
        <v>0</v>
      </c>
      <c r="I51" s="45">
        <f>I45</f>
        <v>0</v>
      </c>
      <c r="J51" s="45">
        <f t="shared" si="12"/>
        <v>35724</v>
      </c>
      <c r="K51" s="45">
        <f>K38+K39+K40+K41+K42+K43+K44+K45+K46+K47+K48+K49</f>
        <v>35724</v>
      </c>
      <c r="L51" s="45">
        <f>L38+L39+L40+L41+L42+L43+L44+L45+L46+L47+L48+L49</f>
        <v>0</v>
      </c>
      <c r="M51" s="45">
        <f>M38+M39+M40+M41+M42+M43+M44+M45+M46+M47+M48+M49</f>
        <v>0</v>
      </c>
      <c r="N51" s="45">
        <f>N38+N39+N40+N41+N42+N43+N44+N45+N46+N47+N48+N49</f>
        <v>0</v>
      </c>
      <c r="O51" s="45">
        <f>P51+Q51+R51+S51</f>
        <v>32127</v>
      </c>
      <c r="P51" s="45">
        <f>P38+P39+P40+P41+P42+P43+P44+P45+P46+P47+P48+P49</f>
        <v>32127</v>
      </c>
      <c r="Q51" s="45">
        <f>Q38+Q39+Q40+Q41+Q42+Q43+Q44+Q45+Q46+Q47+Q48+Q49</f>
        <v>0</v>
      </c>
      <c r="R51" s="45">
        <f>R38+R39+R40+R41+R42+R43+R44+R45+R46+R47+R48+R49</f>
        <v>0</v>
      </c>
      <c r="S51" s="45">
        <f>S38+S39+S40+S41+S42+S43+S44+S45+S46+S47+S48+S49</f>
        <v>0</v>
      </c>
      <c r="T51" s="45">
        <f>U51+V51+W51+X51</f>
        <v>43712</v>
      </c>
      <c r="U51" s="45">
        <f>U38+U39+U40+U41+U42+U43+U44+U45+U46+U47+U48+U49+U50</f>
        <v>43712</v>
      </c>
      <c r="V51" s="45">
        <f>V38+V39+V40+V41+V42+V43+V44+V45+V46+V47+V48+V49</f>
        <v>0</v>
      </c>
      <c r="W51" s="45">
        <f>W38+W39+W40+W41+W42+W43+W44+W45+W46+W47+W48+W49</f>
        <v>0</v>
      </c>
      <c r="X51" s="45">
        <f>X38+X39+X40+X41+X42+X43+X44+X45+X46+X47+X48+X49</f>
        <v>0</v>
      </c>
      <c r="Y51" s="45">
        <f t="shared" si="9"/>
        <v>44052</v>
      </c>
      <c r="Z51" s="45">
        <f>Z44+Z43+Z42+Z41+Z40+Z39+Z38+Z45+Z46+Z47+Z48+Z49+Z50</f>
        <v>44052</v>
      </c>
      <c r="AA51" s="45">
        <f>SUM(AA38:AA43)</f>
        <v>0</v>
      </c>
      <c r="AB51" s="45">
        <f>SUM(AB38:AB43)</f>
        <v>0</v>
      </c>
      <c r="AC51" s="45">
        <f>SUM(AC38:AC43)</f>
        <v>0</v>
      </c>
      <c r="AD51" s="46">
        <f>Y51+T51+O51+J51+E51</f>
        <v>191160</v>
      </c>
      <c r="AE51" s="83">
        <f>AD38+AD39+AD40+AD41+AD42+AD43+AD44+AD45+AD46+AD47+AD48+AD49+AD50</f>
        <v>191160</v>
      </c>
      <c r="AF51" s="8"/>
      <c r="AG51" s="8"/>
      <c r="AH51" s="8"/>
      <c r="AI51" s="18"/>
      <c r="AJ51" s="8"/>
      <c r="AK51" s="8"/>
      <c r="AM51" s="8"/>
      <c r="BA51" s="8"/>
      <c r="BD51" s="8"/>
      <c r="BE51" s="8"/>
      <c r="BG51" s="8"/>
    </row>
    <row r="52" spans="1:39" ht="28.5" customHeight="1">
      <c r="A52" s="134" t="s">
        <v>69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6"/>
      <c r="AF52" s="2"/>
      <c r="AM52" s="2"/>
    </row>
    <row r="53" spans="1:33" ht="36" customHeight="1">
      <c r="A53" s="122" t="s">
        <v>4</v>
      </c>
      <c r="B53" s="121" t="s">
        <v>133</v>
      </c>
      <c r="C53" s="48" t="s">
        <v>10</v>
      </c>
      <c r="D53" s="47" t="s">
        <v>137</v>
      </c>
      <c r="E53" s="45">
        <f>F53+G53+H53+I53</f>
        <v>5943</v>
      </c>
      <c r="F53" s="45">
        <f>3830+170+192-3638+129+1622</f>
        <v>2305</v>
      </c>
      <c r="G53" s="45">
        <f>3638</f>
        <v>3638</v>
      </c>
      <c r="H53" s="45">
        <v>0</v>
      </c>
      <c r="I53" s="45">
        <v>0</v>
      </c>
      <c r="J53" s="45">
        <f>K53+L53+M53+N53</f>
        <v>730</v>
      </c>
      <c r="K53" s="45">
        <f>902-172</f>
        <v>730</v>
      </c>
      <c r="L53" s="45">
        <v>0</v>
      </c>
      <c r="M53" s="45">
        <v>0</v>
      </c>
      <c r="N53" s="45">
        <v>0</v>
      </c>
      <c r="O53" s="45">
        <f>P53+Q53+R53+S53</f>
        <v>0</v>
      </c>
      <c r="P53" s="45">
        <f>2146-2146</f>
        <v>0</v>
      </c>
      <c r="Q53" s="45">
        <v>0</v>
      </c>
      <c r="R53" s="45">
        <v>0</v>
      </c>
      <c r="S53" s="45">
        <v>0</v>
      </c>
      <c r="T53" s="45">
        <f>U53+V53+W53+X53</f>
        <v>2390</v>
      </c>
      <c r="U53" s="45">
        <v>2390</v>
      </c>
      <c r="V53" s="45">
        <v>0</v>
      </c>
      <c r="W53" s="45">
        <v>0</v>
      </c>
      <c r="X53" s="45">
        <v>0</v>
      </c>
      <c r="Y53" s="45">
        <f>Z53</f>
        <v>2390</v>
      </c>
      <c r="Z53" s="45">
        <v>2390</v>
      </c>
      <c r="AA53" s="45">
        <v>0</v>
      </c>
      <c r="AB53" s="45">
        <v>0</v>
      </c>
      <c r="AC53" s="45">
        <v>0</v>
      </c>
      <c r="AD53" s="46">
        <f aca="true" t="shared" si="15" ref="AD53:AD58">Y53+T53+O53+J53+E53</f>
        <v>11453</v>
      </c>
      <c r="AE53" s="43" t="s">
        <v>132</v>
      </c>
      <c r="AF53" s="1">
        <v>2146</v>
      </c>
      <c r="AG53" s="2">
        <f aca="true" t="shared" si="16" ref="AG53:AG58">T53-AF53</f>
        <v>244</v>
      </c>
    </row>
    <row r="54" spans="1:63" ht="35.25" customHeight="1">
      <c r="A54" s="122"/>
      <c r="B54" s="121"/>
      <c r="C54" s="48" t="s">
        <v>83</v>
      </c>
      <c r="D54" s="47" t="s">
        <v>50</v>
      </c>
      <c r="E54" s="45">
        <f>F54</f>
        <v>362.1</v>
      </c>
      <c r="F54" s="45">
        <v>362.1</v>
      </c>
      <c r="G54" s="45">
        <v>0</v>
      </c>
      <c r="H54" s="45">
        <v>0</v>
      </c>
      <c r="I54" s="45">
        <v>0</v>
      </c>
      <c r="J54" s="45">
        <f>K54+L54+M54+N54</f>
        <v>356</v>
      </c>
      <c r="K54" s="45">
        <v>356</v>
      </c>
      <c r="L54" s="45">
        <v>0</v>
      </c>
      <c r="M54" s="45">
        <v>0</v>
      </c>
      <c r="N54" s="45">
        <v>0</v>
      </c>
      <c r="O54" s="45">
        <f>P54+Q54+R54+S54</f>
        <v>393</v>
      </c>
      <c r="P54" s="45">
        <v>393</v>
      </c>
      <c r="Q54" s="45">
        <v>0</v>
      </c>
      <c r="R54" s="45">
        <v>0</v>
      </c>
      <c r="S54" s="45">
        <v>0</v>
      </c>
      <c r="T54" s="45">
        <f>U54+V54+W54+X54</f>
        <v>230</v>
      </c>
      <c r="U54" s="45">
        <v>230</v>
      </c>
      <c r="V54" s="45">
        <v>0</v>
      </c>
      <c r="W54" s="45">
        <v>0</v>
      </c>
      <c r="X54" s="45">
        <v>0</v>
      </c>
      <c r="Y54" s="45">
        <f>Z54</f>
        <v>230</v>
      </c>
      <c r="Z54" s="45">
        <v>230</v>
      </c>
      <c r="AA54" s="45">
        <v>0</v>
      </c>
      <c r="AB54" s="45">
        <v>0</v>
      </c>
      <c r="AC54" s="45">
        <v>0</v>
      </c>
      <c r="AD54" s="46">
        <f t="shared" si="15"/>
        <v>1571.1</v>
      </c>
      <c r="AG54" s="2">
        <f t="shared" si="16"/>
        <v>230</v>
      </c>
      <c r="BE54" s="2"/>
      <c r="BF54" s="116"/>
      <c r="BG54" s="116"/>
      <c r="BH54" s="116"/>
      <c r="BI54" s="116"/>
      <c r="BJ54" s="116"/>
      <c r="BK54" s="116"/>
    </row>
    <row r="55" spans="1:63" s="23" customFormat="1" ht="45.75" customHeight="1">
      <c r="A55" s="113" t="s">
        <v>14</v>
      </c>
      <c r="B55" s="91" t="s">
        <v>72</v>
      </c>
      <c r="C55" s="48" t="s">
        <v>83</v>
      </c>
      <c r="D55" s="47" t="s">
        <v>113</v>
      </c>
      <c r="E55" s="45">
        <f>F55</f>
        <v>0</v>
      </c>
      <c r="F55" s="45">
        <f>1000-129-871</f>
        <v>0</v>
      </c>
      <c r="G55" s="45">
        <v>0</v>
      </c>
      <c r="H55" s="45">
        <v>0</v>
      </c>
      <c r="I55" s="45">
        <v>0</v>
      </c>
      <c r="J55" s="45">
        <f>K55+L55+M55+N55</f>
        <v>306</v>
      </c>
      <c r="K55" s="45">
        <v>306</v>
      </c>
      <c r="L55" s="45">
        <v>0</v>
      </c>
      <c r="M55" s="45">
        <v>0</v>
      </c>
      <c r="N55" s="45">
        <v>0</v>
      </c>
      <c r="O55" s="45">
        <f>P55+Q55+R55+S55</f>
        <v>0</v>
      </c>
      <c r="P55" s="45">
        <v>0</v>
      </c>
      <c r="Q55" s="45">
        <v>0</v>
      </c>
      <c r="R55" s="45">
        <v>0</v>
      </c>
      <c r="S55" s="45">
        <v>0</v>
      </c>
      <c r="T55" s="45">
        <f>U55</f>
        <v>0</v>
      </c>
      <c r="U55" s="45">
        <v>0</v>
      </c>
      <c r="V55" s="45">
        <v>0</v>
      </c>
      <c r="W55" s="45">
        <v>0</v>
      </c>
      <c r="X55" s="45">
        <v>0</v>
      </c>
      <c r="Y55" s="45">
        <v>0</v>
      </c>
      <c r="Z55" s="45">
        <v>0</v>
      </c>
      <c r="AA55" s="45">
        <v>0</v>
      </c>
      <c r="AB55" s="45">
        <v>0</v>
      </c>
      <c r="AC55" s="45">
        <v>0</v>
      </c>
      <c r="AD55" s="46">
        <f t="shared" si="15"/>
        <v>306</v>
      </c>
      <c r="AE55" s="67"/>
      <c r="AG55" s="2">
        <f t="shared" si="16"/>
        <v>0</v>
      </c>
      <c r="AI55" s="66"/>
      <c r="BA55" s="65"/>
      <c r="BB55" s="65"/>
      <c r="BE55" s="65"/>
      <c r="BF55" s="67"/>
      <c r="BG55" s="67"/>
      <c r="BH55" s="67"/>
      <c r="BI55" s="67"/>
      <c r="BJ55" s="67"/>
      <c r="BK55" s="67"/>
    </row>
    <row r="56" spans="1:63" ht="39.75" customHeight="1">
      <c r="A56" s="122" t="s">
        <v>17</v>
      </c>
      <c r="B56" s="121" t="s">
        <v>43</v>
      </c>
      <c r="C56" s="48" t="s">
        <v>10</v>
      </c>
      <c r="D56" s="47" t="s">
        <v>50</v>
      </c>
      <c r="E56" s="45">
        <f>F56</f>
        <v>9323</v>
      </c>
      <c r="F56" s="45">
        <f>2469+300+996+2719+2100-132+871</f>
        <v>9323</v>
      </c>
      <c r="G56" s="45">
        <v>0</v>
      </c>
      <c r="H56" s="45">
        <v>0</v>
      </c>
      <c r="I56" s="45">
        <v>0</v>
      </c>
      <c r="J56" s="45">
        <f>K56+L56+M56+N56</f>
        <v>19398</v>
      </c>
      <c r="K56" s="45">
        <f>3946+1709+10000-39+110+25+515+172+2960</f>
        <v>19398</v>
      </c>
      <c r="L56" s="45">
        <v>0</v>
      </c>
      <c r="M56" s="45">
        <v>0</v>
      </c>
      <c r="N56" s="45">
        <v>0</v>
      </c>
      <c r="O56" s="45">
        <f>P56+Q56+R56+S56</f>
        <v>18294</v>
      </c>
      <c r="P56" s="45">
        <f>7884+8400-136+2146</f>
        <v>18294</v>
      </c>
      <c r="Q56" s="45">
        <v>0</v>
      </c>
      <c r="R56" s="45">
        <v>0</v>
      </c>
      <c r="S56" s="45">
        <v>0</v>
      </c>
      <c r="T56" s="45">
        <f>U56+V56+W56+X56</f>
        <v>10487</v>
      </c>
      <c r="U56" s="45">
        <v>10487</v>
      </c>
      <c r="V56" s="45">
        <v>0</v>
      </c>
      <c r="W56" s="45">
        <v>0</v>
      </c>
      <c r="X56" s="45">
        <v>0</v>
      </c>
      <c r="Y56" s="45">
        <f>Z56</f>
        <v>15580</v>
      </c>
      <c r="Z56" s="45">
        <v>15580</v>
      </c>
      <c r="AA56" s="45">
        <v>0</v>
      </c>
      <c r="AB56" s="45">
        <v>0</v>
      </c>
      <c r="AC56" s="45">
        <v>0</v>
      </c>
      <c r="AD56" s="46">
        <f t="shared" si="15"/>
        <v>73082</v>
      </c>
      <c r="AE56" s="75"/>
      <c r="AF56" s="2">
        <v>7884</v>
      </c>
      <c r="AG56" s="2">
        <f t="shared" si="16"/>
        <v>2603</v>
      </c>
      <c r="AH56" s="2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2"/>
      <c r="BA56" s="2"/>
      <c r="BE56" s="2"/>
      <c r="BF56" s="116"/>
      <c r="BG56" s="116"/>
      <c r="BH56" s="116"/>
      <c r="BI56" s="116"/>
      <c r="BJ56" s="116"/>
      <c r="BK56" s="116"/>
    </row>
    <row r="57" spans="1:63" ht="35.25" customHeight="1">
      <c r="A57" s="122"/>
      <c r="B57" s="121"/>
      <c r="C57" s="48" t="s">
        <v>83</v>
      </c>
      <c r="D57" s="47" t="s">
        <v>50</v>
      </c>
      <c r="E57" s="45">
        <f>F57+G57+H57+I57</f>
        <v>2397.9</v>
      </c>
      <c r="F57" s="45">
        <f>1927.2-32+502.7</f>
        <v>2397.9</v>
      </c>
      <c r="G57" s="45">
        <v>0</v>
      </c>
      <c r="H57" s="45">
        <v>0</v>
      </c>
      <c r="I57" s="45">
        <v>0</v>
      </c>
      <c r="J57" s="45">
        <f>K57+L57+M57+N57</f>
        <v>1979</v>
      </c>
      <c r="K57" s="45">
        <f>2059-80</f>
        <v>1979</v>
      </c>
      <c r="L57" s="45">
        <v>0</v>
      </c>
      <c r="M57" s="45">
        <v>0</v>
      </c>
      <c r="N57" s="45">
        <v>0</v>
      </c>
      <c r="O57" s="45">
        <f>P57+Q57+R57+S57</f>
        <v>1623</v>
      </c>
      <c r="P57" s="45">
        <v>1623</v>
      </c>
      <c r="Q57" s="45">
        <v>0</v>
      </c>
      <c r="R57" s="45">
        <v>0</v>
      </c>
      <c r="S57" s="45">
        <v>0</v>
      </c>
      <c r="T57" s="45">
        <f>U57+V57+W57+X57</f>
        <v>2456</v>
      </c>
      <c r="U57" s="45">
        <v>2456</v>
      </c>
      <c r="V57" s="45">
        <v>0</v>
      </c>
      <c r="W57" s="45">
        <v>0</v>
      </c>
      <c r="X57" s="45">
        <v>0</v>
      </c>
      <c r="Y57" s="45">
        <f>Z57+AA57+AB57+AC57</f>
        <v>2456</v>
      </c>
      <c r="Z57" s="45">
        <v>2456</v>
      </c>
      <c r="AA57" s="45">
        <v>0</v>
      </c>
      <c r="AB57" s="45">
        <v>0</v>
      </c>
      <c r="AC57" s="45">
        <v>0</v>
      </c>
      <c r="AD57" s="46">
        <f t="shared" si="15"/>
        <v>10911.9</v>
      </c>
      <c r="AE57" s="75">
        <f>U53+U56</f>
        <v>12877</v>
      </c>
      <c r="AF57" s="2"/>
      <c r="AG57" s="2">
        <f t="shared" si="16"/>
        <v>2456</v>
      </c>
      <c r="AI57" s="117"/>
      <c r="AJ57" s="117"/>
      <c r="AK57" s="117"/>
      <c r="AL57" s="42"/>
      <c r="AM57" s="43"/>
      <c r="AN57" s="43"/>
      <c r="AO57" s="43"/>
      <c r="AP57" s="43"/>
      <c r="AQ57" s="43"/>
      <c r="AR57" s="43"/>
      <c r="AS57" s="2"/>
      <c r="BA57" s="2"/>
      <c r="BE57" s="2"/>
      <c r="BF57" s="116"/>
      <c r="BG57" s="116"/>
      <c r="BH57" s="116"/>
      <c r="BI57" s="116"/>
      <c r="BJ57" s="116"/>
      <c r="BK57" s="116"/>
    </row>
    <row r="58" spans="1:57" s="9" customFormat="1" ht="36.75" customHeight="1">
      <c r="A58" s="49"/>
      <c r="B58" s="51" t="s">
        <v>15</v>
      </c>
      <c r="C58" s="48"/>
      <c r="D58" s="47"/>
      <c r="E58" s="45">
        <f>F58+G58+H58+I58</f>
        <v>18026</v>
      </c>
      <c r="F58" s="45">
        <f>F53+F56+F57+F54</f>
        <v>14388</v>
      </c>
      <c r="G58" s="45">
        <f aca="true" t="shared" si="17" ref="G58:AC58">G53+G56+G57+G54</f>
        <v>3638</v>
      </c>
      <c r="H58" s="45">
        <f t="shared" si="17"/>
        <v>0</v>
      </c>
      <c r="I58" s="45">
        <f t="shared" si="17"/>
        <v>0</v>
      </c>
      <c r="J58" s="45">
        <f>J53+J56+J57+J54+J55</f>
        <v>22769</v>
      </c>
      <c r="K58" s="45">
        <f>K53+K54+K55+K56+K57</f>
        <v>22769</v>
      </c>
      <c r="L58" s="45">
        <f t="shared" si="17"/>
        <v>0</v>
      </c>
      <c r="M58" s="45">
        <f t="shared" si="17"/>
        <v>0</v>
      </c>
      <c r="N58" s="45">
        <f t="shared" si="17"/>
        <v>0</v>
      </c>
      <c r="O58" s="45">
        <f t="shared" si="17"/>
        <v>20310</v>
      </c>
      <c r="P58" s="45">
        <f t="shared" si="17"/>
        <v>20310</v>
      </c>
      <c r="Q58" s="45">
        <f t="shared" si="17"/>
        <v>0</v>
      </c>
      <c r="R58" s="45">
        <f t="shared" si="17"/>
        <v>0</v>
      </c>
      <c r="S58" s="45">
        <f t="shared" si="17"/>
        <v>0</v>
      </c>
      <c r="T58" s="45">
        <f t="shared" si="17"/>
        <v>15563</v>
      </c>
      <c r="U58" s="45">
        <f t="shared" si="17"/>
        <v>15563</v>
      </c>
      <c r="V58" s="45">
        <f t="shared" si="17"/>
        <v>0</v>
      </c>
      <c r="W58" s="45">
        <f t="shared" si="17"/>
        <v>0</v>
      </c>
      <c r="X58" s="45">
        <f t="shared" si="17"/>
        <v>0</v>
      </c>
      <c r="Y58" s="45">
        <f t="shared" si="17"/>
        <v>20656</v>
      </c>
      <c r="Z58" s="45">
        <f t="shared" si="17"/>
        <v>20656</v>
      </c>
      <c r="AA58" s="45">
        <f t="shared" si="17"/>
        <v>0</v>
      </c>
      <c r="AB58" s="45">
        <f t="shared" si="17"/>
        <v>0</v>
      </c>
      <c r="AC58" s="45">
        <f t="shared" si="17"/>
        <v>0</v>
      </c>
      <c r="AD58" s="46">
        <f t="shared" si="15"/>
        <v>97324</v>
      </c>
      <c r="AE58" s="84">
        <f>AD53+AD54+AD55+AD56+AD57</f>
        <v>97324</v>
      </c>
      <c r="AF58" s="26">
        <v>11837</v>
      </c>
      <c r="AG58" s="2">
        <f t="shared" si="16"/>
        <v>3726</v>
      </c>
      <c r="AH58" s="26"/>
      <c r="AI58" s="32"/>
      <c r="AJ58" s="8"/>
      <c r="AL58" s="8"/>
      <c r="AS58" s="8"/>
      <c r="BA58" s="8"/>
      <c r="BB58" s="8"/>
      <c r="BE58" s="2"/>
    </row>
    <row r="59" spans="1:38" s="9" customFormat="1" ht="30.75" customHeight="1">
      <c r="A59" s="118" t="s">
        <v>70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20"/>
      <c r="AE59" s="76"/>
      <c r="AI59" s="30"/>
      <c r="AJ59" s="8"/>
      <c r="AL59" s="44"/>
    </row>
    <row r="60" spans="1:56" s="9" customFormat="1" ht="89.25" customHeight="1">
      <c r="A60" s="49" t="s">
        <v>16</v>
      </c>
      <c r="B60" s="51" t="s">
        <v>131</v>
      </c>
      <c r="C60" s="48" t="s">
        <v>10</v>
      </c>
      <c r="D60" s="47" t="s">
        <v>85</v>
      </c>
      <c r="E60" s="45">
        <f>F60+G60+H60+I60</f>
        <v>3575</v>
      </c>
      <c r="F60" s="45">
        <v>1723</v>
      </c>
      <c r="G60" s="45">
        <v>1852</v>
      </c>
      <c r="H60" s="45">
        <v>0</v>
      </c>
      <c r="I60" s="45">
        <v>0</v>
      </c>
      <c r="J60" s="45">
        <f>K60+L60+M60+N60</f>
        <v>6160</v>
      </c>
      <c r="K60" s="45">
        <f>1721</f>
        <v>1721</v>
      </c>
      <c r="L60" s="45">
        <f>2679+1760</f>
        <v>4439</v>
      </c>
      <c r="M60" s="45">
        <v>0</v>
      </c>
      <c r="N60" s="45">
        <v>0</v>
      </c>
      <c r="O60" s="45">
        <f>P60+Q60+R60+S60</f>
        <v>14799</v>
      </c>
      <c r="P60" s="45">
        <f>1178+1060</f>
        <v>2238</v>
      </c>
      <c r="Q60" s="45">
        <f>3279+4061+5221</f>
        <v>12561</v>
      </c>
      <c r="R60" s="45">
        <v>0</v>
      </c>
      <c r="S60" s="45">
        <v>0</v>
      </c>
      <c r="T60" s="45">
        <f>U60+V60+W60+X60</f>
        <v>10064</v>
      </c>
      <c r="U60" s="45">
        <f>2519+600+2760</f>
        <v>5879</v>
      </c>
      <c r="V60" s="45">
        <v>4185</v>
      </c>
      <c r="W60" s="45">
        <v>0</v>
      </c>
      <c r="X60" s="45">
        <v>0</v>
      </c>
      <c r="Y60" s="45">
        <f>Z60+AA60+AB60+AC60</f>
        <v>2519</v>
      </c>
      <c r="Z60" s="45">
        <v>2519</v>
      </c>
      <c r="AA60" s="45">
        <v>0</v>
      </c>
      <c r="AB60" s="45">
        <v>0</v>
      </c>
      <c r="AC60" s="45">
        <v>0</v>
      </c>
      <c r="AD60" s="46">
        <f>E60+J60+O60+T60+Y60</f>
        <v>37117</v>
      </c>
      <c r="AE60" s="76"/>
      <c r="AI60" s="30"/>
      <c r="AJ60" s="8"/>
      <c r="AR60" s="8"/>
      <c r="BD60" s="8"/>
    </row>
    <row r="61" spans="1:56" s="9" customFormat="1" ht="37.5" customHeight="1">
      <c r="A61" s="49"/>
      <c r="B61" s="51" t="s">
        <v>127</v>
      </c>
      <c r="C61" s="48"/>
      <c r="D61" s="47"/>
      <c r="E61" s="45">
        <f aca="true" t="shared" si="18" ref="E61:N61">E60</f>
        <v>3575</v>
      </c>
      <c r="F61" s="45">
        <f t="shared" si="18"/>
        <v>1723</v>
      </c>
      <c r="G61" s="45">
        <f t="shared" si="18"/>
        <v>1852</v>
      </c>
      <c r="H61" s="45">
        <f t="shared" si="18"/>
        <v>0</v>
      </c>
      <c r="I61" s="45">
        <f t="shared" si="18"/>
        <v>0</v>
      </c>
      <c r="J61" s="45">
        <f t="shared" si="18"/>
        <v>6160</v>
      </c>
      <c r="K61" s="45">
        <f t="shared" si="18"/>
        <v>1721</v>
      </c>
      <c r="L61" s="45">
        <f t="shared" si="18"/>
        <v>4439</v>
      </c>
      <c r="M61" s="45">
        <f t="shared" si="18"/>
        <v>0</v>
      </c>
      <c r="N61" s="45">
        <f t="shared" si="18"/>
        <v>0</v>
      </c>
      <c r="O61" s="45">
        <f>P61+Q61+R61+S61</f>
        <v>14799</v>
      </c>
      <c r="P61" s="45">
        <f aca="true" t="shared" si="19" ref="P61:AD61">P60</f>
        <v>2238</v>
      </c>
      <c r="Q61" s="45">
        <f t="shared" si="19"/>
        <v>12561</v>
      </c>
      <c r="R61" s="45">
        <f t="shared" si="19"/>
        <v>0</v>
      </c>
      <c r="S61" s="45">
        <f t="shared" si="19"/>
        <v>0</v>
      </c>
      <c r="T61" s="45">
        <f t="shared" si="19"/>
        <v>10064</v>
      </c>
      <c r="U61" s="45">
        <f t="shared" si="19"/>
        <v>5879</v>
      </c>
      <c r="V61" s="45">
        <f t="shared" si="19"/>
        <v>4185</v>
      </c>
      <c r="W61" s="45">
        <f t="shared" si="19"/>
        <v>0</v>
      </c>
      <c r="X61" s="45">
        <f t="shared" si="19"/>
        <v>0</v>
      </c>
      <c r="Y61" s="45">
        <f>Z61+AA61+AB61+AC61</f>
        <v>2519</v>
      </c>
      <c r="Z61" s="45">
        <f t="shared" si="19"/>
        <v>2519</v>
      </c>
      <c r="AA61" s="45">
        <f t="shared" si="19"/>
        <v>0</v>
      </c>
      <c r="AB61" s="45">
        <f t="shared" si="19"/>
        <v>0</v>
      </c>
      <c r="AC61" s="45">
        <f t="shared" si="19"/>
        <v>0</v>
      </c>
      <c r="AD61" s="46">
        <f t="shared" si="19"/>
        <v>37117</v>
      </c>
      <c r="AE61" s="85">
        <f>AD60</f>
        <v>37117</v>
      </c>
      <c r="AI61" s="30"/>
      <c r="AJ61" s="8"/>
      <c r="AR61" s="8"/>
      <c r="BD61" s="8"/>
    </row>
    <row r="62" spans="1:44" ht="30" customHeight="1">
      <c r="A62" s="118" t="s">
        <v>102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20"/>
      <c r="AR62" s="2"/>
    </row>
    <row r="63" spans="1:32" ht="44.25" customHeight="1">
      <c r="A63" s="122" t="s">
        <v>97</v>
      </c>
      <c r="B63" s="121" t="s">
        <v>114</v>
      </c>
      <c r="C63" s="48" t="s">
        <v>10</v>
      </c>
      <c r="D63" s="47" t="s">
        <v>50</v>
      </c>
      <c r="E63" s="45">
        <f aca="true" t="shared" si="20" ref="E63:E80">F63+G63+H63+I63</f>
        <v>7262</v>
      </c>
      <c r="F63" s="45">
        <f>1500+238+5524</f>
        <v>7262</v>
      </c>
      <c r="G63" s="45">
        <v>0</v>
      </c>
      <c r="H63" s="45">
        <v>0</v>
      </c>
      <c r="I63" s="45">
        <v>0</v>
      </c>
      <c r="J63" s="45">
        <f>K63</f>
        <v>1606</v>
      </c>
      <c r="K63" s="45">
        <f>2484+516-799-515-80</f>
        <v>1606</v>
      </c>
      <c r="L63" s="45">
        <v>0</v>
      </c>
      <c r="M63" s="45">
        <v>0</v>
      </c>
      <c r="N63" s="45">
        <v>0</v>
      </c>
      <c r="O63" s="45">
        <f aca="true" t="shared" si="21" ref="O63:O75">P63+Q63+R63+S63</f>
        <v>4004</v>
      </c>
      <c r="P63" s="45">
        <f>4004</f>
        <v>4004</v>
      </c>
      <c r="Q63" s="45">
        <v>0</v>
      </c>
      <c r="R63" s="45">
        <v>0</v>
      </c>
      <c r="S63" s="45">
        <v>0</v>
      </c>
      <c r="T63" s="45">
        <f aca="true" t="shared" si="22" ref="T63:T75">U63+V63+W63+X63</f>
        <v>4953</v>
      </c>
      <c r="U63" s="45">
        <v>4953</v>
      </c>
      <c r="V63" s="45">
        <v>0</v>
      </c>
      <c r="W63" s="45">
        <v>0</v>
      </c>
      <c r="X63" s="45">
        <v>0</v>
      </c>
      <c r="Y63" s="45">
        <f>Z63+AA63+AB63+AC63</f>
        <v>4953</v>
      </c>
      <c r="Z63" s="45">
        <v>4953</v>
      </c>
      <c r="AA63" s="45">
        <v>0</v>
      </c>
      <c r="AB63" s="45">
        <v>0</v>
      </c>
      <c r="AC63" s="45">
        <v>0</v>
      </c>
      <c r="AD63" s="46">
        <f>Y63+T63+O63+J63+E63</f>
        <v>22778</v>
      </c>
      <c r="AE63" s="75">
        <v>4004</v>
      </c>
      <c r="AF63" s="2">
        <f>U63-AE63</f>
        <v>949</v>
      </c>
    </row>
    <row r="64" spans="1:63" ht="47.25" customHeight="1">
      <c r="A64" s="122"/>
      <c r="B64" s="121"/>
      <c r="C64" s="48" t="s">
        <v>83</v>
      </c>
      <c r="D64" s="47" t="s">
        <v>50</v>
      </c>
      <c r="E64" s="45">
        <f t="shared" si="20"/>
        <v>78</v>
      </c>
      <c r="F64" s="45">
        <v>78</v>
      </c>
      <c r="G64" s="45">
        <v>0</v>
      </c>
      <c r="H64" s="45">
        <v>0</v>
      </c>
      <c r="I64" s="45">
        <v>0</v>
      </c>
      <c r="J64" s="45">
        <f aca="true" t="shared" si="23" ref="J64:J73">K64+L64+M64+N64</f>
        <v>263</v>
      </c>
      <c r="K64" s="45">
        <v>263</v>
      </c>
      <c r="L64" s="45">
        <v>0</v>
      </c>
      <c r="M64" s="45">
        <v>0</v>
      </c>
      <c r="N64" s="45">
        <v>0</v>
      </c>
      <c r="O64" s="45">
        <f t="shared" si="21"/>
        <v>280</v>
      </c>
      <c r="P64" s="45">
        <v>280</v>
      </c>
      <c r="Q64" s="45">
        <v>0</v>
      </c>
      <c r="R64" s="45">
        <v>0</v>
      </c>
      <c r="S64" s="45">
        <v>0</v>
      </c>
      <c r="T64" s="45">
        <f t="shared" si="22"/>
        <v>286</v>
      </c>
      <c r="U64" s="45">
        <v>286</v>
      </c>
      <c r="V64" s="45">
        <v>0</v>
      </c>
      <c r="W64" s="45">
        <v>0</v>
      </c>
      <c r="X64" s="45">
        <v>0</v>
      </c>
      <c r="Y64" s="45">
        <f>Z64+AA64+AB64+AC64</f>
        <v>286</v>
      </c>
      <c r="Z64" s="45">
        <v>286</v>
      </c>
      <c r="AA64" s="45">
        <v>0</v>
      </c>
      <c r="AB64" s="45">
        <v>0</v>
      </c>
      <c r="AC64" s="45">
        <v>0</v>
      </c>
      <c r="AD64" s="46">
        <f aca="true" t="shared" si="24" ref="AD64:AD75">Y64+T64+O64+J64+E64</f>
        <v>1193</v>
      </c>
      <c r="AF64" s="2">
        <f>U64-AE64</f>
        <v>286</v>
      </c>
      <c r="BE64" s="2"/>
      <c r="BF64" s="116"/>
      <c r="BG64" s="116"/>
      <c r="BH64" s="116"/>
      <c r="BI64" s="116"/>
      <c r="BJ64" s="116"/>
      <c r="BK64" s="116"/>
    </row>
    <row r="65" spans="1:38" ht="40.5" customHeight="1">
      <c r="A65" s="49" t="s">
        <v>98</v>
      </c>
      <c r="B65" s="51" t="s">
        <v>86</v>
      </c>
      <c r="C65" s="48" t="s">
        <v>10</v>
      </c>
      <c r="D65" s="47" t="s">
        <v>121</v>
      </c>
      <c r="E65" s="45">
        <f t="shared" si="20"/>
        <v>550</v>
      </c>
      <c r="F65" s="45">
        <f>1500-950</f>
        <v>550</v>
      </c>
      <c r="G65" s="45">
        <v>0</v>
      </c>
      <c r="H65" s="45">
        <v>0</v>
      </c>
      <c r="I65" s="45">
        <v>0</v>
      </c>
      <c r="J65" s="45">
        <f t="shared" si="23"/>
        <v>0</v>
      </c>
      <c r="K65" s="45">
        <v>0</v>
      </c>
      <c r="L65" s="45">
        <v>0</v>
      </c>
      <c r="M65" s="45">
        <v>0</v>
      </c>
      <c r="N65" s="45">
        <v>0</v>
      </c>
      <c r="O65" s="45">
        <f t="shared" si="21"/>
        <v>0</v>
      </c>
      <c r="P65" s="45">
        <v>0</v>
      </c>
      <c r="Q65" s="45">
        <v>0</v>
      </c>
      <c r="R65" s="45">
        <v>0</v>
      </c>
      <c r="S65" s="45">
        <v>0</v>
      </c>
      <c r="T65" s="45">
        <f t="shared" si="22"/>
        <v>0</v>
      </c>
      <c r="U65" s="45">
        <v>0</v>
      </c>
      <c r="V65" s="45">
        <v>0</v>
      </c>
      <c r="W65" s="45">
        <v>0</v>
      </c>
      <c r="X65" s="45">
        <v>0</v>
      </c>
      <c r="Y65" s="45">
        <f>Z65+AA65+AB65+AC65</f>
        <v>0</v>
      </c>
      <c r="Z65" s="45">
        <v>0</v>
      </c>
      <c r="AA65" s="45">
        <v>0</v>
      </c>
      <c r="AB65" s="45">
        <v>0</v>
      </c>
      <c r="AC65" s="45">
        <v>0</v>
      </c>
      <c r="AD65" s="46">
        <f t="shared" si="24"/>
        <v>550</v>
      </c>
      <c r="AF65" s="2">
        <f>U65-AE65</f>
        <v>0</v>
      </c>
      <c r="AI65" s="117"/>
      <c r="AJ65" s="117"/>
      <c r="AK65" s="117"/>
      <c r="AL65" s="117"/>
    </row>
    <row r="66" spans="1:32" ht="45.75" customHeight="1">
      <c r="A66" s="49" t="s">
        <v>99</v>
      </c>
      <c r="B66" s="51" t="s">
        <v>87</v>
      </c>
      <c r="C66" s="48" t="s">
        <v>10</v>
      </c>
      <c r="D66" s="47" t="s">
        <v>50</v>
      </c>
      <c r="E66" s="45">
        <f t="shared" si="20"/>
        <v>577</v>
      </c>
      <c r="F66" s="45">
        <f>620-43</f>
        <v>577</v>
      </c>
      <c r="G66" s="45">
        <v>0</v>
      </c>
      <c r="H66" s="45">
        <v>0</v>
      </c>
      <c r="I66" s="45">
        <v>0</v>
      </c>
      <c r="J66" s="45">
        <f t="shared" si="23"/>
        <v>500</v>
      </c>
      <c r="K66" s="45">
        <f>620-95-25</f>
        <v>500</v>
      </c>
      <c r="L66" s="45">
        <v>0</v>
      </c>
      <c r="M66" s="45">
        <v>0</v>
      </c>
      <c r="N66" s="45">
        <v>0</v>
      </c>
      <c r="O66" s="45">
        <f t="shared" si="21"/>
        <v>780</v>
      </c>
      <c r="P66" s="45">
        <v>780</v>
      </c>
      <c r="Q66" s="45">
        <v>0</v>
      </c>
      <c r="R66" s="45">
        <v>0</v>
      </c>
      <c r="S66" s="45">
        <v>0</v>
      </c>
      <c r="T66" s="45">
        <f t="shared" si="22"/>
        <v>823</v>
      </c>
      <c r="U66" s="45">
        <v>823</v>
      </c>
      <c r="V66" s="45">
        <v>0</v>
      </c>
      <c r="W66" s="45">
        <v>0</v>
      </c>
      <c r="X66" s="45">
        <v>0</v>
      </c>
      <c r="Y66" s="45">
        <f>Z66+AA66+AB66+AC66</f>
        <v>823</v>
      </c>
      <c r="Z66" s="45">
        <v>823</v>
      </c>
      <c r="AA66" s="45">
        <v>0</v>
      </c>
      <c r="AB66" s="45">
        <v>0</v>
      </c>
      <c r="AC66" s="45">
        <v>0</v>
      </c>
      <c r="AD66" s="46">
        <f t="shared" si="24"/>
        <v>3503</v>
      </c>
      <c r="AE66" s="43">
        <v>780</v>
      </c>
      <c r="AF66" s="2">
        <f>U66-AE66</f>
        <v>43</v>
      </c>
    </row>
    <row r="67" spans="1:31" ht="72.75" customHeight="1">
      <c r="A67" s="49" t="s">
        <v>101</v>
      </c>
      <c r="B67" s="50" t="s">
        <v>93</v>
      </c>
      <c r="C67" s="52" t="s">
        <v>83</v>
      </c>
      <c r="D67" s="47" t="s">
        <v>50</v>
      </c>
      <c r="E67" s="45">
        <f t="shared" si="20"/>
        <v>1703.5</v>
      </c>
      <c r="F67" s="45">
        <f>1700+203.5-200</f>
        <v>1703.5</v>
      </c>
      <c r="G67" s="45">
        <v>0</v>
      </c>
      <c r="H67" s="45">
        <v>0</v>
      </c>
      <c r="I67" s="45">
        <v>0</v>
      </c>
      <c r="J67" s="45">
        <f t="shared" si="23"/>
        <v>9221</v>
      </c>
      <c r="K67" s="45">
        <f>1700+547+7280-306</f>
        <v>9221</v>
      </c>
      <c r="L67" s="45">
        <v>0</v>
      </c>
      <c r="M67" s="45">
        <v>0</v>
      </c>
      <c r="N67" s="45">
        <v>0</v>
      </c>
      <c r="O67" s="45">
        <f t="shared" si="21"/>
        <v>11234</v>
      </c>
      <c r="P67" s="45">
        <v>11234</v>
      </c>
      <c r="Q67" s="45">
        <v>0</v>
      </c>
      <c r="R67" s="45">
        <v>0</v>
      </c>
      <c r="S67" s="45">
        <v>0</v>
      </c>
      <c r="T67" s="45">
        <f t="shared" si="22"/>
        <v>10210</v>
      </c>
      <c r="U67" s="45">
        <v>10210</v>
      </c>
      <c r="V67" s="45">
        <v>0</v>
      </c>
      <c r="W67" s="45">
        <v>0</v>
      </c>
      <c r="X67" s="45">
        <v>0</v>
      </c>
      <c r="Y67" s="45">
        <f>Z67+AA67+AB67+AC67</f>
        <v>10210</v>
      </c>
      <c r="Z67" s="45">
        <v>10210</v>
      </c>
      <c r="AA67" s="45">
        <v>0</v>
      </c>
      <c r="AB67" s="45">
        <v>0</v>
      </c>
      <c r="AC67" s="45">
        <v>0</v>
      </c>
      <c r="AD67" s="46">
        <f t="shared" si="24"/>
        <v>42578.5</v>
      </c>
      <c r="AE67" s="110">
        <f>U67-Z67</f>
        <v>0</v>
      </c>
    </row>
    <row r="68" spans="1:35" s="23" customFormat="1" ht="64.5" customHeight="1">
      <c r="A68" s="143" t="s">
        <v>100</v>
      </c>
      <c r="B68" s="140" t="s">
        <v>143</v>
      </c>
      <c r="C68" s="48" t="s">
        <v>10</v>
      </c>
      <c r="D68" s="47" t="s">
        <v>134</v>
      </c>
      <c r="E68" s="45">
        <f t="shared" si="20"/>
        <v>73</v>
      </c>
      <c r="F68" s="45">
        <v>4</v>
      </c>
      <c r="G68" s="45">
        <v>69</v>
      </c>
      <c r="H68" s="45">
        <v>0</v>
      </c>
      <c r="I68" s="45">
        <v>0</v>
      </c>
      <c r="J68" s="45">
        <f t="shared" si="23"/>
        <v>0</v>
      </c>
      <c r="K68" s="45">
        <f>615-615</f>
        <v>0</v>
      </c>
      <c r="L68" s="45">
        <v>0</v>
      </c>
      <c r="M68" s="45">
        <v>0</v>
      </c>
      <c r="N68" s="45">
        <v>0</v>
      </c>
      <c r="O68" s="45">
        <f t="shared" si="21"/>
        <v>1111</v>
      </c>
      <c r="P68" s="45">
        <v>56</v>
      </c>
      <c r="Q68" s="45">
        <v>1055</v>
      </c>
      <c r="R68" s="45">
        <v>0</v>
      </c>
      <c r="S68" s="45">
        <v>0</v>
      </c>
      <c r="T68" s="45">
        <f t="shared" si="22"/>
        <v>0</v>
      </c>
      <c r="U68" s="45">
        <v>0</v>
      </c>
      <c r="V68" s="45">
        <v>0</v>
      </c>
      <c r="W68" s="45">
        <v>0</v>
      </c>
      <c r="X68" s="45">
        <v>0</v>
      </c>
      <c r="Y68" s="45">
        <f aca="true" t="shared" si="25" ref="Y68:Y75">Z68+AA68+AB68+AC68</f>
        <v>0</v>
      </c>
      <c r="Z68" s="45">
        <v>0</v>
      </c>
      <c r="AA68" s="45">
        <v>0</v>
      </c>
      <c r="AB68" s="45">
        <v>0</v>
      </c>
      <c r="AC68" s="45">
        <v>0</v>
      </c>
      <c r="AD68" s="46">
        <f t="shared" si="24"/>
        <v>1184</v>
      </c>
      <c r="AE68" s="81"/>
      <c r="AI68" s="66"/>
    </row>
    <row r="69" spans="1:35" s="23" customFormat="1" ht="63" customHeight="1">
      <c r="A69" s="153"/>
      <c r="B69" s="141"/>
      <c r="C69" s="88" t="s">
        <v>103</v>
      </c>
      <c r="D69" s="47" t="s">
        <v>113</v>
      </c>
      <c r="E69" s="45">
        <f t="shared" si="20"/>
        <v>0</v>
      </c>
      <c r="F69" s="45">
        <v>0</v>
      </c>
      <c r="G69" s="45">
        <v>0</v>
      </c>
      <c r="H69" s="45">
        <v>0</v>
      </c>
      <c r="I69" s="45">
        <v>0</v>
      </c>
      <c r="J69" s="45">
        <f t="shared" si="23"/>
        <v>238</v>
      </c>
      <c r="K69" s="45">
        <f>295-57</f>
        <v>238</v>
      </c>
      <c r="L69" s="45">
        <v>0</v>
      </c>
      <c r="M69" s="45">
        <v>0</v>
      </c>
      <c r="N69" s="45">
        <v>0</v>
      </c>
      <c r="O69" s="45">
        <f>P69+Q69+R69+S69</f>
        <v>0</v>
      </c>
      <c r="P69" s="45">
        <v>0</v>
      </c>
      <c r="Q69" s="45">
        <v>0</v>
      </c>
      <c r="R69" s="45">
        <v>0</v>
      </c>
      <c r="S69" s="45">
        <v>0</v>
      </c>
      <c r="T69" s="45">
        <f>U69+V69+W69+X69</f>
        <v>0</v>
      </c>
      <c r="U69" s="45">
        <v>0</v>
      </c>
      <c r="V69" s="45">
        <v>0</v>
      </c>
      <c r="W69" s="45">
        <v>0</v>
      </c>
      <c r="X69" s="45">
        <v>0</v>
      </c>
      <c r="Y69" s="45">
        <f t="shared" si="25"/>
        <v>0</v>
      </c>
      <c r="Z69" s="45">
        <v>0</v>
      </c>
      <c r="AA69" s="45">
        <v>0</v>
      </c>
      <c r="AB69" s="45">
        <v>0</v>
      </c>
      <c r="AC69" s="45">
        <v>0</v>
      </c>
      <c r="AD69" s="46">
        <f t="shared" si="24"/>
        <v>238</v>
      </c>
      <c r="AE69" s="81"/>
      <c r="AI69" s="66"/>
    </row>
    <row r="70" spans="1:35" s="23" customFormat="1" ht="66" customHeight="1">
      <c r="A70" s="153"/>
      <c r="B70" s="142"/>
      <c r="C70" s="48" t="s">
        <v>105</v>
      </c>
      <c r="D70" s="47" t="s">
        <v>113</v>
      </c>
      <c r="E70" s="45">
        <f t="shared" si="20"/>
        <v>0</v>
      </c>
      <c r="F70" s="45">
        <v>0</v>
      </c>
      <c r="G70" s="45">
        <v>0</v>
      </c>
      <c r="H70" s="45">
        <v>0</v>
      </c>
      <c r="I70" s="45">
        <v>0</v>
      </c>
      <c r="J70" s="45">
        <f t="shared" si="23"/>
        <v>348</v>
      </c>
      <c r="K70" s="45">
        <v>348</v>
      </c>
      <c r="L70" s="45">
        <v>0</v>
      </c>
      <c r="M70" s="45">
        <v>0</v>
      </c>
      <c r="N70" s="45">
        <v>0</v>
      </c>
      <c r="O70" s="45">
        <f>P70+Q70+R70+S70</f>
        <v>0</v>
      </c>
      <c r="P70" s="45">
        <v>0</v>
      </c>
      <c r="Q70" s="45">
        <v>0</v>
      </c>
      <c r="R70" s="45">
        <v>0</v>
      </c>
      <c r="S70" s="45">
        <v>0</v>
      </c>
      <c r="T70" s="45">
        <f>U70+V70+W70+X70</f>
        <v>0</v>
      </c>
      <c r="U70" s="45">
        <v>0</v>
      </c>
      <c r="V70" s="45">
        <v>0</v>
      </c>
      <c r="W70" s="45">
        <v>0</v>
      </c>
      <c r="X70" s="45">
        <v>0</v>
      </c>
      <c r="Y70" s="45">
        <f t="shared" si="25"/>
        <v>0</v>
      </c>
      <c r="Z70" s="45">
        <v>0</v>
      </c>
      <c r="AA70" s="45">
        <v>0</v>
      </c>
      <c r="AB70" s="45">
        <v>0</v>
      </c>
      <c r="AC70" s="45">
        <v>0</v>
      </c>
      <c r="AD70" s="46">
        <f t="shared" si="24"/>
        <v>348</v>
      </c>
      <c r="AE70" s="81"/>
      <c r="AI70" s="66"/>
    </row>
    <row r="71" spans="1:35" s="23" customFormat="1" ht="30.75" customHeight="1">
      <c r="A71" s="153"/>
      <c r="B71" s="140" t="s">
        <v>119</v>
      </c>
      <c r="C71" s="88" t="s">
        <v>103</v>
      </c>
      <c r="D71" s="47" t="s">
        <v>121</v>
      </c>
      <c r="E71" s="45">
        <f t="shared" si="20"/>
        <v>227.1</v>
      </c>
      <c r="F71" s="45">
        <v>0</v>
      </c>
      <c r="G71" s="45">
        <v>227.1</v>
      </c>
      <c r="H71" s="45">
        <v>0</v>
      </c>
      <c r="I71" s="45">
        <v>0</v>
      </c>
      <c r="J71" s="45">
        <f t="shared" si="23"/>
        <v>0</v>
      </c>
      <c r="K71" s="45">
        <v>0</v>
      </c>
      <c r="L71" s="45">
        <v>0</v>
      </c>
      <c r="M71" s="45">
        <v>0</v>
      </c>
      <c r="N71" s="45">
        <v>0</v>
      </c>
      <c r="O71" s="45">
        <f t="shared" si="21"/>
        <v>0</v>
      </c>
      <c r="P71" s="45">
        <v>0</v>
      </c>
      <c r="Q71" s="45">
        <v>0</v>
      </c>
      <c r="R71" s="45">
        <v>0</v>
      </c>
      <c r="S71" s="45">
        <v>0</v>
      </c>
      <c r="T71" s="45">
        <f t="shared" si="22"/>
        <v>0</v>
      </c>
      <c r="U71" s="45">
        <v>0</v>
      </c>
      <c r="V71" s="45">
        <v>0</v>
      </c>
      <c r="W71" s="45">
        <v>0</v>
      </c>
      <c r="X71" s="45">
        <v>0</v>
      </c>
      <c r="Y71" s="45">
        <f t="shared" si="25"/>
        <v>0</v>
      </c>
      <c r="Z71" s="45">
        <v>0</v>
      </c>
      <c r="AA71" s="45">
        <v>0</v>
      </c>
      <c r="AB71" s="45">
        <v>0</v>
      </c>
      <c r="AC71" s="45">
        <v>0</v>
      </c>
      <c r="AD71" s="46">
        <f t="shared" si="24"/>
        <v>227.1</v>
      </c>
      <c r="AE71" s="81"/>
      <c r="AI71" s="66"/>
    </row>
    <row r="72" spans="1:35" s="23" customFormat="1" ht="24" customHeight="1">
      <c r="A72" s="153"/>
      <c r="B72" s="141"/>
      <c r="C72" s="48" t="s">
        <v>104</v>
      </c>
      <c r="D72" s="47" t="s">
        <v>121</v>
      </c>
      <c r="E72" s="45">
        <f t="shared" si="20"/>
        <v>383.2</v>
      </c>
      <c r="F72" s="45">
        <v>0</v>
      </c>
      <c r="G72" s="45">
        <v>383.2</v>
      </c>
      <c r="H72" s="45">
        <v>0</v>
      </c>
      <c r="I72" s="45">
        <v>0</v>
      </c>
      <c r="J72" s="45">
        <f t="shared" si="23"/>
        <v>0</v>
      </c>
      <c r="K72" s="45">
        <v>0</v>
      </c>
      <c r="L72" s="45">
        <v>0</v>
      </c>
      <c r="M72" s="45">
        <v>0</v>
      </c>
      <c r="N72" s="45">
        <v>0</v>
      </c>
      <c r="O72" s="45">
        <f t="shared" si="21"/>
        <v>0</v>
      </c>
      <c r="P72" s="45">
        <v>0</v>
      </c>
      <c r="Q72" s="45">
        <v>0</v>
      </c>
      <c r="R72" s="45">
        <v>0</v>
      </c>
      <c r="S72" s="45">
        <v>0</v>
      </c>
      <c r="T72" s="45">
        <f t="shared" si="22"/>
        <v>0</v>
      </c>
      <c r="U72" s="45">
        <v>0</v>
      </c>
      <c r="V72" s="45">
        <v>0</v>
      </c>
      <c r="W72" s="45">
        <v>0</v>
      </c>
      <c r="X72" s="45">
        <v>0</v>
      </c>
      <c r="Y72" s="45">
        <f t="shared" si="25"/>
        <v>0</v>
      </c>
      <c r="Z72" s="45">
        <v>0</v>
      </c>
      <c r="AA72" s="45">
        <v>0</v>
      </c>
      <c r="AB72" s="45">
        <v>0</v>
      </c>
      <c r="AC72" s="45">
        <v>0</v>
      </c>
      <c r="AD72" s="46">
        <f t="shared" si="24"/>
        <v>383.2</v>
      </c>
      <c r="AE72" s="81"/>
      <c r="AI72" s="66"/>
    </row>
    <row r="73" spans="1:35" s="23" customFormat="1" ht="25.5" customHeight="1">
      <c r="A73" s="153"/>
      <c r="B73" s="142"/>
      <c r="C73" s="48" t="s">
        <v>105</v>
      </c>
      <c r="D73" s="47" t="s">
        <v>121</v>
      </c>
      <c r="E73" s="45">
        <f t="shared" si="20"/>
        <v>176.1</v>
      </c>
      <c r="F73" s="45">
        <v>0</v>
      </c>
      <c r="G73" s="45">
        <v>176.1</v>
      </c>
      <c r="H73" s="45">
        <v>0</v>
      </c>
      <c r="I73" s="45">
        <v>0</v>
      </c>
      <c r="J73" s="45">
        <f t="shared" si="23"/>
        <v>0</v>
      </c>
      <c r="K73" s="45">
        <v>0</v>
      </c>
      <c r="L73" s="45">
        <v>0</v>
      </c>
      <c r="M73" s="45">
        <v>0</v>
      </c>
      <c r="N73" s="45">
        <v>0</v>
      </c>
      <c r="O73" s="45">
        <f t="shared" si="21"/>
        <v>0</v>
      </c>
      <c r="P73" s="45">
        <v>0</v>
      </c>
      <c r="Q73" s="45">
        <v>0</v>
      </c>
      <c r="R73" s="45">
        <v>0</v>
      </c>
      <c r="S73" s="45">
        <v>0</v>
      </c>
      <c r="T73" s="45">
        <f t="shared" si="22"/>
        <v>0</v>
      </c>
      <c r="U73" s="45">
        <v>0</v>
      </c>
      <c r="V73" s="45">
        <v>0</v>
      </c>
      <c r="W73" s="45">
        <v>0</v>
      </c>
      <c r="X73" s="45">
        <v>0</v>
      </c>
      <c r="Y73" s="45">
        <f t="shared" si="25"/>
        <v>0</v>
      </c>
      <c r="Z73" s="45">
        <v>0</v>
      </c>
      <c r="AA73" s="45">
        <v>0</v>
      </c>
      <c r="AB73" s="45">
        <v>0</v>
      </c>
      <c r="AC73" s="45">
        <v>0</v>
      </c>
      <c r="AD73" s="46">
        <f t="shared" si="24"/>
        <v>176.1</v>
      </c>
      <c r="AE73" s="81"/>
      <c r="AI73" s="66"/>
    </row>
    <row r="74" spans="1:34" ht="40.5" customHeight="1">
      <c r="A74" s="143" t="s">
        <v>128</v>
      </c>
      <c r="B74" s="140" t="s">
        <v>130</v>
      </c>
      <c r="C74" s="48" t="s">
        <v>83</v>
      </c>
      <c r="D74" s="47" t="s">
        <v>138</v>
      </c>
      <c r="E74" s="45">
        <f t="shared" si="20"/>
        <v>0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f t="shared" si="21"/>
        <v>2580</v>
      </c>
      <c r="P74" s="45">
        <f>5080-2500</f>
        <v>2580</v>
      </c>
      <c r="Q74" s="45">
        <v>0</v>
      </c>
      <c r="R74" s="45">
        <v>0</v>
      </c>
      <c r="S74" s="45">
        <v>0</v>
      </c>
      <c r="T74" s="45">
        <f t="shared" si="22"/>
        <v>4080</v>
      </c>
      <c r="U74" s="45">
        <v>4080</v>
      </c>
      <c r="V74" s="45">
        <v>0</v>
      </c>
      <c r="W74" s="45">
        <v>0</v>
      </c>
      <c r="X74" s="45">
        <v>0</v>
      </c>
      <c r="Y74" s="45">
        <f t="shared" si="25"/>
        <v>4080</v>
      </c>
      <c r="Z74" s="45">
        <v>4080</v>
      </c>
      <c r="AA74" s="45">
        <v>0</v>
      </c>
      <c r="AB74" s="45">
        <v>0</v>
      </c>
      <c r="AC74" s="45">
        <v>0</v>
      </c>
      <c r="AD74" s="46">
        <f t="shared" si="24"/>
        <v>10740</v>
      </c>
      <c r="AE74" s="110">
        <f>Z74-U74</f>
        <v>0</v>
      </c>
      <c r="AF74" s="1">
        <v>181017</v>
      </c>
      <c r="AG74" s="1">
        <v>210091</v>
      </c>
      <c r="AH74" s="1">
        <f>AG74-AF74</f>
        <v>29074</v>
      </c>
    </row>
    <row r="75" spans="1:31" ht="36.75" customHeight="1">
      <c r="A75" s="144"/>
      <c r="B75" s="142"/>
      <c r="C75" s="48" t="s">
        <v>10</v>
      </c>
      <c r="D75" s="47" t="s">
        <v>129</v>
      </c>
      <c r="E75" s="45">
        <v>0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>
        <f t="shared" si="21"/>
        <v>800</v>
      </c>
      <c r="P75" s="45">
        <v>800</v>
      </c>
      <c r="Q75" s="45">
        <v>0</v>
      </c>
      <c r="R75" s="45">
        <v>0</v>
      </c>
      <c r="S75" s="45">
        <v>0</v>
      </c>
      <c r="T75" s="45">
        <f t="shared" si="22"/>
        <v>995</v>
      </c>
      <c r="U75" s="45">
        <v>995</v>
      </c>
      <c r="V75" s="45">
        <v>0</v>
      </c>
      <c r="W75" s="45">
        <v>0</v>
      </c>
      <c r="X75" s="45">
        <v>0</v>
      </c>
      <c r="Y75" s="45">
        <f t="shared" si="25"/>
        <v>995</v>
      </c>
      <c r="Z75" s="45">
        <v>995</v>
      </c>
      <c r="AA75" s="45">
        <v>0</v>
      </c>
      <c r="AB75" s="45">
        <v>0</v>
      </c>
      <c r="AC75" s="45">
        <v>0</v>
      </c>
      <c r="AD75" s="46">
        <f t="shared" si="24"/>
        <v>2790</v>
      </c>
      <c r="AE75" s="104">
        <f>T75+T66+T63</f>
        <v>6771</v>
      </c>
    </row>
    <row r="76" spans="1:57" ht="49.5" customHeight="1">
      <c r="A76" s="49"/>
      <c r="B76" s="51" t="s">
        <v>109</v>
      </c>
      <c r="C76" s="48"/>
      <c r="D76" s="47"/>
      <c r="E76" s="45">
        <f t="shared" si="20"/>
        <v>10243.5</v>
      </c>
      <c r="F76" s="45">
        <f>F68+F67+F66+F65+F64+F63+F71+F72+F73</f>
        <v>10174.5</v>
      </c>
      <c r="G76" s="45">
        <f>G68+G67+G66+G65+G64+G63</f>
        <v>69</v>
      </c>
      <c r="H76" s="45">
        <f>H68+H67+H66+H65+H64+H63+H71+H72+H73</f>
        <v>0</v>
      </c>
      <c r="I76" s="45">
        <f>I68+I67+I66+I65+I64+I63+I71+I72+I73</f>
        <v>0</v>
      </c>
      <c r="J76" s="45">
        <f>K76+L76+M76+N76</f>
        <v>12176</v>
      </c>
      <c r="K76" s="45">
        <f>K68+K67+K66+K65+K64+K63+K69+K70</f>
        <v>12176</v>
      </c>
      <c r="L76" s="45">
        <f>L68+L67+L66+L65+L64+L63+L69+L70</f>
        <v>0</v>
      </c>
      <c r="M76" s="45">
        <f>M68+M67+M66+M65+M64+M63+M69+M70</f>
        <v>0</v>
      </c>
      <c r="N76" s="45">
        <f>N68+N67+N66+N65+N64+N63+N69+N70</f>
        <v>0</v>
      </c>
      <c r="O76" s="45">
        <f>P76+Q76+R76+S76</f>
        <v>20789</v>
      </c>
      <c r="P76" s="45">
        <f>P68+P67+P66+P65+P64+P63+P69+P70+P74+P75</f>
        <v>19734</v>
      </c>
      <c r="Q76" s="45">
        <f>Q68+Q67+Q66+Q65+Q64+Q63+Q71+Q72+Q73</f>
        <v>1055</v>
      </c>
      <c r="R76" s="45">
        <f>R68+R67+R66+R65+R64+R63+R71+R72+R73</f>
        <v>0</v>
      </c>
      <c r="S76" s="45">
        <f>S68+S67+S66+S65+S64+S63+S71+S72+S73</f>
        <v>0</v>
      </c>
      <c r="T76" s="45">
        <f>U76+V76+W76+X76</f>
        <v>21347</v>
      </c>
      <c r="U76" s="45">
        <f>U68+U67+U66+U65+U64+U63+U71+U72+U73+U74+U75</f>
        <v>21347</v>
      </c>
      <c r="V76" s="45">
        <f aca="true" t="shared" si="26" ref="V76:AC76">V68+V67+V66+V65+V64+V63+V71+V72+V73+V74</f>
        <v>0</v>
      </c>
      <c r="W76" s="45">
        <f t="shared" si="26"/>
        <v>0</v>
      </c>
      <c r="X76" s="45">
        <f t="shared" si="26"/>
        <v>0</v>
      </c>
      <c r="Y76" s="45">
        <f>Z76</f>
        <v>21347</v>
      </c>
      <c r="Z76" s="45">
        <f>Z68+Z67+Z66+Z65+Z64+Z63+Z71+Z72+Z73+Z74+Z75</f>
        <v>21347</v>
      </c>
      <c r="AA76" s="45">
        <f t="shared" si="26"/>
        <v>0</v>
      </c>
      <c r="AB76" s="45">
        <f t="shared" si="26"/>
        <v>0</v>
      </c>
      <c r="AC76" s="45">
        <f t="shared" si="26"/>
        <v>0</v>
      </c>
      <c r="AD76" s="46">
        <f>Y76+T76+O76+J76+E76</f>
        <v>85902.5</v>
      </c>
      <c r="AE76" s="85">
        <f>AD63+AD64+AD65+AD66+AD67+AD68+AD69+AD70+AD74+AD75</f>
        <v>85902.5</v>
      </c>
      <c r="AF76" s="2">
        <v>12412</v>
      </c>
      <c r="AG76" s="2">
        <f>U76-AF76</f>
        <v>8935</v>
      </c>
      <c r="BE76" s="2"/>
    </row>
    <row r="77" spans="1:56" ht="43.5" customHeight="1">
      <c r="A77" s="49"/>
      <c r="B77" s="51" t="s">
        <v>117</v>
      </c>
      <c r="C77" s="48"/>
      <c r="D77" s="47"/>
      <c r="E77" s="45">
        <f>F77+G77+H77+I77</f>
        <v>786.4</v>
      </c>
      <c r="F77" s="45">
        <f>0</f>
        <v>0</v>
      </c>
      <c r="G77" s="45">
        <f>G73+G72+G71</f>
        <v>786.4</v>
      </c>
      <c r="H77" s="45">
        <f>H73+H72+H71</f>
        <v>0</v>
      </c>
      <c r="I77" s="45">
        <f>I73+I72+I71</f>
        <v>0</v>
      </c>
      <c r="J77" s="45">
        <f>K77+L77+M77+N77</f>
        <v>0</v>
      </c>
      <c r="K77" s="45">
        <f aca="true" t="shared" si="27" ref="K77:AC77">K71+K72+K73</f>
        <v>0</v>
      </c>
      <c r="L77" s="45">
        <f t="shared" si="27"/>
        <v>0</v>
      </c>
      <c r="M77" s="45">
        <f t="shared" si="27"/>
        <v>0</v>
      </c>
      <c r="N77" s="45">
        <f t="shared" si="27"/>
        <v>0</v>
      </c>
      <c r="O77" s="45">
        <f t="shared" si="27"/>
        <v>0</v>
      </c>
      <c r="P77" s="45">
        <f t="shared" si="27"/>
        <v>0</v>
      </c>
      <c r="Q77" s="45">
        <f t="shared" si="27"/>
        <v>0</v>
      </c>
      <c r="R77" s="45">
        <f t="shared" si="27"/>
        <v>0</v>
      </c>
      <c r="S77" s="45">
        <f t="shared" si="27"/>
        <v>0</v>
      </c>
      <c r="T77" s="45">
        <f t="shared" si="27"/>
        <v>0</v>
      </c>
      <c r="U77" s="45">
        <f t="shared" si="27"/>
        <v>0</v>
      </c>
      <c r="V77" s="45">
        <f t="shared" si="27"/>
        <v>0</v>
      </c>
      <c r="W77" s="45">
        <f t="shared" si="27"/>
        <v>0</v>
      </c>
      <c r="X77" s="45">
        <f t="shared" si="27"/>
        <v>0</v>
      </c>
      <c r="Y77" s="45">
        <f t="shared" si="27"/>
        <v>0</v>
      </c>
      <c r="Z77" s="45">
        <f t="shared" si="27"/>
        <v>0</v>
      </c>
      <c r="AA77" s="45">
        <f t="shared" si="27"/>
        <v>0</v>
      </c>
      <c r="AB77" s="45">
        <f t="shared" si="27"/>
        <v>0</v>
      </c>
      <c r="AC77" s="45">
        <f t="shared" si="27"/>
        <v>0</v>
      </c>
      <c r="AD77" s="46">
        <f>AD73+AD72+AD71</f>
        <v>786.4</v>
      </c>
      <c r="BD77" s="2"/>
    </row>
    <row r="78" spans="1:65" s="9" customFormat="1" ht="60" customHeight="1">
      <c r="A78" s="53"/>
      <c r="B78" s="54" t="s">
        <v>115</v>
      </c>
      <c r="C78" s="55"/>
      <c r="D78" s="56"/>
      <c r="E78" s="57">
        <f>F78+G78+H78+I78</f>
        <v>396163</v>
      </c>
      <c r="F78" s="57">
        <f aca="true" t="shared" si="28" ref="F78:AC78">F76+F61+F58+F51+F36+F30</f>
        <v>388653</v>
      </c>
      <c r="G78" s="57">
        <f t="shared" si="28"/>
        <v>7510</v>
      </c>
      <c r="H78" s="57">
        <f t="shared" si="28"/>
        <v>0</v>
      </c>
      <c r="I78" s="57">
        <f t="shared" si="28"/>
        <v>0</v>
      </c>
      <c r="J78" s="57">
        <f>J76+J61+J58+J51+J36+J30</f>
        <v>452748</v>
      </c>
      <c r="K78" s="57">
        <f t="shared" si="28"/>
        <v>448309</v>
      </c>
      <c r="L78" s="57">
        <f t="shared" si="28"/>
        <v>4439</v>
      </c>
      <c r="M78" s="57">
        <f t="shared" si="28"/>
        <v>0</v>
      </c>
      <c r="N78" s="57">
        <f t="shared" si="28"/>
        <v>0</v>
      </c>
      <c r="O78" s="57">
        <f>O76+O61+O58+O51+O36+O30</f>
        <v>479661</v>
      </c>
      <c r="P78" s="57">
        <f t="shared" si="28"/>
        <v>466045</v>
      </c>
      <c r="Q78" s="57">
        <f t="shared" si="28"/>
        <v>13616</v>
      </c>
      <c r="R78" s="57">
        <f t="shared" si="28"/>
        <v>0</v>
      </c>
      <c r="S78" s="57">
        <f t="shared" si="28"/>
        <v>0</v>
      </c>
      <c r="T78" s="57">
        <f t="shared" si="28"/>
        <v>624343</v>
      </c>
      <c r="U78" s="57">
        <f t="shared" si="28"/>
        <v>620158</v>
      </c>
      <c r="V78" s="57">
        <f t="shared" si="28"/>
        <v>4185</v>
      </c>
      <c r="W78" s="57">
        <f t="shared" si="28"/>
        <v>0</v>
      </c>
      <c r="X78" s="57">
        <f t="shared" si="28"/>
        <v>0</v>
      </c>
      <c r="Y78" s="57">
        <f>Y76+Y61+Y58+Y51+Y36+Y30</f>
        <v>563052</v>
      </c>
      <c r="Z78" s="57">
        <f>Z76+Z61+Z58+Z51+Z36+Z30</f>
        <v>563052</v>
      </c>
      <c r="AA78" s="57">
        <f t="shared" si="28"/>
        <v>0</v>
      </c>
      <c r="AB78" s="57">
        <f t="shared" si="28"/>
        <v>0</v>
      </c>
      <c r="AC78" s="57">
        <f t="shared" si="28"/>
        <v>0</v>
      </c>
      <c r="AD78" s="114">
        <f>AD76+AD61+AD58+AD51+AD36+AD30</f>
        <v>2515967</v>
      </c>
      <c r="AE78" s="86">
        <f>F78+K78+P78+U78+Z78</f>
        <v>2486217</v>
      </c>
      <c r="AF78" s="87">
        <f>G78+L78+Q78+V78+AA78</f>
        <v>29750</v>
      </c>
      <c r="AG78" s="87">
        <f>AE78+AF78</f>
        <v>2515967</v>
      </c>
      <c r="AH78" s="8"/>
      <c r="AI78" s="30"/>
      <c r="AJ78" s="8"/>
      <c r="AK78" s="8"/>
      <c r="AL78" s="8"/>
      <c r="AR78" s="8"/>
      <c r="AS78" s="36"/>
      <c r="AT78" s="8"/>
      <c r="BD78" s="8"/>
      <c r="BE78" s="8"/>
      <c r="BF78" s="8"/>
      <c r="BH78" s="8"/>
      <c r="BK78" s="8"/>
      <c r="BM78" s="37"/>
    </row>
    <row r="79" spans="1:61" ht="48" customHeight="1">
      <c r="A79" s="49"/>
      <c r="B79" s="58" t="s">
        <v>116</v>
      </c>
      <c r="C79" s="48"/>
      <c r="D79" s="47"/>
      <c r="E79" s="45">
        <f>F79+G79+H79+I79</f>
        <v>786.4</v>
      </c>
      <c r="F79" s="45">
        <f>F73+F72+F71</f>
        <v>0</v>
      </c>
      <c r="G79" s="45">
        <f>G73+G72+G71</f>
        <v>786.4</v>
      </c>
      <c r="H79" s="45">
        <f>H73+H72+H71</f>
        <v>0</v>
      </c>
      <c r="I79" s="45">
        <f>I73+I72+I71</f>
        <v>0</v>
      </c>
      <c r="J79" s="45">
        <f>J73+J72+J71</f>
        <v>0</v>
      </c>
      <c r="K79" s="45">
        <v>0</v>
      </c>
      <c r="L79" s="45">
        <f aca="true" t="shared" si="29" ref="L79:AC79">L73+L72+L71</f>
        <v>0</v>
      </c>
      <c r="M79" s="45">
        <f t="shared" si="29"/>
        <v>0</v>
      </c>
      <c r="N79" s="45">
        <f t="shared" si="29"/>
        <v>0</v>
      </c>
      <c r="O79" s="45">
        <f t="shared" si="29"/>
        <v>0</v>
      </c>
      <c r="P79" s="45">
        <f t="shared" si="29"/>
        <v>0</v>
      </c>
      <c r="Q79" s="45">
        <f t="shared" si="29"/>
        <v>0</v>
      </c>
      <c r="R79" s="45">
        <f t="shared" si="29"/>
        <v>0</v>
      </c>
      <c r="S79" s="45">
        <f t="shared" si="29"/>
        <v>0</v>
      </c>
      <c r="T79" s="45">
        <f t="shared" si="29"/>
        <v>0</v>
      </c>
      <c r="U79" s="45">
        <f t="shared" si="29"/>
        <v>0</v>
      </c>
      <c r="V79" s="45">
        <f t="shared" si="29"/>
        <v>0</v>
      </c>
      <c r="W79" s="45">
        <f t="shared" si="29"/>
        <v>0</v>
      </c>
      <c r="X79" s="45">
        <f t="shared" si="29"/>
        <v>0</v>
      </c>
      <c r="Y79" s="45">
        <f t="shared" si="29"/>
        <v>0</v>
      </c>
      <c r="Z79" s="45">
        <f t="shared" si="29"/>
        <v>0</v>
      </c>
      <c r="AA79" s="45">
        <f t="shared" si="29"/>
        <v>0</v>
      </c>
      <c r="AB79" s="45">
        <f t="shared" si="29"/>
        <v>0</v>
      </c>
      <c r="AC79" s="45">
        <f t="shared" si="29"/>
        <v>0</v>
      </c>
      <c r="AD79" s="46">
        <f>AD73+AD72+AD71+K79</f>
        <v>786.4</v>
      </c>
      <c r="AE79" s="75">
        <f>E78+J78+O78+T78+Y78</f>
        <v>2515967</v>
      </c>
      <c r="AF79" s="2"/>
      <c r="AG79" s="10">
        <f>AF78-AI78</f>
        <v>29750</v>
      </c>
      <c r="AJ79" s="2"/>
      <c r="AR79" s="2"/>
      <c r="BE79" s="2"/>
      <c r="BF79" s="2"/>
      <c r="BH79" s="2"/>
      <c r="BI79" s="2"/>
    </row>
    <row r="80" spans="1:56" s="9" customFormat="1" ht="64.5" customHeight="1" thickBot="1">
      <c r="A80" s="59"/>
      <c r="B80" s="60" t="s">
        <v>118</v>
      </c>
      <c r="C80" s="61"/>
      <c r="D80" s="62"/>
      <c r="E80" s="63">
        <f t="shared" si="20"/>
        <v>396949.4</v>
      </c>
      <c r="F80" s="63">
        <f>F79+F78</f>
        <v>388653</v>
      </c>
      <c r="G80" s="63">
        <f aca="true" t="shared" si="30" ref="G80:S80">G79+G78</f>
        <v>8296.4</v>
      </c>
      <c r="H80" s="63">
        <f t="shared" si="30"/>
        <v>0</v>
      </c>
      <c r="I80" s="63">
        <f t="shared" si="30"/>
        <v>0</v>
      </c>
      <c r="J80" s="63">
        <f t="shared" si="30"/>
        <v>452748</v>
      </c>
      <c r="K80" s="63">
        <f>K79+K78</f>
        <v>448309</v>
      </c>
      <c r="L80" s="63">
        <f t="shared" si="30"/>
        <v>4439</v>
      </c>
      <c r="M80" s="63">
        <f t="shared" si="30"/>
        <v>0</v>
      </c>
      <c r="N80" s="63">
        <f t="shared" si="30"/>
        <v>0</v>
      </c>
      <c r="O80" s="63">
        <f>O79+O78</f>
        <v>479661</v>
      </c>
      <c r="P80" s="63">
        <f t="shared" si="30"/>
        <v>466045</v>
      </c>
      <c r="Q80" s="63">
        <f t="shared" si="30"/>
        <v>13616</v>
      </c>
      <c r="R80" s="63">
        <f t="shared" si="30"/>
        <v>0</v>
      </c>
      <c r="S80" s="63">
        <f t="shared" si="30"/>
        <v>0</v>
      </c>
      <c r="T80" s="63">
        <f>U80+V80+W80+X80</f>
        <v>624343</v>
      </c>
      <c r="U80" s="63">
        <f>U58+U30+U51+U36+U61+U76+U79</f>
        <v>620158</v>
      </c>
      <c r="V80" s="63">
        <f>V58+V30+V51+V36+V61+V76+V79</f>
        <v>4185</v>
      </c>
      <c r="W80" s="63">
        <f>W61</f>
        <v>0</v>
      </c>
      <c r="X80" s="63">
        <f>X61</f>
        <v>0</v>
      </c>
      <c r="Y80" s="63">
        <f>Z80+AA80+AB80+AC80</f>
        <v>563052</v>
      </c>
      <c r="Z80" s="63">
        <f>Z58+Z30+Z51+Z36+Z61+Z76</f>
        <v>563052</v>
      </c>
      <c r="AA80" s="63">
        <v>0</v>
      </c>
      <c r="AB80" s="63">
        <f>AB61</f>
        <v>0</v>
      </c>
      <c r="AC80" s="63">
        <f>AC61</f>
        <v>0</v>
      </c>
      <c r="AD80" s="64" t="s">
        <v>106</v>
      </c>
      <c r="AE80" s="76">
        <f>E78+J78+O78+T103+Y103</f>
        <v>2382416</v>
      </c>
      <c r="AF80" s="8">
        <f>F78+K78+P78+T103+Y103</f>
        <v>2356851</v>
      </c>
      <c r="AG80" s="9">
        <v>2236450</v>
      </c>
      <c r="AH80" s="8">
        <f>AD103-AG80</f>
        <v>145966</v>
      </c>
      <c r="AI80" s="30"/>
      <c r="AJ80" s="30"/>
      <c r="AL80" s="8"/>
      <c r="AR80" s="8"/>
      <c r="AT80" s="8"/>
      <c r="BD80" s="8"/>
    </row>
    <row r="81" spans="1:45" ht="26.25" customHeight="1">
      <c r="A81" s="24"/>
      <c r="B81" s="133"/>
      <c r="C81" s="133"/>
      <c r="D81" s="133"/>
      <c r="E81" s="133"/>
      <c r="F81" s="133"/>
      <c r="G81" s="133"/>
      <c r="H81" s="133"/>
      <c r="I81" s="133"/>
      <c r="J81" s="133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9"/>
      <c r="V81" s="68"/>
      <c r="W81" s="68"/>
      <c r="X81" s="68"/>
      <c r="Y81" s="20"/>
      <c r="Z81" s="20"/>
      <c r="AA81" s="20"/>
      <c r="AB81" s="20"/>
      <c r="AC81" s="20"/>
      <c r="AD81" s="22"/>
      <c r="AE81" s="75">
        <f>G78+L78+Q78+V78</f>
        <v>29750</v>
      </c>
      <c r="AJ81" s="2"/>
      <c r="AK81" s="18"/>
      <c r="AL81" s="2"/>
      <c r="AS81" s="2"/>
    </row>
    <row r="82" spans="1:31" ht="15" hidden="1">
      <c r="A82" s="6"/>
      <c r="B82" s="3"/>
      <c r="C82" s="3"/>
      <c r="D82" s="6"/>
      <c r="E82" s="3"/>
      <c r="F82" s="4"/>
      <c r="G82" s="4"/>
      <c r="H82" s="3"/>
      <c r="I82" s="5"/>
      <c r="J82" s="3"/>
      <c r="K82" s="5"/>
      <c r="L82" s="3"/>
      <c r="M82" s="3"/>
      <c r="N82" s="3"/>
      <c r="O82" s="20"/>
      <c r="P82" s="20"/>
      <c r="Q82" s="20"/>
      <c r="R82" s="20"/>
      <c r="S82" s="20"/>
      <c r="T82" s="22"/>
      <c r="U82" s="25"/>
      <c r="V82" s="70"/>
      <c r="W82" s="20"/>
      <c r="X82" s="20"/>
      <c r="Y82" s="22"/>
      <c r="Z82" s="24"/>
      <c r="AA82" s="20"/>
      <c r="AB82" s="20"/>
      <c r="AC82" s="20"/>
      <c r="AD82" s="22"/>
      <c r="AE82" s="75"/>
    </row>
    <row r="83" spans="1:30" ht="15" hidden="1">
      <c r="A83" s="6"/>
      <c r="B83" s="3"/>
      <c r="C83" s="3"/>
      <c r="D83" s="6"/>
      <c r="E83" s="3"/>
      <c r="F83" s="28"/>
      <c r="G83" s="28"/>
      <c r="H83" s="28"/>
      <c r="I83" s="28"/>
      <c r="J83" s="28"/>
      <c r="K83" s="28"/>
      <c r="L83" s="28"/>
      <c r="M83" s="28"/>
      <c r="N83" s="28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</row>
    <row r="84" spans="1:30" ht="15" hidden="1">
      <c r="A84" s="6"/>
      <c r="B84" s="3"/>
      <c r="C84" s="3"/>
      <c r="D84" s="6"/>
      <c r="E84" s="3"/>
      <c r="F84" s="27"/>
      <c r="G84" s="4"/>
      <c r="H84" s="27"/>
      <c r="I84" s="27"/>
      <c r="J84" s="27"/>
      <c r="K84" s="28"/>
      <c r="L84" s="27"/>
      <c r="M84" s="27"/>
      <c r="N84" s="27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20"/>
      <c r="AD84" s="22"/>
    </row>
    <row r="85" spans="1:30" ht="15" hidden="1">
      <c r="A85" s="6"/>
      <c r="B85" s="3"/>
      <c r="C85" s="3"/>
      <c r="D85" s="6"/>
      <c r="E85" s="4"/>
      <c r="F85" s="28"/>
      <c r="G85" s="5"/>
      <c r="H85" s="3"/>
      <c r="I85" s="3"/>
      <c r="J85" s="28"/>
      <c r="K85" s="28"/>
      <c r="L85" s="5"/>
      <c r="M85" s="3"/>
      <c r="N85" s="3"/>
      <c r="O85" s="20"/>
      <c r="P85" s="71"/>
      <c r="Q85" s="21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1"/>
    </row>
    <row r="86" spans="1:30" ht="15" hidden="1">
      <c r="A86" s="6"/>
      <c r="B86" s="3"/>
      <c r="C86" s="3"/>
      <c r="D86" s="6"/>
      <c r="E86" s="3"/>
      <c r="F86" s="3"/>
      <c r="G86" s="3"/>
      <c r="H86" s="3"/>
      <c r="I86" s="3"/>
      <c r="J86" s="3"/>
      <c r="K86" s="3"/>
      <c r="L86" s="3"/>
      <c r="M86" s="3"/>
      <c r="N86" s="3"/>
      <c r="O86" s="22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</row>
    <row r="87" spans="1:30" ht="15" hidden="1">
      <c r="A87" s="6"/>
      <c r="B87" s="3"/>
      <c r="C87" s="3"/>
      <c r="D87" s="6"/>
      <c r="E87" s="28"/>
      <c r="F87" s="3"/>
      <c r="G87" s="3"/>
      <c r="H87" s="3"/>
      <c r="I87" s="3"/>
      <c r="J87" s="28"/>
      <c r="K87" s="3"/>
      <c r="L87" s="3"/>
      <c r="M87" s="3"/>
      <c r="N87" s="3"/>
      <c r="O87" s="22"/>
      <c r="P87" s="20"/>
      <c r="Q87" s="21"/>
      <c r="R87" s="20"/>
      <c r="S87" s="20"/>
      <c r="T87" s="20"/>
      <c r="U87" s="20"/>
      <c r="V87" s="20"/>
      <c r="W87" s="20"/>
      <c r="X87" s="20"/>
      <c r="Y87" s="21"/>
      <c r="Z87" s="20"/>
      <c r="AA87" s="20"/>
      <c r="AB87" s="20"/>
      <c r="AC87" s="20"/>
      <c r="AD87" s="21"/>
    </row>
    <row r="88" spans="1:30" ht="15" hidden="1">
      <c r="A88" s="6"/>
      <c r="B88" s="3"/>
      <c r="C88" s="3"/>
      <c r="D88" s="6"/>
      <c r="E88" s="3"/>
      <c r="F88" s="3"/>
      <c r="G88" s="3"/>
      <c r="H88" s="3"/>
      <c r="I88" s="3"/>
      <c r="J88" s="3"/>
      <c r="K88" s="3"/>
      <c r="L88" s="3"/>
      <c r="M88" s="3"/>
      <c r="N88" s="3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</row>
    <row r="89" spans="21:30" ht="18.75" hidden="1">
      <c r="U89" s="73"/>
      <c r="AD89" s="65"/>
    </row>
    <row r="90" ht="15" hidden="1">
      <c r="U90" s="19"/>
    </row>
    <row r="91" spans="6:15" ht="15" hidden="1">
      <c r="F91" s="29"/>
      <c r="J91" s="29"/>
      <c r="O91" s="19"/>
    </row>
    <row r="92" spans="6:21" ht="15" hidden="1">
      <c r="F92" s="29"/>
      <c r="G92" s="2"/>
      <c r="K92" s="2"/>
      <c r="O92" s="65"/>
      <c r="P92" s="65"/>
      <c r="U92" s="19"/>
    </row>
    <row r="93" ht="15" hidden="1">
      <c r="AA93" s="66"/>
    </row>
    <row r="94" ht="15" hidden="1"/>
    <row r="95" ht="15" hidden="1"/>
    <row r="96" ht="15" hidden="1"/>
    <row r="97" spans="5:36" ht="15" hidden="1">
      <c r="E97" s="16"/>
      <c r="J97" s="1">
        <v>418868</v>
      </c>
      <c r="K97" s="2">
        <f>K67+K64+K57+K54+K25+K24+K23+K22+K19+K17+K15+K13+K11+K9</f>
        <v>176056</v>
      </c>
      <c r="L97" s="2">
        <f>L67+L64+L57+L54+L25+L24+L23+L22+L19+L17+L15+L13+L11+L9</f>
        <v>0</v>
      </c>
      <c r="M97" s="2">
        <f>M67+M64+M57+M54+M25+M24+M23+M22+M19+M17+M15+M13+M11+M9</f>
        <v>0</v>
      </c>
      <c r="N97" s="2">
        <f>N67+N64+N57+N54+N25+N24+N23+N22+N19+N17+N15+N13+N11+N9</f>
        <v>0</v>
      </c>
      <c r="O97" s="65">
        <f>P97</f>
        <v>213534</v>
      </c>
      <c r="P97" s="65">
        <f>P67+P64+P58+P54+P25+P24+P23+P22+P19+P17+P15+P13+P11+P9</f>
        <v>213534</v>
      </c>
      <c r="Q97" s="65">
        <f>Q67+Q64+Q58+Q54+Q25+Q24+Q23+Q22+Q19+Q17+Q15+Q13+Q11+Q9</f>
        <v>0</v>
      </c>
      <c r="R97" s="65">
        <f>R67+R64+R58+R54+R25+R24+R23+R22+R19+R17+R15+R13+R11+R9</f>
        <v>0</v>
      </c>
      <c r="S97" s="65">
        <f>S67+S64+S58+S54+S25+S24+S23+S22+S19+S17+S15+S13+S11+S9</f>
        <v>0</v>
      </c>
      <c r="T97" s="65">
        <f>T67+T64+T57+T54+T25+T24+T23+T22+T19+T17+T15+T13+T11+T9</f>
        <v>215935</v>
      </c>
      <c r="U97" s="65">
        <f>U67+U64+U57+U54+U25+U24+U23+U22+U19+U17+U15+U13+U11+U9</f>
        <v>215935</v>
      </c>
      <c r="AD97" s="74"/>
      <c r="AJ97" s="18"/>
    </row>
    <row r="98" spans="6:46" ht="15" hidden="1">
      <c r="F98" s="2"/>
      <c r="J98" s="16"/>
      <c r="AT98" s="2"/>
    </row>
    <row r="99" spans="6:36" ht="15" hidden="1">
      <c r="F99" s="2">
        <f>383540</f>
        <v>383540</v>
      </c>
      <c r="I99" s="2">
        <f>388653-F78</f>
        <v>0</v>
      </c>
      <c r="J99" s="16"/>
      <c r="AA99" s="65"/>
      <c r="AD99" s="74"/>
      <c r="AJ99" s="18"/>
    </row>
    <row r="100" spans="6:12" ht="15" hidden="1">
      <c r="F100" s="2">
        <f>F78-F99</f>
        <v>5113</v>
      </c>
      <c r="L100" s="2"/>
    </row>
    <row r="101" ht="15" hidden="1"/>
    <row r="102" ht="15">
      <c r="AA102" s="74"/>
    </row>
    <row r="103" spans="10:32" ht="15" hidden="1">
      <c r="J103" s="16"/>
      <c r="L103" s="2"/>
      <c r="P103" s="74">
        <v>480848</v>
      </c>
      <c r="T103" s="23">
        <v>530494</v>
      </c>
      <c r="Y103" s="23">
        <v>523350</v>
      </c>
      <c r="AD103" s="109">
        <f>E78+J78+O78+T103+Y103</f>
        <v>2382416</v>
      </c>
      <c r="AE103" s="90">
        <f>F78+K78+P78+T104+Y103</f>
        <v>2352666</v>
      </c>
      <c r="AF103" s="2">
        <f>AD103-AD78</f>
        <v>-133551</v>
      </c>
    </row>
    <row r="104" spans="10:21" ht="15" hidden="1">
      <c r="J104" s="16"/>
      <c r="K104" s="16">
        <f>K78+L78</f>
        <v>452748</v>
      </c>
      <c r="P104" s="65">
        <f>P78-P103</f>
        <v>-14803</v>
      </c>
      <c r="T104" s="23">
        <f>T103-4185</f>
        <v>526309</v>
      </c>
      <c r="U104" s="65">
        <f>T104-U78</f>
        <v>-93849</v>
      </c>
    </row>
    <row r="105" spans="10:31" ht="15" hidden="1">
      <c r="J105" s="16"/>
      <c r="O105" s="74">
        <f>P78+Q78</f>
        <v>479661</v>
      </c>
      <c r="T105" s="23">
        <f>T104+4405</f>
        <v>530714</v>
      </c>
      <c r="Y105" s="65">
        <f>Y103-Y78</f>
        <v>-39702</v>
      </c>
      <c r="AE105" s="90">
        <f>AD103-AE103</f>
        <v>29750</v>
      </c>
    </row>
    <row r="106" spans="11:21" ht="15" hidden="1">
      <c r="K106" s="2"/>
      <c r="T106" s="109">
        <v>453939</v>
      </c>
      <c r="U106" s="74"/>
    </row>
    <row r="107" ht="15" hidden="1"/>
    <row r="108" spans="10:31" ht="15" hidden="1">
      <c r="J108" s="2"/>
      <c r="P108" s="74"/>
      <c r="T108" s="65">
        <f>T103-T106</f>
        <v>76555</v>
      </c>
      <c r="Y108" s="65">
        <f>Y103-T106</f>
        <v>69411</v>
      </c>
      <c r="AE108" s="90">
        <f>G78+L78+Q78</f>
        <v>25565</v>
      </c>
    </row>
    <row r="109" ht="15" hidden="1">
      <c r="P109" s="74">
        <f>P78+21965-1250</f>
        <v>486760</v>
      </c>
    </row>
    <row r="110" ht="15" hidden="1">
      <c r="T110" s="65">
        <f>T104-T106</f>
        <v>72370</v>
      </c>
    </row>
    <row r="111" ht="15" hidden="1">
      <c r="Y111" s="74">
        <f>T108+Y108</f>
        <v>145966</v>
      </c>
    </row>
    <row r="112" ht="15" hidden="1">
      <c r="Y112" s="65">
        <f>Y111-AH80</f>
        <v>0</v>
      </c>
    </row>
    <row r="113" spans="20:21" ht="15" hidden="1">
      <c r="T113" s="74">
        <f>T78-214496</f>
        <v>409847</v>
      </c>
      <c r="U113" s="74">
        <f>T113-U26-U27</f>
        <v>391150</v>
      </c>
    </row>
    <row r="114" ht="15" hidden="1">
      <c r="U114" s="74">
        <f>U113-U50</f>
        <v>385938</v>
      </c>
    </row>
    <row r="115" ht="15" hidden="1"/>
    <row r="116" ht="15" hidden="1"/>
    <row r="117" ht="15" hidden="1"/>
    <row r="119" spans="20:21" ht="15">
      <c r="T119" s="74"/>
      <c r="U119" s="19"/>
    </row>
  </sheetData>
  <sheetProtection/>
  <mergeCells count="66">
    <mergeCell ref="B12:B13"/>
    <mergeCell ref="B16:B17"/>
    <mergeCell ref="B14:B15"/>
    <mergeCell ref="B53:B54"/>
    <mergeCell ref="A68:A73"/>
    <mergeCell ref="A1:AD1"/>
    <mergeCell ref="J3:N3"/>
    <mergeCell ref="B8:B9"/>
    <mergeCell ref="A7:AD7"/>
    <mergeCell ref="T3:X3"/>
    <mergeCell ref="A14:A15"/>
    <mergeCell ref="A6:AD6"/>
    <mergeCell ref="A8:A9"/>
    <mergeCell ref="B63:B64"/>
    <mergeCell ref="A12:A13"/>
    <mergeCell ref="AD3:AD4"/>
    <mergeCell ref="B18:B19"/>
    <mergeCell ref="A2:A4"/>
    <mergeCell ref="O3:S3"/>
    <mergeCell ref="E3:I3"/>
    <mergeCell ref="B81:J81"/>
    <mergeCell ref="A37:AD37"/>
    <mergeCell ref="A52:AD52"/>
    <mergeCell ref="A18:A19"/>
    <mergeCell ref="A31:AD31"/>
    <mergeCell ref="B68:B70"/>
    <mergeCell ref="B71:B73"/>
    <mergeCell ref="B74:B75"/>
    <mergeCell ref="A74:A75"/>
    <mergeCell ref="A53:A54"/>
    <mergeCell ref="BF14:BK14"/>
    <mergeCell ref="A16:A17"/>
    <mergeCell ref="B10:B11"/>
    <mergeCell ref="A10:A11"/>
    <mergeCell ref="BF54:BK54"/>
    <mergeCell ref="BF17:BK17"/>
    <mergeCell ref="BF18:BK18"/>
    <mergeCell ref="BF20:BK20"/>
    <mergeCell ref="BF13:BK13"/>
    <mergeCell ref="BF15:BK16"/>
    <mergeCell ref="D2:D4"/>
    <mergeCell ref="E2:AD2"/>
    <mergeCell ref="B2:B4"/>
    <mergeCell ref="C2:C4"/>
    <mergeCell ref="Y3:AC3"/>
    <mergeCell ref="BF19:BK19"/>
    <mergeCell ref="BF9:BK9"/>
    <mergeCell ref="BF10:BK10"/>
    <mergeCell ref="BF11:BK11"/>
    <mergeCell ref="BF12:BK12"/>
    <mergeCell ref="BF21:BK21"/>
    <mergeCell ref="BF22:BK22"/>
    <mergeCell ref="BF23:BK23"/>
    <mergeCell ref="BF24:BK24"/>
    <mergeCell ref="BF25:BK25"/>
    <mergeCell ref="BF56:BK56"/>
    <mergeCell ref="BF57:BK57"/>
    <mergeCell ref="BF64:BK64"/>
    <mergeCell ref="AI65:AL65"/>
    <mergeCell ref="A62:AD62"/>
    <mergeCell ref="B56:B57"/>
    <mergeCell ref="AI57:AK57"/>
    <mergeCell ref="AI56:AR56"/>
    <mergeCell ref="A59:AD59"/>
    <mergeCell ref="A63:A64"/>
    <mergeCell ref="A56:A57"/>
  </mergeCells>
  <printOptions horizontalCentered="1" verticalCentered="1"/>
  <pageMargins left="0.2362204724409449" right="0.2362204724409449" top="0.7874015748031497" bottom="0.31496062992125984" header="0.11811023622047245" footer="0.2362204724409449"/>
  <pageSetup firstPageNumber="4" useFirstPageNumber="1" horizontalDpi="600" verticalDpi="600" orientation="landscape" pageOrder="overThenDown" paperSize="9" scale="59" r:id="rId1"/>
  <headerFooter differentFirst="1">
    <oddHeader>&amp;C&amp;"Times New Roman,обычный"&amp;12&amp;P</oddHeader>
    <firstHeader>&amp;C&amp;"Times New Roman,обычный"&amp;12&amp;P&amp;R&amp;"Times New Roman,обычный"Приложение к постановлению 
администрации городского округа Тольятти
от__________№_________
Приложение № 1 к муниципальной программе
 "Тольятти - чистый город на 2020-2024 годы"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cityhall</dc:creator>
  <cp:keywords/>
  <dc:description/>
  <cp:lastModifiedBy>Рогачева Елена Евгеньевна</cp:lastModifiedBy>
  <cp:lastPrinted>2023-07-10T11:45:20Z</cp:lastPrinted>
  <dcterms:created xsi:type="dcterms:W3CDTF">2009-09-03T06:56:12Z</dcterms:created>
  <dcterms:modified xsi:type="dcterms:W3CDTF">2023-07-11T06:40:55Z</dcterms:modified>
  <cp:category/>
  <cp:version/>
  <cp:contentType/>
  <cp:contentStatus/>
</cp:coreProperties>
</file>