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5180" windowHeight="62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Лист1!$10:$11</definedName>
    <definedName name="_xlnm.Print_Area" localSheetId="0">Лист1!$A$1:$AK$89</definedName>
  </definedNames>
  <calcPr calcId="145621"/>
</workbook>
</file>

<file path=xl/calcChain.xml><?xml version="1.0" encoding="utf-8"?>
<calcChain xmlns="http://schemas.openxmlformats.org/spreadsheetml/2006/main">
  <c r="O70" i="1" l="1"/>
  <c r="P70" i="1"/>
  <c r="O69" i="1"/>
  <c r="P69" i="1"/>
  <c r="R72" i="1"/>
  <c r="R73" i="1"/>
  <c r="R74" i="1"/>
  <c r="R68" i="1"/>
  <c r="R67" i="1"/>
  <c r="R66" i="1"/>
  <c r="R64" i="1"/>
  <c r="P71" i="1"/>
  <c r="Q71" i="1"/>
  <c r="R69" i="1" l="1"/>
  <c r="Q31" i="1"/>
  <c r="Q30" i="1" l="1"/>
  <c r="Q79" i="1"/>
  <c r="Q63" i="1"/>
  <c r="Q58" i="1"/>
  <c r="Q56" i="1"/>
  <c r="Q53" i="1"/>
  <c r="Q50" i="1"/>
  <c r="Q41" i="1"/>
  <c r="Q34" i="1"/>
  <c r="Q24" i="1"/>
  <c r="Q19" i="1"/>
  <c r="Q15" i="1"/>
  <c r="Q12" i="1"/>
  <c r="P17" i="1"/>
  <c r="P31" i="1"/>
  <c r="Q48" i="1" l="1"/>
  <c r="Q89" i="1" s="1"/>
  <c r="P86" i="1"/>
  <c r="P40" i="1" l="1"/>
  <c r="AK86" i="1" l="1"/>
  <c r="AC86" i="1"/>
  <c r="P79" i="1"/>
  <c r="AK46" i="1" l="1"/>
  <c r="AC46" i="1"/>
  <c r="P35" i="1" l="1"/>
  <c r="R39" i="1"/>
  <c r="P44" i="1" l="1"/>
  <c r="P13" i="1"/>
  <c r="R16" i="1" l="1"/>
  <c r="P15" i="1"/>
  <c r="P46" i="1" l="1"/>
  <c r="P82" i="1"/>
  <c r="P75" i="1"/>
  <c r="P33" i="1"/>
  <c r="P59" i="1" l="1"/>
  <c r="P58" i="1" s="1"/>
  <c r="P57" i="1"/>
  <c r="R57" i="1" s="1"/>
  <c r="P55" i="1"/>
  <c r="P53" i="1" s="1"/>
  <c r="P52" i="1"/>
  <c r="P50" i="1"/>
  <c r="AK59" i="1"/>
  <c r="AJ58" i="1"/>
  <c r="AJ48" i="1" s="1"/>
  <c r="AJ89" i="1" s="1"/>
  <c r="AC59" i="1"/>
  <c r="AB58" i="1"/>
  <c r="AB49" i="1"/>
  <c r="AC49" i="1" s="1"/>
  <c r="AB63" i="1"/>
  <c r="P61" i="1"/>
  <c r="P29" i="1"/>
  <c r="R29" i="1" s="1"/>
  <c r="R42" i="1"/>
  <c r="R43" i="1"/>
  <c r="R83" i="1"/>
  <c r="R78" i="1"/>
  <c r="R77" i="1"/>
  <c r="R76" i="1"/>
  <c r="R62" i="1"/>
  <c r="R49" i="1"/>
  <c r="R45" i="1"/>
  <c r="R33" i="1"/>
  <c r="P63" i="1"/>
  <c r="P41" i="1"/>
  <c r="P34" i="1"/>
  <c r="P30" i="1"/>
  <c r="P24" i="1"/>
  <c r="P19" i="1"/>
  <c r="P12" i="1"/>
  <c r="P56" i="1" l="1"/>
  <c r="P48" i="1" s="1"/>
  <c r="P89" i="1" s="1"/>
  <c r="AB48" i="1"/>
  <c r="AB89" i="1" s="1"/>
  <c r="O35" i="1"/>
  <c r="O61" i="1"/>
  <c r="O27" i="1"/>
  <c r="O24" i="1" s="1"/>
  <c r="AK76" i="1"/>
  <c r="AC76" i="1"/>
  <c r="AI88" i="1"/>
  <c r="AI89" i="1" s="1"/>
  <c r="AA88" i="1"/>
  <c r="AC88" i="1" s="1"/>
  <c r="AC87" i="1"/>
  <c r="AA63" i="1"/>
  <c r="AA89" i="1" l="1"/>
  <c r="O34" i="1"/>
  <c r="R35" i="1"/>
  <c r="AK88" i="1"/>
  <c r="O79" i="1"/>
  <c r="O71" i="1"/>
  <c r="O63" i="1"/>
  <c r="O58" i="1"/>
  <c r="O56" i="1"/>
  <c r="R54" i="1"/>
  <c r="N53" i="1"/>
  <c r="O53" i="1"/>
  <c r="R51" i="1"/>
  <c r="N50" i="1"/>
  <c r="O50" i="1"/>
  <c r="N41" i="1"/>
  <c r="O41" i="1"/>
  <c r="R38" i="1"/>
  <c r="R37" i="1"/>
  <c r="R36" i="1"/>
  <c r="N34" i="1"/>
  <c r="O30" i="1"/>
  <c r="N24" i="1"/>
  <c r="R23" i="1"/>
  <c r="R22" i="1"/>
  <c r="R21" i="1"/>
  <c r="R20" i="1"/>
  <c r="N19" i="1"/>
  <c r="O19" i="1"/>
  <c r="O15" i="1"/>
  <c r="O12" i="1"/>
  <c r="Z63" i="1"/>
  <c r="Z89" i="1" s="1"/>
  <c r="O48" i="1" l="1"/>
  <c r="O89" i="1" s="1"/>
  <c r="N70" i="1"/>
  <c r="N63" i="1" s="1"/>
  <c r="AC74" i="1"/>
  <c r="AK87" i="1"/>
  <c r="Z55" i="1"/>
  <c r="N86" i="1" l="1"/>
  <c r="N17" i="1"/>
  <c r="N13" i="1"/>
  <c r="N31" i="1"/>
  <c r="N59" i="1"/>
  <c r="N84" i="1" l="1"/>
  <c r="R84" i="1" s="1"/>
  <c r="N46" i="1"/>
  <c r="N47" i="1"/>
  <c r="R47" i="1" s="1"/>
  <c r="N82" i="1"/>
  <c r="R82" i="1" s="1"/>
  <c r="N61" i="1"/>
  <c r="R61" i="1" s="1"/>
  <c r="M79" i="1" l="1"/>
  <c r="N79" i="1"/>
  <c r="M71" i="1"/>
  <c r="N71" i="1"/>
  <c r="M63" i="1"/>
  <c r="N58" i="1"/>
  <c r="M56" i="1"/>
  <c r="N56" i="1"/>
  <c r="M53" i="1"/>
  <c r="M50" i="1"/>
  <c r="M41" i="1"/>
  <c r="N30" i="1"/>
  <c r="M34" i="1"/>
  <c r="M24" i="1"/>
  <c r="M19" i="1"/>
  <c r="M15" i="1"/>
  <c r="N15" i="1"/>
  <c r="N12" i="1"/>
  <c r="R60" i="1"/>
  <c r="R71" i="1" l="1"/>
  <c r="N48" i="1"/>
  <c r="N89" i="1" s="1"/>
  <c r="M86" i="1"/>
  <c r="AK28" i="1" l="1"/>
  <c r="AI26" i="1"/>
  <c r="AK26" i="1" s="1"/>
  <c r="AC28" i="1"/>
  <c r="Y26" i="1"/>
  <c r="AC26" i="1" s="1"/>
  <c r="AC17" i="1"/>
  <c r="AC13" i="1"/>
  <c r="Y14" i="1"/>
  <c r="M75" i="1" l="1"/>
  <c r="R75" i="1" s="1"/>
  <c r="M59" i="1" l="1"/>
  <c r="R59" i="1" s="1"/>
  <c r="I50" i="1"/>
  <c r="I52" i="1"/>
  <c r="M31" i="1"/>
  <c r="M30" i="1" s="1"/>
  <c r="R58" i="1" l="1"/>
  <c r="M58" i="1"/>
  <c r="M48" i="1" s="1"/>
  <c r="M14" i="1"/>
  <c r="M13" i="1"/>
  <c r="M12" i="1" s="1"/>
  <c r="M89" i="1" l="1"/>
  <c r="L46" i="1"/>
  <c r="L86" i="1"/>
  <c r="L85" i="1"/>
  <c r="R85" i="1" s="1"/>
  <c r="AH25" i="1" l="1"/>
  <c r="AK25" i="1" s="1"/>
  <c r="L13" i="1" l="1"/>
  <c r="L44" i="1" l="1"/>
  <c r="L27" i="1"/>
  <c r="AH31" i="1" l="1"/>
  <c r="X31" i="1"/>
  <c r="L31" i="1"/>
  <c r="X25" i="1"/>
  <c r="AC25" i="1" s="1"/>
  <c r="L25" i="1"/>
  <c r="R25" i="1" s="1"/>
  <c r="L80" i="1"/>
  <c r="R80" i="1" s="1"/>
  <c r="K79" i="1"/>
  <c r="J79" i="1"/>
  <c r="I79" i="1"/>
  <c r="H79" i="1"/>
  <c r="G79" i="1"/>
  <c r="F79" i="1"/>
  <c r="E79" i="1"/>
  <c r="D79" i="1"/>
  <c r="L28" i="1" l="1"/>
  <c r="R28" i="1" s="1"/>
  <c r="L26" i="1"/>
  <c r="R26" i="1" s="1"/>
  <c r="L81" i="1"/>
  <c r="R81" i="1" s="1"/>
  <c r="AK85" i="1"/>
  <c r="AK84" i="1"/>
  <c r="AK83" i="1"/>
  <c r="AK82" i="1"/>
  <c r="AH81" i="1"/>
  <c r="AK81" i="1" s="1"/>
  <c r="AH80" i="1"/>
  <c r="AK80" i="1" s="1"/>
  <c r="AK78" i="1"/>
  <c r="AK77" i="1"/>
  <c r="AK75" i="1"/>
  <c r="AK74" i="1"/>
  <c r="AK73" i="1"/>
  <c r="AK72" i="1"/>
  <c r="AK70" i="1"/>
  <c r="AK69" i="1"/>
  <c r="AK68" i="1"/>
  <c r="AK67" i="1"/>
  <c r="AK66" i="1"/>
  <c r="AK65" i="1"/>
  <c r="AK64" i="1"/>
  <c r="AK62" i="1"/>
  <c r="AK61" i="1"/>
  <c r="AK60" i="1"/>
  <c r="AK57" i="1"/>
  <c r="AK56" i="1" s="1"/>
  <c r="AD56" i="1"/>
  <c r="AK55" i="1"/>
  <c r="AK54" i="1"/>
  <c r="AK51" i="1"/>
  <c r="AK49" i="1"/>
  <c r="AK47" i="1"/>
  <c r="AK45" i="1"/>
  <c r="AK43" i="1"/>
  <c r="AK42" i="1"/>
  <c r="AK40" i="1"/>
  <c r="AK39" i="1"/>
  <c r="AK38" i="1"/>
  <c r="AK37" i="1"/>
  <c r="AK36" i="1"/>
  <c r="AK35" i="1"/>
  <c r="AK33" i="1"/>
  <c r="AK32" i="1"/>
  <c r="AK31" i="1"/>
  <c r="AK29" i="1"/>
  <c r="AK23" i="1"/>
  <c r="AK22" i="1"/>
  <c r="AK21" i="1"/>
  <c r="AK20" i="1"/>
  <c r="AK18" i="1"/>
  <c r="AK16" i="1"/>
  <c r="AK17" i="1"/>
  <c r="X81" i="1"/>
  <c r="AC81" i="1" s="1"/>
  <c r="X80" i="1"/>
  <c r="AC80" i="1" s="1"/>
  <c r="AH71" i="1"/>
  <c r="AH63" i="1"/>
  <c r="AH58" i="1"/>
  <c r="AH56" i="1"/>
  <c r="AH53" i="1"/>
  <c r="AH50" i="1"/>
  <c r="AH41" i="1"/>
  <c r="AH34" i="1"/>
  <c r="AH30" i="1"/>
  <c r="AH24" i="1"/>
  <c r="AH19" i="1"/>
  <c r="AH15" i="1"/>
  <c r="AH12" i="1"/>
  <c r="L79" i="1" l="1"/>
  <c r="R79" i="1"/>
  <c r="AC79" i="1"/>
  <c r="AK79" i="1"/>
  <c r="L24" i="1"/>
  <c r="AH48" i="1"/>
  <c r="AH89" i="1" s="1"/>
  <c r="L70" i="1"/>
  <c r="L17" i="1" l="1"/>
  <c r="AC85" i="1" l="1"/>
  <c r="AC84" i="1"/>
  <c r="AC83" i="1"/>
  <c r="AC82" i="1"/>
  <c r="AC78" i="1"/>
  <c r="AC77" i="1"/>
  <c r="AC75" i="1"/>
  <c r="AC73" i="1"/>
  <c r="AC72" i="1"/>
  <c r="AC69" i="1"/>
  <c r="AC68" i="1"/>
  <c r="AC67" i="1"/>
  <c r="AC66" i="1"/>
  <c r="AC64" i="1"/>
  <c r="AC62" i="1"/>
  <c r="AC61" i="1"/>
  <c r="AC60" i="1"/>
  <c r="AC58" i="1"/>
  <c r="AC57" i="1"/>
  <c r="AC56" i="1" s="1"/>
  <c r="AC54" i="1"/>
  <c r="AC51" i="1"/>
  <c r="AC47" i="1"/>
  <c r="AC45" i="1"/>
  <c r="AC43" i="1"/>
  <c r="AC42" i="1"/>
  <c r="AC40" i="1"/>
  <c r="AC39" i="1"/>
  <c r="AC38" i="1"/>
  <c r="AC37" i="1"/>
  <c r="AC36" i="1"/>
  <c r="AC33" i="1"/>
  <c r="AC32" i="1"/>
  <c r="AC31" i="1"/>
  <c r="AC29" i="1"/>
  <c r="AC23" i="1"/>
  <c r="AC22" i="1"/>
  <c r="AC21" i="1"/>
  <c r="AC20" i="1"/>
  <c r="AC18" i="1"/>
  <c r="AC16" i="1"/>
  <c r="X71" i="1"/>
  <c r="X63" i="1"/>
  <c r="X58" i="1"/>
  <c r="X56" i="1"/>
  <c r="X53" i="1"/>
  <c r="X50" i="1"/>
  <c r="X41" i="1"/>
  <c r="X34" i="1"/>
  <c r="X30" i="1"/>
  <c r="X24" i="1"/>
  <c r="X19" i="1"/>
  <c r="X15" i="1"/>
  <c r="X12" i="1"/>
  <c r="L63" i="1"/>
  <c r="L71" i="1"/>
  <c r="L58" i="1"/>
  <c r="R56" i="1"/>
  <c r="L56" i="1"/>
  <c r="L53" i="1"/>
  <c r="L50" i="1"/>
  <c r="L41" i="1"/>
  <c r="L34" i="1"/>
  <c r="L30" i="1"/>
  <c r="L19" i="1"/>
  <c r="L15" i="1"/>
  <c r="L12" i="1"/>
  <c r="K31" i="1"/>
  <c r="K52" i="1"/>
  <c r="K46" i="1"/>
  <c r="R46" i="1" s="1"/>
  <c r="K55" i="1"/>
  <c r="R52" i="1" l="1"/>
  <c r="R50" i="1" s="1"/>
  <c r="L48" i="1"/>
  <c r="L89" i="1" s="1"/>
  <c r="X48" i="1"/>
  <c r="X89" i="1" s="1"/>
  <c r="W55" i="1"/>
  <c r="AC55" i="1" s="1"/>
  <c r="AC53" i="1" s="1"/>
  <c r="V53" i="1" l="1"/>
  <c r="W53" i="1"/>
  <c r="W50" i="1"/>
  <c r="W30" i="1"/>
  <c r="K17" i="1"/>
  <c r="W48" i="1" l="1"/>
  <c r="W89" i="1" s="1"/>
  <c r="K27" i="1"/>
  <c r="K86" i="1"/>
  <c r="K56" i="1" l="1"/>
  <c r="K70" i="1" l="1"/>
  <c r="K30" i="1" l="1"/>
  <c r="K71" i="1"/>
  <c r="K63" i="1"/>
  <c r="K58" i="1"/>
  <c r="K53" i="1"/>
  <c r="K50" i="1"/>
  <c r="K41" i="1"/>
  <c r="K34" i="1"/>
  <c r="K24" i="1"/>
  <c r="K19" i="1"/>
  <c r="K15" i="1"/>
  <c r="K12" i="1"/>
  <c r="K48" i="1" l="1"/>
  <c r="K89" i="1" s="1"/>
  <c r="J86" i="1"/>
  <c r="R86" i="1" s="1"/>
  <c r="J31" i="1" l="1"/>
  <c r="J18" i="1"/>
  <c r="R18" i="1" s="1"/>
  <c r="J13" i="1"/>
  <c r="J55" i="1"/>
  <c r="J71" i="1" l="1"/>
  <c r="J58" i="1"/>
  <c r="J53" i="1"/>
  <c r="J50" i="1"/>
  <c r="J34" i="1"/>
  <c r="J30" i="1"/>
  <c r="J24" i="1"/>
  <c r="E19" i="1"/>
  <c r="F19" i="1"/>
  <c r="G19" i="1"/>
  <c r="H19" i="1"/>
  <c r="I19" i="1"/>
  <c r="J19" i="1"/>
  <c r="J15" i="1"/>
  <c r="J12" i="1"/>
  <c r="I70" i="1"/>
  <c r="J48" i="1" l="1"/>
  <c r="J89" i="1" s="1"/>
  <c r="I44" i="1"/>
  <c r="I31" i="1"/>
  <c r="I53" i="1"/>
  <c r="I48" i="1" s="1"/>
  <c r="I17" i="1" l="1"/>
  <c r="R17" i="1" s="1"/>
  <c r="I30" i="1"/>
  <c r="I27" i="1"/>
  <c r="I34" i="1"/>
  <c r="I12" i="1"/>
  <c r="I41" i="1"/>
  <c r="I24" i="1"/>
  <c r="AG50" i="1" l="1"/>
  <c r="AG48" i="1" s="1"/>
  <c r="AG89" i="1" s="1"/>
  <c r="U58" i="1"/>
  <c r="I15" i="1"/>
  <c r="T50" i="1"/>
  <c r="U50" i="1"/>
  <c r="V50" i="1"/>
  <c r="V48" i="1" s="1"/>
  <c r="T30" i="1"/>
  <c r="U30" i="1"/>
  <c r="V30" i="1"/>
  <c r="U48" i="1" l="1"/>
  <c r="U89" i="1" s="1"/>
  <c r="V89" i="1"/>
  <c r="I89" i="1"/>
  <c r="H70" i="1"/>
  <c r="H13" i="1"/>
  <c r="R13" i="1" s="1"/>
  <c r="H58" i="1" l="1"/>
  <c r="H53" i="1"/>
  <c r="H48" i="1" l="1"/>
  <c r="H44" i="1"/>
  <c r="R44" i="1" s="1"/>
  <c r="H40" i="1" l="1"/>
  <c r="R40" i="1" s="1"/>
  <c r="G34" i="1"/>
  <c r="H34" i="1"/>
  <c r="H32" i="1"/>
  <c r="R32" i="1" s="1"/>
  <c r="H41" i="1"/>
  <c r="E12" i="1"/>
  <c r="G12" i="1"/>
  <c r="H12" i="1"/>
  <c r="H63" i="1"/>
  <c r="H31" i="1"/>
  <c r="R31" i="1" s="1"/>
  <c r="H27" i="1" l="1"/>
  <c r="H24" i="1" s="1"/>
  <c r="H15" i="1"/>
  <c r="G15" i="1"/>
  <c r="G89" i="1" s="1"/>
  <c r="H30" i="1" l="1"/>
  <c r="H89" i="1" s="1"/>
  <c r="R15" i="1"/>
  <c r="T14" i="1"/>
  <c r="AC14" i="1" s="1"/>
  <c r="F14" i="1"/>
  <c r="R14" i="1" l="1"/>
  <c r="R12" i="1" s="1"/>
  <c r="T71" i="1"/>
  <c r="AD71" i="1"/>
  <c r="AE71" i="1"/>
  <c r="T63" i="1"/>
  <c r="AD63" i="1"/>
  <c r="AE63" i="1"/>
  <c r="AE58" i="1"/>
  <c r="AD58" i="1"/>
  <c r="T58" i="1"/>
  <c r="S58" i="1"/>
  <c r="AE24" i="1"/>
  <c r="T12" i="1"/>
  <c r="E71" i="1"/>
  <c r="F71" i="1"/>
  <c r="E63" i="1"/>
  <c r="E58" i="1"/>
  <c r="F58" i="1"/>
  <c r="D58" i="1"/>
  <c r="F53" i="1"/>
  <c r="D53" i="1"/>
  <c r="E50" i="1"/>
  <c r="F50" i="1"/>
  <c r="D50" i="1"/>
  <c r="E41" i="1"/>
  <c r="F41" i="1"/>
  <c r="E34" i="1"/>
  <c r="F34" i="1"/>
  <c r="E30" i="1"/>
  <c r="F30" i="1"/>
  <c r="E24" i="1"/>
  <c r="F24" i="1"/>
  <c r="E15" i="1"/>
  <c r="F15" i="1"/>
  <c r="D15" i="1"/>
  <c r="AK14" i="1"/>
  <c r="AK13" i="1"/>
  <c r="AE12" i="1"/>
  <c r="AD12" i="1"/>
  <c r="S12" i="1"/>
  <c r="F12" i="1"/>
  <c r="AC12" i="1" l="1"/>
  <c r="AK12" i="1"/>
  <c r="D12" i="1"/>
  <c r="F70" i="1" l="1"/>
  <c r="R70" i="1" s="1"/>
  <c r="F65" i="1"/>
  <c r="R65" i="1" s="1"/>
  <c r="F63" i="1" l="1"/>
  <c r="F89" i="1" s="1"/>
  <c r="R63" i="1"/>
  <c r="R41" i="1"/>
  <c r="R34" i="1"/>
  <c r="R30" i="1"/>
  <c r="R19" i="1"/>
  <c r="E55" i="1"/>
  <c r="T41" i="1"/>
  <c r="AE41" i="1"/>
  <c r="S71" i="1"/>
  <c r="T53" i="1"/>
  <c r="T48" i="1" s="1"/>
  <c r="AD53" i="1"/>
  <c r="AE53" i="1"/>
  <c r="AE50" i="1"/>
  <c r="T34" i="1"/>
  <c r="AD34" i="1"/>
  <c r="AE34" i="1"/>
  <c r="AD30" i="1"/>
  <c r="AE30" i="1"/>
  <c r="T19" i="1"/>
  <c r="AD19" i="1"/>
  <c r="AE19" i="1"/>
  <c r="T15" i="1"/>
  <c r="AD15" i="1"/>
  <c r="AE15" i="1"/>
  <c r="AD27" i="1"/>
  <c r="AK27" i="1" s="1"/>
  <c r="S27" i="1"/>
  <c r="S19" i="1"/>
  <c r="S15" i="1"/>
  <c r="S35" i="1"/>
  <c r="AC35" i="1" s="1"/>
  <c r="S30" i="1"/>
  <c r="AD52" i="1"/>
  <c r="AK52" i="1" s="1"/>
  <c r="S52" i="1"/>
  <c r="AC52" i="1" s="1"/>
  <c r="AC50" i="1" s="1"/>
  <c r="S53" i="1"/>
  <c r="AD44" i="1"/>
  <c r="S44" i="1"/>
  <c r="AC44" i="1" s="1"/>
  <c r="S70" i="1"/>
  <c r="AC70" i="1" s="1"/>
  <c r="S65" i="1"/>
  <c r="AC65" i="1" s="1"/>
  <c r="D71" i="1"/>
  <c r="D63" i="1"/>
  <c r="D41" i="1"/>
  <c r="D34" i="1"/>
  <c r="D30" i="1"/>
  <c r="D27" i="1"/>
  <c r="R27" i="1" s="1"/>
  <c r="D19" i="1"/>
  <c r="R55" i="1" l="1"/>
  <c r="R53" i="1" s="1"/>
  <c r="R48" i="1" s="1"/>
  <c r="R24" i="1"/>
  <c r="AC27" i="1"/>
  <c r="AC24" i="1" s="1"/>
  <c r="AD24" i="1"/>
  <c r="AD41" i="1"/>
  <c r="AK44" i="1"/>
  <c r="AK41" i="1" s="1"/>
  <c r="AD50" i="1"/>
  <c r="AD48" i="1" s="1"/>
  <c r="AK50" i="1"/>
  <c r="S24" i="1"/>
  <c r="S50" i="1"/>
  <c r="S34" i="1"/>
  <c r="AC34" i="1"/>
  <c r="AK15" i="1"/>
  <c r="AC15" i="1"/>
  <c r="E53" i="1"/>
  <c r="E48" i="1" s="1"/>
  <c r="E89" i="1" s="1"/>
  <c r="AC71" i="1"/>
  <c r="AC63" i="1"/>
  <c r="AK63" i="1"/>
  <c r="AK71" i="1"/>
  <c r="AK58" i="1"/>
  <c r="T89" i="1"/>
  <c r="S48" i="1"/>
  <c r="AK30" i="1"/>
  <c r="D24" i="1"/>
  <c r="AC30" i="1"/>
  <c r="AE48" i="1"/>
  <c r="AE89" i="1" s="1"/>
  <c r="S41" i="1"/>
  <c r="AK24" i="1"/>
  <c r="S63" i="1"/>
  <c r="AC41" i="1"/>
  <c r="AK19" i="1"/>
  <c r="AC19" i="1"/>
  <c r="AK34" i="1"/>
  <c r="AC48" i="1"/>
  <c r="AK53" i="1"/>
  <c r="D48" i="1"/>
  <c r="R89" i="1" l="1"/>
  <c r="AC89" i="1"/>
  <c r="AD89" i="1"/>
  <c r="AE90" i="1" s="1"/>
  <c r="AF90" i="1" s="1"/>
  <c r="AG90" i="1" s="1"/>
  <c r="AK48" i="1"/>
  <c r="AK89" i="1" s="1"/>
  <c r="S89" i="1"/>
  <c r="T90" i="1" s="1"/>
  <c r="U90" i="1" s="1"/>
  <c r="V90" i="1" s="1"/>
  <c r="W90" i="1" s="1"/>
  <c r="D89" i="1"/>
  <c r="E90" i="1" s="1"/>
  <c r="F90" i="1" s="1"/>
  <c r="G90" i="1" s="1"/>
  <c r="H90" i="1" s="1"/>
  <c r="I90" i="1" s="1"/>
  <c r="J90" i="1" s="1"/>
  <c r="K90" i="1" s="1"/>
  <c r="L90" i="1" s="1"/>
  <c r="M90" i="1" s="1"/>
  <c r="N90" i="1" s="1"/>
  <c r="O90" i="1" s="1"/>
  <c r="P90" i="1" l="1"/>
  <c r="R90" i="1" s="1"/>
  <c r="Q90" i="1" l="1"/>
</calcChain>
</file>

<file path=xl/sharedStrings.xml><?xml version="1.0" encoding="utf-8"?>
<sst xmlns="http://schemas.openxmlformats.org/spreadsheetml/2006/main" count="126" uniqueCount="121">
  <si>
    <t>№ п/п</t>
  </si>
  <si>
    <t>Наименование программы</t>
  </si>
  <si>
    <t>Сумма, тыс. руб.</t>
  </si>
  <si>
    <t>2017 год</t>
  </si>
  <si>
    <t>Муниципальная программа «Культура Тольятти (2014-2018гг.)»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</si>
  <si>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</si>
  <si>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</si>
  <si>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</si>
  <si>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Муниципальная программа городского округа Тольятти «Развитие малого и среднего предпринимательства городского округа Тольятти на 2014-2017 годы»</t>
  </si>
  <si>
    <t>Муниципальная программа «Тольятти -чистый город» на 2015-2019 годы</t>
  </si>
  <si>
    <t>Муниципальная программа «Капитальный ремонт многоквартирных домов городского округа Тольятти на 2014-2018 годы»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</si>
  <si>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</si>
  <si>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t>Муниципальная программа «Создание условий для развития туризма на территории городского округа Тольятти на 2014-2020гг.»</t>
  </si>
  <si>
    <t>Муниципальная экологическая программа городского округа Тольятти на 2015-2017 годы</t>
  </si>
  <si>
    <t>Муниципальная программа «Семья и дети городского округа Тольятти» на 2015-2017 годы</t>
  </si>
  <si>
    <t>Муниципальная программа «Содержание и ремонт объектов и сетей инженерной инфраструктуры городского округа Тольятти на 2015-2017 годы»</t>
  </si>
  <si>
    <t>Муниципальная программа «Ремонт  помещений, находящихся в муниципальной собственности городского округа Тольятти, на 2015-2017 годы»</t>
  </si>
  <si>
    <t>Муниципальная программа «Благоустройство территории городского округа Тольятти на 2015-2024 годы»</t>
  </si>
  <si>
    <t>2018 год</t>
  </si>
  <si>
    <t>ИТОГО</t>
  </si>
  <si>
    <t>Муниципальная программа городского округа Тольятти «Молодой семье - доступное жилье» на 2014-2020гг.</t>
  </si>
  <si>
    <t>2019 год</t>
  </si>
  <si>
    <t>Муниципальная программа «Развитие физической культуры и спорта в городском округе Тольятти на 2017-2021 годы»</t>
  </si>
  <si>
    <t>Муниципальная программа по созданию условий для улучшения качества жизни жителей городского округа Тольятти и обеспечения социальной стабильности на 2017-2019 годы</t>
  </si>
  <si>
    <t>Муниципальная программа мер по профилактике наркомании населения городского округа Тольятти на 2016-2018 годы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</si>
  <si>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</si>
  <si>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Муниципальная программа «Развитие информационно-телекоммуникационной инфраструктуры городского округа Тольятти на 2017 – 2021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</si>
  <si>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</si>
  <si>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Муниципальная программа «Противодействие коррупции в городском округе Тольятти на 2017-2021 годы»</t>
  </si>
  <si>
    <t>Муниципальная программа «Охрана окружающей среды на территории городского округа Тольятти на 2017-2021 годы»</t>
  </si>
  <si>
    <t>Муниципальная программа «Развитие системы образования городского округа Тольятти на 2017-2020 гг.»</t>
  </si>
  <si>
    <t xml:space="preserve">Подпрограмма «Развитие городского пассажирского транспорта в городском округе Тольятти на период 2014-2020гг.» </t>
  </si>
  <si>
    <t>Подпрограмма «Развитие муниципальной службы в городском округе Тольятти на 2017-2022 годы»</t>
  </si>
  <si>
    <t>Муниципальная программа «Развитие транспортной системы и дорожного хозяйства городского округа Тольятти на 2014-2020гг.», в том числе:</t>
  </si>
  <si>
    <t>Муниципальная программа «Развитие органов местного самоуправления городского округа Тольятти на 2017-2022 годы», в том числе:</t>
  </si>
  <si>
    <r>
      <t xml:space="preserve">Подпрограмма </t>
    </r>
    <r>
      <rPr>
        <sz val="11"/>
        <rFont val="Calibri"/>
        <family val="2"/>
        <charset val="204"/>
      </rPr>
      <t>«</t>
    </r>
    <r>
      <rPr>
        <i/>
        <sz val="11"/>
        <rFont val="Times New Roman"/>
        <family val="1"/>
        <charset val="204"/>
      </rPr>
      <t>Повышение безопасности дорожного движения на период 2014-2020 гг.</t>
    </r>
    <r>
      <rPr>
        <sz val="11"/>
        <rFont val="Calibri"/>
        <family val="2"/>
        <charset val="204"/>
      </rPr>
      <t>»</t>
    </r>
    <r>
      <rPr>
        <i/>
        <sz val="11"/>
        <rFont val="Times New Roman"/>
        <family val="1"/>
        <charset val="204"/>
      </rPr>
      <t xml:space="preserve">                      </t>
    </r>
  </si>
  <si>
    <r>
      <t xml:space="preserve">Подпрограмма </t>
    </r>
    <r>
      <rPr>
        <sz val="11"/>
        <rFont val="Calibri"/>
        <family val="2"/>
        <charset val="204"/>
      </rPr>
      <t>«</t>
    </r>
    <r>
      <rPr>
        <i/>
        <sz val="11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2014 -2020 годы</t>
    </r>
    <r>
      <rPr>
        <sz val="11"/>
        <rFont val="Calibri"/>
        <family val="2"/>
        <charset val="204"/>
      </rPr>
      <t>»</t>
    </r>
  </si>
  <si>
    <t xml:space="preserve">Подпрограмма «Содержание улично-дорожной сети городского округа Тольятти на 2014-2020гг.» 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</si>
  <si>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</si>
  <si>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</si>
  <si>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</si>
  <si>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</si>
  <si>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</si>
  <si>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</si>
  <si>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</si>
  <si>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</si>
  <si>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</si>
  <si>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</si>
  <si>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</si>
  <si>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</si>
  <si>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</si>
  <si>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</si>
  <si>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</si>
  <si>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</si>
  <si>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</si>
  <si>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</si>
  <si>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</si>
  <si>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</si>
  <si>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</si>
  <si>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</si>
  <si>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221</t>
  </si>
  <si>
    <t>230</t>
  </si>
  <si>
    <t>240</t>
  </si>
  <si>
    <t>260</t>
  </si>
  <si>
    <t>280</t>
  </si>
  <si>
    <t>290</t>
  </si>
  <si>
    <t>300</t>
  </si>
  <si>
    <t>310</t>
  </si>
  <si>
    <t>320</t>
  </si>
  <si>
    <t>330</t>
  </si>
  <si>
    <t>проект</t>
  </si>
  <si>
    <t>Приложение  12</t>
  </si>
  <si>
    <t>к решению Думы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</si>
  <si>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</si>
  <si>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</si>
  <si>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</si>
  <si>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</si>
  <si>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</si>
  <si>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</si>
  <si>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</si>
  <si>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</si>
  <si>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</si>
  <si>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</si>
  <si>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</si>
  <si>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</si>
  <si>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</si>
  <si>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</si>
  <si>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</si>
  <si>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</si>
  <si>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</si>
  <si>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</si>
  <si>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</si>
  <si>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</si>
  <si>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</si>
  <si>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</si>
  <si>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</si>
  <si>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</si>
  <si>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</si>
  <si>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</si>
  <si>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</si>
  <si>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229</t>
  </si>
  <si>
    <t>270</t>
  </si>
  <si>
    <t>28.</t>
  </si>
  <si>
    <t>Муниципальная программа «Развитие потребительского рынка в городском округе Тольятти на 2017-2021 годы»</t>
  </si>
  <si>
    <t>от 07.12.2016  № 1274</t>
  </si>
  <si>
    <t xml:space="preserve">к решению Думы </t>
  </si>
  <si>
    <t>от_______ № ______</t>
  </si>
  <si>
    <t>153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</si>
  <si>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</si>
  <si>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340</t>
  </si>
  <si>
    <t>29.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</si>
  <si>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</si>
  <si>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Х</t>
  </si>
  <si>
    <t>350</t>
  </si>
  <si>
    <t>30.</t>
  </si>
  <si>
    <t>Муниципальная программа «Ремонт  помещений, находящихся в муниципальной собственности городского округа Тольятти, на 2018-2022 годы»</t>
  </si>
  <si>
    <t xml:space="preserve">Муниципальная программа «Поддержка социально ориентированных некоммерческих организаций, содействие развитию некоммерческих организаций и общественных инициатив на 2015-2020 годы» </t>
  </si>
  <si>
    <t>11.10.2017 - 08.11.2017</t>
  </si>
  <si>
    <t>ноябрь</t>
  </si>
  <si>
    <t>Приложение 5</t>
  </si>
  <si>
    <t>ПЕРЕЧЕНЬ МУНИЦИПАЛЬНЫХ ПРОГРАММ, ПОДЛЕЖАЩИХ ФИНАНСИРОВАНИЮ ИЗ БЮДЖЕТА ГОРОДСКОГО ОКРУГА ТОЛЬЯТТИ, НА 2017 ГОД И  НА ПЛАНОВЫЙ ПЕРИОД 2018 И 2019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</si>
</sst>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name val="Calibri"/>
      <family val="2"/>
      <charset val="204"/>
    </font>
    <font>
      <b/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9">
    <xf numFmtId="0" fontId="0" fillId="0" borderId="0" xfId="0"/>
    <xf numFmtId="0" fontId="0" fillId="0" borderId="0" xfId="0" applyBorder="1"/>
    <xf numFmtId="0" fontId="6" fillId="0" borderId="0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3" fontId="4" fillId="0" borderId="1" xfId="0" applyNumberFormat="1" applyFont="1" applyFill="1" applyBorder="1"/>
    <xf numFmtId="3" fontId="4" fillId="0" borderId="0" xfId="0" applyNumberFormat="1" applyFont="1" applyFill="1" applyBorder="1"/>
    <xf numFmtId="0" fontId="5" fillId="0" borderId="1" xfId="0" applyFont="1" applyFill="1" applyBorder="1"/>
    <xf numFmtId="0" fontId="7" fillId="0" borderId="0" xfId="0" applyFont="1" applyFill="1" applyBorder="1"/>
    <xf numFmtId="0" fontId="7" fillId="0" borderId="0" xfId="0" applyFont="1" applyFill="1"/>
    <xf numFmtId="0" fontId="8" fillId="0" borderId="1" xfId="0" applyFont="1" applyFill="1" applyBorder="1" applyAlignment="1">
      <alignment wrapText="1"/>
    </xf>
    <xf numFmtId="3" fontId="8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16" fontId="3" fillId="0" borderId="4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 vertical="center"/>
    </xf>
    <xf numFmtId="3" fontId="11" fillId="0" borderId="1" xfId="0" applyNumberFormat="1" applyFont="1" applyFill="1" applyBorder="1"/>
    <xf numFmtId="0" fontId="7" fillId="0" borderId="1" xfId="0" applyFont="1" applyFill="1" applyBorder="1"/>
    <xf numFmtId="3" fontId="5" fillId="0" borderId="1" xfId="0" applyNumberFormat="1" applyFont="1" applyFill="1" applyBorder="1"/>
    <xf numFmtId="3" fontId="7" fillId="0" borderId="0" xfId="0" applyNumberFormat="1" applyFont="1" applyFill="1" applyBorder="1"/>
    <xf numFmtId="3" fontId="3" fillId="0" borderId="0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1" applyFont="1" applyFill="1" applyAlignment="1"/>
    <xf numFmtId="3" fontId="7" fillId="0" borderId="0" xfId="0" applyNumberFormat="1" applyFont="1" applyFill="1"/>
    <xf numFmtId="0" fontId="4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/>
    </xf>
    <xf numFmtId="3" fontId="4" fillId="0" borderId="0" xfId="1" applyNumberFormat="1" applyFont="1" applyFill="1" applyAlignment="1"/>
    <xf numFmtId="49" fontId="6" fillId="2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wrapText="1"/>
    </xf>
    <xf numFmtId="3" fontId="8" fillId="2" borderId="1" xfId="0" applyNumberFormat="1" applyFont="1" applyFill="1" applyBorder="1"/>
    <xf numFmtId="0" fontId="4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3" fontId="4" fillId="3" borderId="1" xfId="0" applyNumberFormat="1" applyFont="1" applyFill="1" applyBorder="1"/>
    <xf numFmtId="0" fontId="3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/>
    </xf>
    <xf numFmtId="3" fontId="4" fillId="2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vertical="center" wrapText="1"/>
    </xf>
    <xf numFmtId="0" fontId="4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3" fontId="8" fillId="3" borderId="1" xfId="0" applyNumberFormat="1" applyFont="1" applyFill="1" applyBorder="1"/>
    <xf numFmtId="0" fontId="4" fillId="0" borderId="0" xfId="1" applyFont="1" applyFill="1" applyAlignment="1">
      <alignment horizontal="right"/>
    </xf>
    <xf numFmtId="0" fontId="4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90"/>
  <sheetViews>
    <sheetView showZeros="0" tabSelected="1" view="pageBreakPreview" topLeftCell="B4" zoomScale="90" zoomScaleNormal="100" zoomScaleSheetLayoutView="90" workbookViewId="0">
      <selection activeCell="C18" sqref="C18"/>
    </sheetView>
  </sheetViews>
  <sheetFormatPr defaultRowHeight="15" x14ac:dyDescent="0.25"/>
  <cols>
    <col min="1" max="1" width="14.85546875" style="23" hidden="1" customWidth="1"/>
    <col min="2" max="2" width="5.42578125" style="32" customWidth="1"/>
    <col min="3" max="3" width="54.140625" style="8" customWidth="1"/>
    <col min="4" max="5" width="10.7109375" style="8" hidden="1" customWidth="1"/>
    <col min="6" max="7" width="10.140625" style="8" hidden="1" customWidth="1"/>
    <col min="8" max="13" width="11.28515625" style="8" hidden="1" customWidth="1"/>
    <col min="14" max="14" width="18" style="8" hidden="1" customWidth="1"/>
    <col min="15" max="15" width="19" style="8" hidden="1" customWidth="1"/>
    <col min="16" max="16" width="13.140625" style="8" hidden="1" customWidth="1"/>
    <col min="17" max="17" width="20.28515625" style="8" hidden="1" customWidth="1"/>
    <col min="18" max="18" width="14.5703125" style="8" customWidth="1"/>
    <col min="19" max="19" width="14.42578125" style="8" hidden="1" customWidth="1"/>
    <col min="20" max="20" width="16.85546875" style="8" hidden="1" customWidth="1"/>
    <col min="21" max="23" width="9.85546875" style="8" hidden="1" customWidth="1"/>
    <col min="24" max="24" width="10.42578125" style="8" hidden="1" customWidth="1"/>
    <col min="25" max="25" width="15.5703125" style="8" hidden="1" customWidth="1"/>
    <col min="26" max="26" width="19.42578125" style="8" hidden="1" customWidth="1"/>
    <col min="27" max="28" width="15.42578125" style="8" hidden="1" customWidth="1"/>
    <col min="29" max="29" width="16.7109375" style="8" customWidth="1"/>
    <col min="30" max="30" width="10.7109375" style="8" hidden="1" customWidth="1"/>
    <col min="31" max="33" width="9.85546875" style="8" hidden="1" customWidth="1"/>
    <col min="34" max="34" width="10.140625" style="8" hidden="1" customWidth="1"/>
    <col min="35" max="35" width="20.140625" style="8" hidden="1" customWidth="1"/>
    <col min="36" max="36" width="16.5703125" style="8" hidden="1" customWidth="1"/>
    <col min="37" max="37" width="16.85546875" style="8" customWidth="1"/>
    <col min="38" max="38" width="9.85546875" style="8" bestFit="1" customWidth="1"/>
    <col min="39" max="16384" width="9.140625" style="8"/>
  </cols>
  <sheetData>
    <row r="1" spans="1:63" ht="15.75" x14ac:dyDescent="0.25">
      <c r="A1" s="65" t="s">
        <v>119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</row>
    <row r="2" spans="1:63" ht="15.75" x14ac:dyDescent="0.25">
      <c r="A2" s="66" t="s">
        <v>105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</row>
    <row r="3" spans="1:63" ht="15.75" x14ac:dyDescent="0.25">
      <c r="A3" s="65" t="s">
        <v>106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</row>
    <row r="4" spans="1:63" ht="15.75" x14ac:dyDescent="0.25">
      <c r="A4" s="15"/>
      <c r="B4" s="26"/>
      <c r="C4" s="26"/>
      <c r="D4" s="26"/>
      <c r="E4" s="26"/>
      <c r="F4" s="26"/>
      <c r="G4" s="26"/>
      <c r="H4" s="26"/>
      <c r="I4" s="26"/>
      <c r="J4" s="26"/>
      <c r="K4" s="26"/>
      <c r="L4" s="33"/>
      <c r="M4" s="42"/>
      <c r="N4" s="46"/>
      <c r="O4" s="51"/>
      <c r="P4" s="56"/>
      <c r="Q4" s="62"/>
      <c r="R4" s="49"/>
      <c r="S4" s="26"/>
      <c r="T4" s="26"/>
      <c r="U4" s="26"/>
      <c r="V4" s="26"/>
      <c r="W4" s="26"/>
      <c r="X4" s="35"/>
      <c r="Y4" s="45"/>
      <c r="Z4" s="49"/>
      <c r="AA4" s="52"/>
      <c r="AB4" s="58"/>
      <c r="AC4" s="26"/>
      <c r="AD4" s="26"/>
      <c r="AE4" s="26"/>
      <c r="AF4" s="26"/>
      <c r="AG4" s="26"/>
      <c r="AH4" s="37"/>
      <c r="AI4" s="45"/>
      <c r="AJ4" s="58"/>
      <c r="AK4" s="26"/>
    </row>
    <row r="5" spans="1:63" ht="15.75" x14ac:dyDescent="0.25">
      <c r="A5" s="65" t="s">
        <v>71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</row>
    <row r="6" spans="1:63" ht="15.75" x14ac:dyDescent="0.25">
      <c r="A6" s="65" t="s">
        <v>72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</row>
    <row r="7" spans="1:63" ht="28.5" customHeight="1" x14ac:dyDescent="0.25">
      <c r="A7" s="65" t="s">
        <v>104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</row>
    <row r="8" spans="1:63" s="7" customFormat="1" ht="72.75" customHeight="1" x14ac:dyDescent="0.25">
      <c r="A8" s="67" t="s">
        <v>120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</row>
    <row r="9" spans="1:63" ht="18.75" x14ac:dyDescent="0.25">
      <c r="A9" s="2"/>
      <c r="B9" s="27"/>
      <c r="C9" s="27"/>
      <c r="D9" s="27"/>
      <c r="E9" s="27"/>
      <c r="F9" s="27"/>
      <c r="G9" s="27"/>
      <c r="H9" s="27"/>
      <c r="I9" s="27"/>
      <c r="J9" s="27"/>
      <c r="K9" s="27"/>
      <c r="L9" s="34"/>
      <c r="M9" s="43"/>
      <c r="N9" s="47"/>
      <c r="O9" s="50"/>
      <c r="P9" s="55"/>
      <c r="Q9" s="63"/>
      <c r="R9" s="20"/>
      <c r="S9" s="27"/>
      <c r="T9" s="27"/>
      <c r="U9" s="27"/>
      <c r="V9" s="27"/>
      <c r="W9" s="27"/>
      <c r="X9" s="36"/>
      <c r="Y9" s="44"/>
      <c r="Z9" s="48"/>
      <c r="AA9" s="53"/>
      <c r="AB9" s="57"/>
      <c r="AC9" s="27"/>
      <c r="AD9" s="27"/>
    </row>
    <row r="10" spans="1:63" ht="23.25" customHeight="1" x14ac:dyDescent="0.25">
      <c r="A10" s="74"/>
      <c r="B10" s="75" t="s">
        <v>0</v>
      </c>
      <c r="C10" s="75" t="s">
        <v>1</v>
      </c>
      <c r="D10" s="76" t="s">
        <v>2</v>
      </c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8"/>
    </row>
    <row r="11" spans="1:63" ht="22.5" customHeight="1" x14ac:dyDescent="0.25">
      <c r="A11" s="74"/>
      <c r="B11" s="75"/>
      <c r="C11" s="75"/>
      <c r="D11" s="13" t="s">
        <v>70</v>
      </c>
      <c r="E11" s="14">
        <v>42753</v>
      </c>
      <c r="F11" s="14">
        <v>42767</v>
      </c>
      <c r="G11" s="14">
        <v>42781</v>
      </c>
      <c r="H11" s="14">
        <v>42809</v>
      </c>
      <c r="I11" s="14">
        <v>42844</v>
      </c>
      <c r="J11" s="14">
        <v>42865</v>
      </c>
      <c r="K11" s="14">
        <v>42879</v>
      </c>
      <c r="L11" s="14">
        <v>42907</v>
      </c>
      <c r="M11" s="14">
        <v>42928</v>
      </c>
      <c r="N11" s="14">
        <v>42998</v>
      </c>
      <c r="O11" s="14" t="s">
        <v>117</v>
      </c>
      <c r="P11" s="14" t="s">
        <v>118</v>
      </c>
      <c r="Q11" s="14">
        <v>43089</v>
      </c>
      <c r="R11" s="13" t="s">
        <v>3</v>
      </c>
      <c r="S11" s="13" t="s">
        <v>70</v>
      </c>
      <c r="T11" s="14">
        <v>42767</v>
      </c>
      <c r="U11" s="14">
        <v>42809</v>
      </c>
      <c r="V11" s="14">
        <v>42830</v>
      </c>
      <c r="W11" s="14">
        <v>42879</v>
      </c>
      <c r="X11" s="14">
        <v>42907</v>
      </c>
      <c r="Y11" s="14">
        <v>42928</v>
      </c>
      <c r="Z11" s="14">
        <v>42998</v>
      </c>
      <c r="AA11" s="14">
        <v>43019</v>
      </c>
      <c r="AB11" s="14" t="s">
        <v>118</v>
      </c>
      <c r="AC11" s="13" t="s">
        <v>18</v>
      </c>
      <c r="AD11" s="13" t="s">
        <v>70</v>
      </c>
      <c r="AE11" s="14">
        <v>42767</v>
      </c>
      <c r="AF11" s="14">
        <v>42809</v>
      </c>
      <c r="AG11" s="14">
        <v>42830</v>
      </c>
      <c r="AH11" s="14">
        <v>42907</v>
      </c>
      <c r="AI11" s="14">
        <v>42928</v>
      </c>
      <c r="AJ11" s="14" t="s">
        <v>118</v>
      </c>
      <c r="AK11" s="28" t="s">
        <v>21</v>
      </c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</row>
    <row r="12" spans="1:63" ht="30.75" customHeight="1" x14ac:dyDescent="0.25">
      <c r="A12" s="39" t="s">
        <v>38</v>
      </c>
      <c r="B12" s="11" t="s">
        <v>73</v>
      </c>
      <c r="C12" s="3" t="s">
        <v>4</v>
      </c>
      <c r="D12" s="4">
        <f t="shared" ref="D12:AC12" si="0">D13+D14</f>
        <v>671955</v>
      </c>
      <c r="E12" s="4">
        <f t="shared" si="0"/>
        <v>0</v>
      </c>
      <c r="F12" s="4">
        <f t="shared" si="0"/>
        <v>105547</v>
      </c>
      <c r="G12" s="4">
        <f t="shared" si="0"/>
        <v>0</v>
      </c>
      <c r="H12" s="4">
        <f t="shared" si="0"/>
        <v>49364</v>
      </c>
      <c r="I12" s="4">
        <f t="shared" si="0"/>
        <v>7466</v>
      </c>
      <c r="J12" s="4">
        <f t="shared" si="0"/>
        <v>-2258</v>
      </c>
      <c r="K12" s="4">
        <f t="shared" si="0"/>
        <v>695</v>
      </c>
      <c r="L12" s="4">
        <f t="shared" si="0"/>
        <v>41806</v>
      </c>
      <c r="M12" s="4">
        <f t="shared" ref="M12:R12" si="1">M13+M14</f>
        <v>-74380</v>
      </c>
      <c r="N12" s="4">
        <f t="shared" si="1"/>
        <v>27545</v>
      </c>
      <c r="O12" s="4">
        <f t="shared" si="1"/>
        <v>0</v>
      </c>
      <c r="P12" s="59">
        <f t="shared" si="1"/>
        <v>194</v>
      </c>
      <c r="Q12" s="59">
        <f t="shared" si="1"/>
        <v>0</v>
      </c>
      <c r="R12" s="4">
        <f t="shared" si="1"/>
        <v>827934</v>
      </c>
      <c r="S12" s="4">
        <f t="shared" si="0"/>
        <v>506551</v>
      </c>
      <c r="T12" s="4">
        <f t="shared" si="0"/>
        <v>105264</v>
      </c>
      <c r="U12" s="4"/>
      <c r="V12" s="4"/>
      <c r="W12" s="4"/>
      <c r="X12" s="4">
        <f t="shared" ref="X12" si="2">X13+X14</f>
        <v>0</v>
      </c>
      <c r="Y12" s="4"/>
      <c r="Z12" s="4"/>
      <c r="AA12" s="4"/>
      <c r="AB12" s="4"/>
      <c r="AC12" s="4">
        <f t="shared" si="0"/>
        <v>506551</v>
      </c>
      <c r="AD12" s="4">
        <f>AD13+AD14</f>
        <v>0</v>
      </c>
      <c r="AE12" s="4">
        <f t="shared" ref="AE12:AK12" si="3">AE13+AE14</f>
        <v>0</v>
      </c>
      <c r="AF12" s="4"/>
      <c r="AG12" s="4"/>
      <c r="AH12" s="4">
        <f t="shared" ref="AH12" si="4">AH13+AH14</f>
        <v>0</v>
      </c>
      <c r="AI12" s="4"/>
      <c r="AJ12" s="4"/>
      <c r="AK12" s="4">
        <f t="shared" si="3"/>
        <v>0</v>
      </c>
      <c r="AL12" s="38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</row>
    <row r="13" spans="1:63" ht="28.5" hidden="1" customHeight="1" x14ac:dyDescent="0.25">
      <c r="A13" s="39"/>
      <c r="B13" s="11"/>
      <c r="C13" s="29">
        <v>912</v>
      </c>
      <c r="D13" s="10">
        <v>671955</v>
      </c>
      <c r="E13" s="10"/>
      <c r="F13" s="10"/>
      <c r="G13" s="10"/>
      <c r="H13" s="10">
        <f>42906+2258+4200</f>
        <v>49364</v>
      </c>
      <c r="I13" s="10">
        <v>7466</v>
      </c>
      <c r="J13" s="10">
        <f>-2146-112</f>
        <v>-2258</v>
      </c>
      <c r="K13" s="10">
        <v>695</v>
      </c>
      <c r="L13" s="10">
        <f>1442+1257+3087+2942+16127+11502+5449</f>
        <v>41806</v>
      </c>
      <c r="M13" s="10">
        <f>159-159+1125+331</f>
        <v>1456</v>
      </c>
      <c r="N13" s="10">
        <f>24382+2674+489</f>
        <v>27545</v>
      </c>
      <c r="O13" s="10"/>
      <c r="P13" s="41">
        <f>1068-665-136-73</f>
        <v>194</v>
      </c>
      <c r="Q13" s="41"/>
      <c r="R13" s="10">
        <f>D13+E13+F13+G13+H13+I13+J13+K13+L13+M13+N13+O13+P13</f>
        <v>798223</v>
      </c>
      <c r="S13" s="10">
        <v>506551</v>
      </c>
      <c r="T13" s="10"/>
      <c r="U13" s="10"/>
      <c r="V13" s="10"/>
      <c r="W13" s="10"/>
      <c r="X13" s="10"/>
      <c r="Y13" s="10"/>
      <c r="Z13" s="10"/>
      <c r="AA13" s="10"/>
      <c r="AB13" s="10"/>
      <c r="AC13" s="10">
        <f>S13+T13+U13+V13+W13+X13+Y13</f>
        <v>506551</v>
      </c>
      <c r="AD13" s="10"/>
      <c r="AE13" s="10"/>
      <c r="AF13" s="10"/>
      <c r="AG13" s="10"/>
      <c r="AH13" s="10"/>
      <c r="AI13" s="10"/>
      <c r="AJ13" s="10"/>
      <c r="AK13" s="10">
        <f>AD13+AE13</f>
        <v>0</v>
      </c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</row>
    <row r="14" spans="1:63" ht="29.25" hidden="1" customHeight="1" x14ac:dyDescent="0.25">
      <c r="A14" s="39"/>
      <c r="B14" s="11"/>
      <c r="C14" s="29">
        <v>914</v>
      </c>
      <c r="D14" s="10"/>
      <c r="E14" s="10"/>
      <c r="F14" s="10">
        <f>29711+11100+64736</f>
        <v>105547</v>
      </c>
      <c r="G14" s="10"/>
      <c r="H14" s="10"/>
      <c r="I14" s="10"/>
      <c r="J14" s="10"/>
      <c r="K14" s="10"/>
      <c r="L14" s="10"/>
      <c r="M14" s="10">
        <f>-64736-11100</f>
        <v>-75836</v>
      </c>
      <c r="N14" s="10"/>
      <c r="O14" s="10"/>
      <c r="P14" s="41"/>
      <c r="Q14" s="41"/>
      <c r="R14" s="10">
        <f>D14+E14+F14+G14+H14+I14+J14+K14+L14+M14+N14+O14+P14</f>
        <v>29711</v>
      </c>
      <c r="S14" s="10"/>
      <c r="T14" s="10">
        <f>100000+5264</f>
        <v>105264</v>
      </c>
      <c r="U14" s="10"/>
      <c r="V14" s="10"/>
      <c r="W14" s="10"/>
      <c r="X14" s="10"/>
      <c r="Y14" s="10">
        <f>-105264</f>
        <v>-105264</v>
      </c>
      <c r="Z14" s="10"/>
      <c r="AA14" s="10"/>
      <c r="AB14" s="10"/>
      <c r="AC14" s="10">
        <f>S14+T14+U14+V14+W14+X14+Y14</f>
        <v>0</v>
      </c>
      <c r="AD14" s="10"/>
      <c r="AE14" s="10"/>
      <c r="AF14" s="10"/>
      <c r="AG14" s="10"/>
      <c r="AH14" s="10"/>
      <c r="AI14" s="10"/>
      <c r="AJ14" s="10"/>
      <c r="AK14" s="10">
        <f>AD14+AE14</f>
        <v>0</v>
      </c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</row>
    <row r="15" spans="1:63" ht="54" customHeight="1" x14ac:dyDescent="0.25">
      <c r="A15" s="39" t="s">
        <v>39</v>
      </c>
      <c r="B15" s="11" t="s">
        <v>74</v>
      </c>
      <c r="C15" s="3" t="s">
        <v>22</v>
      </c>
      <c r="D15" s="4">
        <f>D16+D17</f>
        <v>471125</v>
      </c>
      <c r="E15" s="4">
        <f t="shared" ref="E15:F15" si="5">E16+E17</f>
        <v>0</v>
      </c>
      <c r="F15" s="4">
        <f t="shared" si="5"/>
        <v>0</v>
      </c>
      <c r="G15" s="4">
        <f t="shared" ref="G15:R15" si="6">G16+G17</f>
        <v>275</v>
      </c>
      <c r="H15" s="4">
        <f t="shared" si="6"/>
        <v>-80</v>
      </c>
      <c r="I15" s="4">
        <f t="shared" si="6"/>
        <v>73614</v>
      </c>
      <c r="J15" s="4">
        <f t="shared" si="6"/>
        <v>0</v>
      </c>
      <c r="K15" s="4">
        <f t="shared" si="6"/>
        <v>2597</v>
      </c>
      <c r="L15" s="4">
        <f t="shared" si="6"/>
        <v>13816</v>
      </c>
      <c r="M15" s="4">
        <f t="shared" si="6"/>
        <v>8037</v>
      </c>
      <c r="N15" s="4">
        <f t="shared" si="6"/>
        <v>13640</v>
      </c>
      <c r="O15" s="4">
        <f t="shared" si="6"/>
        <v>0</v>
      </c>
      <c r="P15" s="59">
        <f t="shared" ref="P15:Q15" si="7">P16+P17</f>
        <v>989</v>
      </c>
      <c r="Q15" s="59">
        <f t="shared" si="7"/>
        <v>0</v>
      </c>
      <c r="R15" s="4">
        <f t="shared" si="6"/>
        <v>584013</v>
      </c>
      <c r="S15" s="4">
        <f t="shared" ref="S15" si="8">S16+S17</f>
        <v>435485</v>
      </c>
      <c r="T15" s="4">
        <f t="shared" ref="T15" si="9">T16+T17</f>
        <v>0</v>
      </c>
      <c r="U15" s="4"/>
      <c r="V15" s="4"/>
      <c r="W15" s="4"/>
      <c r="X15" s="4">
        <f t="shared" ref="X15" si="10">X16+X17</f>
        <v>0</v>
      </c>
      <c r="Y15" s="4"/>
      <c r="Z15" s="4"/>
      <c r="AA15" s="4"/>
      <c r="AB15" s="4"/>
      <c r="AC15" s="4">
        <f>AC16+AC17</f>
        <v>446245</v>
      </c>
      <c r="AD15" s="4">
        <f t="shared" ref="AD15" si="11">AD16+AD17</f>
        <v>446168</v>
      </c>
      <c r="AE15" s="4">
        <f t="shared" ref="AE15" si="12">AE16+AE17</f>
        <v>0</v>
      </c>
      <c r="AF15" s="4"/>
      <c r="AG15" s="4"/>
      <c r="AH15" s="4">
        <f t="shared" ref="AH15" si="13">AH16+AH17</f>
        <v>0</v>
      </c>
      <c r="AI15" s="4"/>
      <c r="AJ15" s="4"/>
      <c r="AK15" s="4">
        <f>AK16+AK17</f>
        <v>446168</v>
      </c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</row>
    <row r="16" spans="1:63" hidden="1" x14ac:dyDescent="0.25">
      <c r="A16" s="68"/>
      <c r="B16" s="71"/>
      <c r="C16" s="29">
        <v>914</v>
      </c>
      <c r="D16" s="10">
        <v>9404</v>
      </c>
      <c r="E16" s="10"/>
      <c r="F16" s="10"/>
      <c r="G16" s="10"/>
      <c r="H16" s="10">
        <v>-200</v>
      </c>
      <c r="I16" s="10"/>
      <c r="J16" s="10"/>
      <c r="K16" s="10">
        <v>-200</v>
      </c>
      <c r="L16" s="10"/>
      <c r="M16" s="10"/>
      <c r="N16" s="10"/>
      <c r="O16" s="10"/>
      <c r="P16" s="41">
        <v>-829</v>
      </c>
      <c r="Q16" s="41"/>
      <c r="R16" s="10">
        <f>D16+E16+F16+G16+H16+I16+J16+K16+L16+M16+N16+O16+P16</f>
        <v>8175</v>
      </c>
      <c r="S16" s="10">
        <v>9438</v>
      </c>
      <c r="T16" s="10"/>
      <c r="U16" s="10"/>
      <c r="V16" s="10"/>
      <c r="W16" s="10"/>
      <c r="X16" s="10"/>
      <c r="Y16" s="10"/>
      <c r="Z16" s="10"/>
      <c r="AA16" s="10"/>
      <c r="AB16" s="10"/>
      <c r="AC16" s="10">
        <f>S16+T16+U16+V16+W16+X16</f>
        <v>9438</v>
      </c>
      <c r="AD16" s="10"/>
      <c r="AE16" s="10"/>
      <c r="AF16" s="10"/>
      <c r="AG16" s="10"/>
      <c r="AH16" s="10"/>
      <c r="AI16" s="10"/>
      <c r="AJ16" s="10"/>
      <c r="AK16" s="10">
        <f>AD16+AE16+AG16+AH16</f>
        <v>0</v>
      </c>
    </row>
    <row r="17" spans="1:38" hidden="1" x14ac:dyDescent="0.25">
      <c r="A17" s="70"/>
      <c r="B17" s="73"/>
      <c r="C17" s="29">
        <v>917</v>
      </c>
      <c r="D17" s="10">
        <v>461721</v>
      </c>
      <c r="E17" s="10"/>
      <c r="F17" s="10"/>
      <c r="G17" s="10">
        <v>275</v>
      </c>
      <c r="H17" s="10">
        <v>120</v>
      </c>
      <c r="I17" s="10">
        <f>27812+40000+3899+1903</f>
        <v>73614</v>
      </c>
      <c r="J17" s="10"/>
      <c r="K17" s="10">
        <f>275-275+2800-3</f>
        <v>2797</v>
      </c>
      <c r="L17" s="10">
        <f>10000+3816</f>
        <v>13816</v>
      </c>
      <c r="M17" s="10">
        <v>8037</v>
      </c>
      <c r="N17" s="10">
        <f>12914+726</f>
        <v>13640</v>
      </c>
      <c r="O17" s="10"/>
      <c r="P17" s="41">
        <f>-288-1541+3647</f>
        <v>1818</v>
      </c>
      <c r="Q17" s="41"/>
      <c r="R17" s="10">
        <f>D17+E17+F17+G17+H17+I17+J17+K17+L17+M17+N17+O17+P17</f>
        <v>575838</v>
      </c>
      <c r="S17" s="10">
        <v>426047</v>
      </c>
      <c r="T17" s="10"/>
      <c r="U17" s="10"/>
      <c r="V17" s="10"/>
      <c r="W17" s="10"/>
      <c r="X17" s="10"/>
      <c r="Y17" s="10">
        <v>10760</v>
      </c>
      <c r="Z17" s="10"/>
      <c r="AA17" s="10"/>
      <c r="AB17" s="10"/>
      <c r="AC17" s="10">
        <f>S17+T17+U17+V17+W17+X17+Y17</f>
        <v>436807</v>
      </c>
      <c r="AD17" s="10">
        <v>446168</v>
      </c>
      <c r="AE17" s="10"/>
      <c r="AF17" s="10"/>
      <c r="AG17" s="10"/>
      <c r="AH17" s="10"/>
      <c r="AI17" s="10"/>
      <c r="AJ17" s="10"/>
      <c r="AK17" s="10">
        <f>AD17+AE17+AG17+AH17</f>
        <v>446168</v>
      </c>
    </row>
    <row r="18" spans="1:38" ht="49.5" customHeight="1" x14ac:dyDescent="0.25">
      <c r="A18" s="39" t="s">
        <v>40</v>
      </c>
      <c r="B18" s="11" t="s">
        <v>75</v>
      </c>
      <c r="C18" s="3" t="s">
        <v>5</v>
      </c>
      <c r="D18" s="4">
        <v>30294</v>
      </c>
      <c r="E18" s="4"/>
      <c r="F18" s="4"/>
      <c r="G18" s="4"/>
      <c r="H18" s="4"/>
      <c r="I18" s="4"/>
      <c r="J18" s="4">
        <f>-554+3652+554</f>
        <v>3652</v>
      </c>
      <c r="K18" s="4"/>
      <c r="L18" s="4"/>
      <c r="M18" s="4"/>
      <c r="N18" s="4"/>
      <c r="O18" s="4"/>
      <c r="P18" s="59">
        <v>-21</v>
      </c>
      <c r="Q18" s="59"/>
      <c r="R18" s="4">
        <f>D18+E18+F18+G18+H18+I18+J18+K18+L18+M18+N18+O18+P18</f>
        <v>33925</v>
      </c>
      <c r="S18" s="4">
        <v>30020</v>
      </c>
      <c r="T18" s="4"/>
      <c r="U18" s="4"/>
      <c r="V18" s="4"/>
      <c r="W18" s="4"/>
      <c r="X18" s="4"/>
      <c r="Y18" s="4"/>
      <c r="Z18" s="4"/>
      <c r="AA18" s="4"/>
      <c r="AB18" s="4"/>
      <c r="AC18" s="4">
        <f>S18+T18+U18+V18+W18+X18</f>
        <v>30020</v>
      </c>
      <c r="AD18" s="4">
        <v>30091</v>
      </c>
      <c r="AE18" s="17"/>
      <c r="AF18" s="17"/>
      <c r="AG18" s="17"/>
      <c r="AH18" s="4"/>
      <c r="AI18" s="4"/>
      <c r="AJ18" s="4"/>
      <c r="AK18" s="4">
        <f>AD18+AE18+AG18+AH18</f>
        <v>30091</v>
      </c>
    </row>
    <row r="19" spans="1:38" ht="82.5" customHeight="1" x14ac:dyDescent="0.25">
      <c r="A19" s="39" t="s">
        <v>41</v>
      </c>
      <c r="B19" s="11" t="s">
        <v>76</v>
      </c>
      <c r="C19" s="3" t="s">
        <v>6</v>
      </c>
      <c r="D19" s="4">
        <f>SUM(D20:D23)</f>
        <v>3454</v>
      </c>
      <c r="E19" s="4">
        <f t="shared" ref="E19:R19" si="14">SUM(E20:E23)</f>
        <v>0</v>
      </c>
      <c r="F19" s="4">
        <f t="shared" si="14"/>
        <v>0</v>
      </c>
      <c r="G19" s="4">
        <f t="shared" si="14"/>
        <v>0</v>
      </c>
      <c r="H19" s="4">
        <f t="shared" si="14"/>
        <v>0</v>
      </c>
      <c r="I19" s="4">
        <f t="shared" si="14"/>
        <v>0</v>
      </c>
      <c r="J19" s="4">
        <f t="shared" si="14"/>
        <v>0</v>
      </c>
      <c r="K19" s="4">
        <f t="shared" si="14"/>
        <v>0</v>
      </c>
      <c r="L19" s="4">
        <f t="shared" si="14"/>
        <v>0</v>
      </c>
      <c r="M19" s="4">
        <f t="shared" si="14"/>
        <v>0</v>
      </c>
      <c r="N19" s="4">
        <f t="shared" si="14"/>
        <v>0</v>
      </c>
      <c r="O19" s="4">
        <f t="shared" si="14"/>
        <v>0</v>
      </c>
      <c r="P19" s="4">
        <f t="shared" ref="P19:Q19" si="15">SUM(P20:P23)</f>
        <v>0</v>
      </c>
      <c r="Q19" s="4">
        <f t="shared" si="15"/>
        <v>0</v>
      </c>
      <c r="R19" s="4">
        <f t="shared" si="14"/>
        <v>3454</v>
      </c>
      <c r="S19" s="4">
        <f t="shared" ref="S19" si="16">SUM(S20:S23)</f>
        <v>2603</v>
      </c>
      <c r="T19" s="4">
        <f t="shared" ref="T19" si="17">SUM(T20:T23)</f>
        <v>0</v>
      </c>
      <c r="U19" s="4"/>
      <c r="V19" s="4"/>
      <c r="W19" s="4"/>
      <c r="X19" s="4">
        <f t="shared" ref="X19" si="18">SUM(X20:X23)</f>
        <v>0</v>
      </c>
      <c r="Y19" s="4"/>
      <c r="Z19" s="4"/>
      <c r="AA19" s="4"/>
      <c r="AB19" s="4"/>
      <c r="AC19" s="4">
        <f t="shared" ref="AC19" si="19">SUM(AC20:AC23)</f>
        <v>2603</v>
      </c>
      <c r="AD19" s="4">
        <f t="shared" ref="AD19" si="20">SUM(AD20:AD23)</f>
        <v>2180</v>
      </c>
      <c r="AE19" s="4">
        <f t="shared" ref="AE19" si="21">SUM(AE20:AE23)</f>
        <v>0</v>
      </c>
      <c r="AF19" s="4"/>
      <c r="AG19" s="4"/>
      <c r="AH19" s="4">
        <f t="shared" ref="AH19" si="22">SUM(AH20:AH23)</f>
        <v>0</v>
      </c>
      <c r="AI19" s="4"/>
      <c r="AJ19" s="4"/>
      <c r="AK19" s="4">
        <f t="shared" ref="AK19" si="23">SUM(AK20:AK23)</f>
        <v>2180</v>
      </c>
    </row>
    <row r="20" spans="1:38" ht="15.75" customHeight="1" x14ac:dyDescent="0.25">
      <c r="A20" s="68"/>
      <c r="B20" s="71"/>
      <c r="C20" s="29">
        <v>909</v>
      </c>
      <c r="D20" s="10">
        <v>835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>
        <f>D20+E20+F20+G20+H20+I20+J20+K20+L20+M20+N20+O20</f>
        <v>835</v>
      </c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>
        <f>S20+T20+U20+V20+W20+X20</f>
        <v>0</v>
      </c>
      <c r="AD20" s="10"/>
      <c r="AE20" s="10"/>
      <c r="AF20" s="10"/>
      <c r="AG20" s="10"/>
      <c r="AH20" s="10"/>
      <c r="AI20" s="10"/>
      <c r="AJ20" s="10"/>
      <c r="AK20" s="10">
        <f>AD20+AE20+AG20+AH20</f>
        <v>0</v>
      </c>
    </row>
    <row r="21" spans="1:38" ht="15.75" customHeight="1" x14ac:dyDescent="0.25">
      <c r="A21" s="69"/>
      <c r="B21" s="72"/>
      <c r="C21" s="29">
        <v>912</v>
      </c>
      <c r="D21" s="10">
        <v>416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>
        <f>D21+E21+F21+G21+H21+I21+J21+K21+L21+M21+N21+O21</f>
        <v>416</v>
      </c>
      <c r="S21" s="10">
        <v>423</v>
      </c>
      <c r="T21" s="10"/>
      <c r="U21" s="10"/>
      <c r="V21" s="10"/>
      <c r="W21" s="10"/>
      <c r="X21" s="10"/>
      <c r="Y21" s="10"/>
      <c r="Z21" s="10"/>
      <c r="AA21" s="10"/>
      <c r="AB21" s="10"/>
      <c r="AC21" s="10">
        <f>S21+T21+U21+V21+W21+X21</f>
        <v>423</v>
      </c>
      <c r="AD21" s="10"/>
      <c r="AE21" s="10"/>
      <c r="AF21" s="10"/>
      <c r="AG21" s="10"/>
      <c r="AH21" s="10"/>
      <c r="AI21" s="10"/>
      <c r="AJ21" s="10"/>
      <c r="AK21" s="10">
        <f>AD21+AE21+AG21+AH21</f>
        <v>0</v>
      </c>
    </row>
    <row r="22" spans="1:38" ht="15.75" customHeight="1" x14ac:dyDescent="0.25">
      <c r="A22" s="69"/>
      <c r="B22" s="72"/>
      <c r="C22" s="29">
        <v>917</v>
      </c>
      <c r="D22" s="10">
        <v>407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>
        <f>D22+E22+F22+G22+H22+I22+J22+K22+L22+M22+N22+O22</f>
        <v>407</v>
      </c>
      <c r="S22" s="10">
        <v>384</v>
      </c>
      <c r="T22" s="10"/>
      <c r="U22" s="10"/>
      <c r="V22" s="10"/>
      <c r="W22" s="10"/>
      <c r="X22" s="10"/>
      <c r="Y22" s="10"/>
      <c r="Z22" s="10"/>
      <c r="AA22" s="10"/>
      <c r="AB22" s="10"/>
      <c r="AC22" s="10">
        <f>S22+T22+U22+V22+W22+X22</f>
        <v>384</v>
      </c>
      <c r="AD22" s="10">
        <v>384</v>
      </c>
      <c r="AE22" s="10"/>
      <c r="AF22" s="10"/>
      <c r="AG22" s="10"/>
      <c r="AH22" s="10"/>
      <c r="AI22" s="10"/>
      <c r="AJ22" s="10"/>
      <c r="AK22" s="10">
        <f>AD22+AE22+AG22+AH22</f>
        <v>384</v>
      </c>
    </row>
    <row r="23" spans="1:38" ht="15.75" customHeight="1" x14ac:dyDescent="0.25">
      <c r="A23" s="70"/>
      <c r="B23" s="73"/>
      <c r="C23" s="29">
        <v>920</v>
      </c>
      <c r="D23" s="10">
        <v>1796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>
        <f>D23+E23+F23+G23+H23+I23+J23+K23+L23+M23+N23+O23</f>
        <v>1796</v>
      </c>
      <c r="S23" s="10">
        <v>1796</v>
      </c>
      <c r="T23" s="10"/>
      <c r="U23" s="10"/>
      <c r="V23" s="10"/>
      <c r="W23" s="10"/>
      <c r="X23" s="10"/>
      <c r="Y23" s="10"/>
      <c r="Z23" s="10"/>
      <c r="AA23" s="10"/>
      <c r="AB23" s="10"/>
      <c r="AC23" s="10">
        <f>S23+T23+U23+V23+W23+X23</f>
        <v>1796</v>
      </c>
      <c r="AD23" s="10">
        <v>1796</v>
      </c>
      <c r="AE23" s="10"/>
      <c r="AF23" s="10"/>
      <c r="AG23" s="10"/>
      <c r="AH23" s="10"/>
      <c r="AI23" s="10"/>
      <c r="AJ23" s="10"/>
      <c r="AK23" s="10">
        <f>AD23+AE23+AG23+AH23</f>
        <v>1796</v>
      </c>
    </row>
    <row r="24" spans="1:38" ht="70.5" customHeight="1" x14ac:dyDescent="0.25">
      <c r="A24" s="39" t="s">
        <v>42</v>
      </c>
      <c r="B24" s="11" t="s">
        <v>77</v>
      </c>
      <c r="C24" s="3" t="s">
        <v>23</v>
      </c>
      <c r="D24" s="4">
        <f>SUM(D25:D27)</f>
        <v>135184</v>
      </c>
      <c r="E24" s="4">
        <f t="shared" ref="E24:K24" si="24">SUM(E25:E27)</f>
        <v>0</v>
      </c>
      <c r="F24" s="4">
        <f t="shared" si="24"/>
        <v>0</v>
      </c>
      <c r="G24" s="4"/>
      <c r="H24" s="4">
        <f t="shared" si="24"/>
        <v>1370</v>
      </c>
      <c r="I24" s="4">
        <f t="shared" si="24"/>
        <v>8690</v>
      </c>
      <c r="J24" s="4">
        <f t="shared" si="24"/>
        <v>0</v>
      </c>
      <c r="K24" s="4">
        <f t="shared" si="24"/>
        <v>-949</v>
      </c>
      <c r="L24" s="4">
        <f t="shared" ref="L24:R24" si="25">SUM(L25:L28)</f>
        <v>20874</v>
      </c>
      <c r="M24" s="4">
        <f t="shared" si="25"/>
        <v>0</v>
      </c>
      <c r="N24" s="4">
        <f t="shared" si="25"/>
        <v>0</v>
      </c>
      <c r="O24" s="4">
        <f t="shared" si="25"/>
        <v>-381</v>
      </c>
      <c r="P24" s="59">
        <f t="shared" si="25"/>
        <v>-57</v>
      </c>
      <c r="Q24" s="59">
        <f t="shared" ref="Q24" si="26">SUM(Q25:Q28)</f>
        <v>-516</v>
      </c>
      <c r="R24" s="4">
        <f t="shared" si="25"/>
        <v>164215</v>
      </c>
      <c r="S24" s="4">
        <f t="shared" ref="S24:AK24" si="27">SUM(S25:S27)</f>
        <v>89327</v>
      </c>
      <c r="T24" s="4"/>
      <c r="U24" s="4"/>
      <c r="V24" s="4"/>
      <c r="W24" s="4"/>
      <c r="X24" s="4">
        <f t="shared" ref="X24:AC24" si="28">SUM(X25:X27)</f>
        <v>8591</v>
      </c>
      <c r="Y24" s="4"/>
      <c r="Z24" s="4"/>
      <c r="AA24" s="4"/>
      <c r="AB24" s="4"/>
      <c r="AC24" s="4">
        <f t="shared" si="28"/>
        <v>99507</v>
      </c>
      <c r="AD24" s="4">
        <f t="shared" si="27"/>
        <v>81323</v>
      </c>
      <c r="AE24" s="4">
        <f t="shared" si="27"/>
        <v>0</v>
      </c>
      <c r="AF24" s="4"/>
      <c r="AG24" s="4"/>
      <c r="AH24" s="4">
        <f t="shared" ref="AH24" si="29">SUM(AH25:AH27)</f>
        <v>8737</v>
      </c>
      <c r="AI24" s="4"/>
      <c r="AJ24" s="4"/>
      <c r="AK24" s="4">
        <f t="shared" si="27"/>
        <v>91649</v>
      </c>
      <c r="AL24" s="25"/>
    </row>
    <row r="25" spans="1:38" ht="15.75" hidden="1" x14ac:dyDescent="0.25">
      <c r="A25" s="39"/>
      <c r="B25" s="11"/>
      <c r="C25" s="29">
        <v>913</v>
      </c>
      <c r="D25" s="10">
        <v>71314</v>
      </c>
      <c r="E25" s="10"/>
      <c r="F25" s="10"/>
      <c r="G25" s="10"/>
      <c r="H25" s="10"/>
      <c r="I25" s="10"/>
      <c r="J25" s="10"/>
      <c r="K25" s="10"/>
      <c r="L25" s="10">
        <f>3742+8412+3820+1699+965+382+2319</f>
        <v>21339</v>
      </c>
      <c r="M25" s="10"/>
      <c r="N25" s="10"/>
      <c r="O25" s="10"/>
      <c r="P25" s="41">
        <v>-57</v>
      </c>
      <c r="Q25" s="41"/>
      <c r="R25" s="10">
        <f>D25+E25+F25+G25+H25+I25+J25+K25+L25+M25+N25+O25+P25+Q25</f>
        <v>92596</v>
      </c>
      <c r="S25" s="10">
        <v>35618</v>
      </c>
      <c r="T25" s="10"/>
      <c r="U25" s="10"/>
      <c r="V25" s="10"/>
      <c r="W25" s="10"/>
      <c r="X25" s="10">
        <f>4371+1901+2319</f>
        <v>8591</v>
      </c>
      <c r="Y25" s="10"/>
      <c r="Z25" s="10"/>
      <c r="AA25" s="10"/>
      <c r="AB25" s="10"/>
      <c r="AC25" s="10">
        <f>S25+T25+U25+V25+W25+X25+Y25</f>
        <v>44209</v>
      </c>
      <c r="AD25" s="10">
        <v>35618</v>
      </c>
      <c r="AE25" s="10"/>
      <c r="AF25" s="10"/>
      <c r="AG25" s="10"/>
      <c r="AH25" s="10">
        <f>4473+1945+2319</f>
        <v>8737</v>
      </c>
      <c r="AI25" s="10"/>
      <c r="AJ25" s="10"/>
      <c r="AK25" s="10">
        <f>AD25+AE25+AG25+AH25+AI25</f>
        <v>44355</v>
      </c>
    </row>
    <row r="26" spans="1:38" ht="15.75" hidden="1" x14ac:dyDescent="0.25">
      <c r="A26" s="39"/>
      <c r="B26" s="11"/>
      <c r="C26" s="29">
        <v>915</v>
      </c>
      <c r="D26" s="10">
        <v>12921</v>
      </c>
      <c r="E26" s="10"/>
      <c r="F26" s="10"/>
      <c r="G26" s="10"/>
      <c r="H26" s="10"/>
      <c r="I26" s="10"/>
      <c r="J26" s="10"/>
      <c r="K26" s="10">
        <v>1016</v>
      </c>
      <c r="L26" s="41">
        <f>-48-3000-3463</f>
        <v>-6511</v>
      </c>
      <c r="M26" s="41"/>
      <c r="N26" s="41"/>
      <c r="O26" s="41">
        <v>130</v>
      </c>
      <c r="P26" s="41"/>
      <c r="Q26" s="41"/>
      <c r="R26" s="10">
        <f>D26+E26+F26+G26+H26+I26+J26+K26+L26+M26+N26+O26+P26+Q26</f>
        <v>7556</v>
      </c>
      <c r="S26" s="10">
        <v>5766</v>
      </c>
      <c r="T26" s="10"/>
      <c r="U26" s="10"/>
      <c r="V26" s="10"/>
      <c r="W26" s="10"/>
      <c r="X26" s="10"/>
      <c r="Y26" s="10">
        <f>1306+283</f>
        <v>1589</v>
      </c>
      <c r="Z26" s="10"/>
      <c r="AA26" s="10"/>
      <c r="AB26" s="10"/>
      <c r="AC26" s="10">
        <f t="shared" ref="AC26:AC28" si="30">S26+T26+U26+V26+W26+X26+Y26</f>
        <v>7355</v>
      </c>
      <c r="AD26" s="10">
        <v>5766</v>
      </c>
      <c r="AE26" s="10"/>
      <c r="AF26" s="10"/>
      <c r="AG26" s="10"/>
      <c r="AH26" s="10"/>
      <c r="AI26" s="10">
        <f>1306+283</f>
        <v>1589</v>
      </c>
      <c r="AJ26" s="10"/>
      <c r="AK26" s="10">
        <f t="shared" ref="AK26:AK28" si="31">AD26+AE26+AG26+AH26+AI26</f>
        <v>7355</v>
      </c>
    </row>
    <row r="27" spans="1:38" ht="15.75" hidden="1" x14ac:dyDescent="0.25">
      <c r="A27" s="39"/>
      <c r="B27" s="11"/>
      <c r="C27" s="29">
        <v>921</v>
      </c>
      <c r="D27" s="10">
        <f>50488+461</f>
        <v>50949</v>
      </c>
      <c r="E27" s="10"/>
      <c r="F27" s="10"/>
      <c r="G27" s="10"/>
      <c r="H27" s="10">
        <f>1364+6</f>
        <v>1370</v>
      </c>
      <c r="I27" s="10">
        <f>7212+1478</f>
        <v>8690</v>
      </c>
      <c r="J27" s="10"/>
      <c r="K27" s="10">
        <f>-2035+70</f>
        <v>-1965</v>
      </c>
      <c r="L27" s="41">
        <f>-588+113-40+50</f>
        <v>-465</v>
      </c>
      <c r="M27" s="41"/>
      <c r="N27" s="41"/>
      <c r="O27" s="41">
        <f>-221-335+45</f>
        <v>-511</v>
      </c>
      <c r="P27" s="41"/>
      <c r="Q27" s="41">
        <v>-516</v>
      </c>
      <c r="R27" s="10">
        <f>D27+E27+F27+G27+H27+I27+J27+K27+L27+M27+N27+O27+P27+Q27</f>
        <v>57552</v>
      </c>
      <c r="S27" s="10">
        <f>47511+432</f>
        <v>47943</v>
      </c>
      <c r="T27" s="10"/>
      <c r="U27" s="10"/>
      <c r="V27" s="10"/>
      <c r="W27" s="10"/>
      <c r="X27" s="10"/>
      <c r="Y27" s="10"/>
      <c r="Z27" s="10"/>
      <c r="AA27" s="10"/>
      <c r="AB27" s="10"/>
      <c r="AC27" s="10">
        <f t="shared" si="30"/>
        <v>47943</v>
      </c>
      <c r="AD27" s="10">
        <f>39554+385</f>
        <v>39939</v>
      </c>
      <c r="AE27" s="10"/>
      <c r="AF27" s="10"/>
      <c r="AG27" s="10"/>
      <c r="AH27" s="10"/>
      <c r="AI27" s="10"/>
      <c r="AJ27" s="10"/>
      <c r="AK27" s="10">
        <f t="shared" si="31"/>
        <v>39939</v>
      </c>
    </row>
    <row r="28" spans="1:38" ht="15.75" hidden="1" x14ac:dyDescent="0.25">
      <c r="A28" s="39"/>
      <c r="B28" s="11"/>
      <c r="C28" s="29">
        <v>924</v>
      </c>
      <c r="D28" s="10"/>
      <c r="E28" s="10"/>
      <c r="F28" s="10"/>
      <c r="G28" s="10"/>
      <c r="H28" s="10"/>
      <c r="I28" s="10"/>
      <c r="J28" s="10"/>
      <c r="K28" s="10"/>
      <c r="L28" s="41">
        <f>48+3000+3463</f>
        <v>6511</v>
      </c>
      <c r="M28" s="41"/>
      <c r="N28" s="41"/>
      <c r="O28" s="41"/>
      <c r="P28" s="41"/>
      <c r="Q28" s="41"/>
      <c r="R28" s="10">
        <f>D28+E28+F28+G28+H28+I28+J28+K28+L28+M28+N28+O28+P28+Q28</f>
        <v>6511</v>
      </c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>
        <f t="shared" si="30"/>
        <v>0</v>
      </c>
      <c r="AD28" s="10"/>
      <c r="AE28" s="10"/>
      <c r="AF28" s="10"/>
      <c r="AG28" s="10"/>
      <c r="AH28" s="10"/>
      <c r="AI28" s="10"/>
      <c r="AJ28" s="10"/>
      <c r="AK28" s="10">
        <f t="shared" si="31"/>
        <v>0</v>
      </c>
    </row>
    <row r="29" spans="1:38" ht="51" customHeight="1" x14ac:dyDescent="0.25">
      <c r="A29" s="39" t="s">
        <v>43</v>
      </c>
      <c r="B29" s="11" t="s">
        <v>78</v>
      </c>
      <c r="C29" s="3" t="s">
        <v>24</v>
      </c>
      <c r="D29" s="4">
        <v>254</v>
      </c>
      <c r="E29" s="4"/>
      <c r="F29" s="4"/>
      <c r="G29" s="4"/>
      <c r="H29" s="4"/>
      <c r="I29" s="4"/>
      <c r="J29" s="4"/>
      <c r="K29" s="4"/>
      <c r="L29" s="4"/>
      <c r="M29" s="4"/>
      <c r="N29" s="4">
        <v>-38</v>
      </c>
      <c r="O29" s="4"/>
      <c r="P29" s="59">
        <f>-37</f>
        <v>-37</v>
      </c>
      <c r="Q29" s="59"/>
      <c r="R29" s="4">
        <f>D29+E29+F29+G29+H29+I29+J29+K29+L29+M29+N29+O29+P29</f>
        <v>179</v>
      </c>
      <c r="S29" s="4">
        <v>236</v>
      </c>
      <c r="T29" s="4"/>
      <c r="U29" s="4"/>
      <c r="V29" s="4"/>
      <c r="W29" s="4"/>
      <c r="X29" s="4"/>
      <c r="Y29" s="4"/>
      <c r="Z29" s="4"/>
      <c r="AA29" s="4"/>
      <c r="AB29" s="4"/>
      <c r="AC29" s="4">
        <f>S29+T29+U29+V29+W29+X29</f>
        <v>236</v>
      </c>
      <c r="AD29" s="4"/>
      <c r="AE29" s="17"/>
      <c r="AF29" s="17"/>
      <c r="AG29" s="17"/>
      <c r="AH29" s="4"/>
      <c r="AI29" s="4"/>
      <c r="AJ29" s="4"/>
      <c r="AK29" s="4">
        <f>AD29+AE29+AG29+AH29</f>
        <v>0</v>
      </c>
    </row>
    <row r="30" spans="1:38" ht="49.5" customHeight="1" x14ac:dyDescent="0.25">
      <c r="A30" s="39" t="s">
        <v>44</v>
      </c>
      <c r="B30" s="11" t="s">
        <v>79</v>
      </c>
      <c r="C30" s="3" t="s">
        <v>30</v>
      </c>
      <c r="D30" s="4">
        <f>SUM(D31:D32)</f>
        <v>1871292</v>
      </c>
      <c r="E30" s="4">
        <f t="shared" ref="E30:R30" si="32">SUM(E31:E32)</f>
        <v>0</v>
      </c>
      <c r="F30" s="4">
        <f t="shared" si="32"/>
        <v>0</v>
      </c>
      <c r="G30" s="4"/>
      <c r="H30" s="4">
        <f t="shared" si="32"/>
        <v>3864300</v>
      </c>
      <c r="I30" s="4">
        <f t="shared" si="32"/>
        <v>2285</v>
      </c>
      <c r="J30" s="4">
        <f t="shared" si="32"/>
        <v>6343</v>
      </c>
      <c r="K30" s="4">
        <f t="shared" si="32"/>
        <v>160161</v>
      </c>
      <c r="L30" s="4">
        <f t="shared" si="32"/>
        <v>35815</v>
      </c>
      <c r="M30" s="4">
        <f t="shared" si="32"/>
        <v>15306</v>
      </c>
      <c r="N30" s="4">
        <f t="shared" si="32"/>
        <v>25670</v>
      </c>
      <c r="O30" s="4">
        <f t="shared" si="32"/>
        <v>0</v>
      </c>
      <c r="P30" s="59">
        <f t="shared" ref="P30:Q30" si="33">SUM(P31:P32)</f>
        <v>4008</v>
      </c>
      <c r="Q30" s="59">
        <f t="shared" si="33"/>
        <v>4812</v>
      </c>
      <c r="R30" s="4">
        <f t="shared" si="32"/>
        <v>5989992</v>
      </c>
      <c r="S30" s="4">
        <f>S31+S32</f>
        <v>1767576</v>
      </c>
      <c r="T30" s="4">
        <f>T31+T32</f>
        <v>0</v>
      </c>
      <c r="U30" s="4">
        <f>U31+U32</f>
        <v>0</v>
      </c>
      <c r="V30" s="4">
        <f>V31+V32</f>
        <v>5266</v>
      </c>
      <c r="W30" s="4">
        <f>W31+W32</f>
        <v>0</v>
      </c>
      <c r="X30" s="4">
        <f t="shared" ref="X30" si="34">SUM(X31:X32)</f>
        <v>77890</v>
      </c>
      <c r="Y30" s="4"/>
      <c r="Z30" s="4"/>
      <c r="AA30" s="4"/>
      <c r="AB30" s="4"/>
      <c r="AC30" s="4">
        <f t="shared" ref="AC30:AK30" si="35">AC31+AC32</f>
        <v>1850732</v>
      </c>
      <c r="AD30" s="4">
        <f t="shared" si="35"/>
        <v>1787416</v>
      </c>
      <c r="AE30" s="4">
        <f t="shared" si="35"/>
        <v>0</v>
      </c>
      <c r="AF30" s="4"/>
      <c r="AG30" s="4"/>
      <c r="AH30" s="4">
        <f t="shared" ref="AH30" si="36">SUM(AH31:AH32)</f>
        <v>-8737</v>
      </c>
      <c r="AI30" s="4"/>
      <c r="AJ30" s="4"/>
      <c r="AK30" s="4">
        <f t="shared" si="35"/>
        <v>1778679</v>
      </c>
      <c r="AL30" s="25"/>
    </row>
    <row r="31" spans="1:38" hidden="1" x14ac:dyDescent="0.25">
      <c r="A31" s="68"/>
      <c r="B31" s="71"/>
      <c r="C31" s="29">
        <v>913</v>
      </c>
      <c r="D31" s="10">
        <v>1862908</v>
      </c>
      <c r="E31" s="10"/>
      <c r="F31" s="10"/>
      <c r="G31" s="10"/>
      <c r="H31" s="10">
        <f>(1322499+181988+19505+22186+66063+2049426+63847)-545</f>
        <v>3724969</v>
      </c>
      <c r="I31" s="10">
        <f>2285+18946+53304-72250</f>
        <v>2285</v>
      </c>
      <c r="J31" s="10">
        <f>-1150+816+4201+2142+221+113</f>
        <v>6343</v>
      </c>
      <c r="K31" s="10">
        <f>72250+89083</f>
        <v>161333</v>
      </c>
      <c r="L31" s="10">
        <f>45000-6663-2522</f>
        <v>35815</v>
      </c>
      <c r="M31" s="10">
        <f>5482+1370+2048+6406</f>
        <v>15306</v>
      </c>
      <c r="N31" s="10">
        <f>1505+291+23874</f>
        <v>25670</v>
      </c>
      <c r="O31" s="10"/>
      <c r="P31" s="41">
        <f>-1072-538-7217-400+13235</f>
        <v>4008</v>
      </c>
      <c r="Q31" s="41">
        <f>47+4765</f>
        <v>4812</v>
      </c>
      <c r="R31" s="10">
        <f>D31+E31+F31+G31+H31+I31+J31+K31+L31+M31+N31+O31+P31+Q31</f>
        <v>5843449</v>
      </c>
      <c r="S31" s="10">
        <v>1758426</v>
      </c>
      <c r="T31" s="10"/>
      <c r="U31" s="10"/>
      <c r="V31" s="10"/>
      <c r="W31" s="10"/>
      <c r="X31" s="10">
        <f>-6232-2359</f>
        <v>-8591</v>
      </c>
      <c r="Y31" s="10"/>
      <c r="Z31" s="10"/>
      <c r="AA31" s="10"/>
      <c r="AB31" s="10"/>
      <c r="AC31" s="10">
        <f>S31+T31+U31+V31+W31+X31</f>
        <v>1749835</v>
      </c>
      <c r="AD31" s="10">
        <v>1778526</v>
      </c>
      <c r="AE31" s="10"/>
      <c r="AF31" s="10"/>
      <c r="AG31" s="10"/>
      <c r="AH31" s="10">
        <f>-6338-2399</f>
        <v>-8737</v>
      </c>
      <c r="AI31" s="10"/>
      <c r="AJ31" s="10"/>
      <c r="AK31" s="10">
        <f>AD31+AE31+AG31+AH31</f>
        <v>1769789</v>
      </c>
    </row>
    <row r="32" spans="1:38" hidden="1" x14ac:dyDescent="0.25">
      <c r="A32" s="70"/>
      <c r="B32" s="73"/>
      <c r="C32" s="29">
        <v>914</v>
      </c>
      <c r="D32" s="10">
        <v>8384</v>
      </c>
      <c r="E32" s="10"/>
      <c r="F32" s="10"/>
      <c r="G32" s="10"/>
      <c r="H32" s="10">
        <f>142191-1172+200-1888</f>
        <v>139331</v>
      </c>
      <c r="I32" s="10"/>
      <c r="J32" s="10"/>
      <c r="K32" s="10">
        <v>-1172</v>
      </c>
      <c r="L32" s="10"/>
      <c r="M32" s="10"/>
      <c r="N32" s="10"/>
      <c r="O32" s="10"/>
      <c r="P32" s="41"/>
      <c r="Q32" s="41"/>
      <c r="R32" s="10">
        <f>D32+E32+F32+G32+H32+I32+J32+K32+L32+M32+N32+O32+P32+Q32</f>
        <v>146543</v>
      </c>
      <c r="S32" s="10">
        <v>9150</v>
      </c>
      <c r="T32" s="10"/>
      <c r="U32" s="10"/>
      <c r="V32" s="10">
        <v>5266</v>
      </c>
      <c r="W32" s="10"/>
      <c r="X32" s="10">
        <v>86481</v>
      </c>
      <c r="Y32" s="10"/>
      <c r="Z32" s="10"/>
      <c r="AA32" s="10"/>
      <c r="AB32" s="10"/>
      <c r="AC32" s="10">
        <f>S32+T32+U32+V32+W32+X32</f>
        <v>100897</v>
      </c>
      <c r="AD32" s="10">
        <v>8890</v>
      </c>
      <c r="AE32" s="10"/>
      <c r="AF32" s="10"/>
      <c r="AG32" s="10"/>
      <c r="AH32" s="10"/>
      <c r="AI32" s="10"/>
      <c r="AJ32" s="10"/>
      <c r="AK32" s="10">
        <f>AD32+AE32+AG32+AH32</f>
        <v>8890</v>
      </c>
    </row>
    <row r="33" spans="1:37" ht="47.25" x14ac:dyDescent="0.25">
      <c r="A33" s="39" t="s">
        <v>45</v>
      </c>
      <c r="B33" s="11" t="s">
        <v>80</v>
      </c>
      <c r="C33" s="3" t="s">
        <v>20</v>
      </c>
      <c r="D33" s="4">
        <v>32351</v>
      </c>
      <c r="E33" s="4"/>
      <c r="F33" s="4">
        <v>609</v>
      </c>
      <c r="G33" s="4"/>
      <c r="H33" s="4"/>
      <c r="I33" s="4"/>
      <c r="J33" s="4">
        <v>111579</v>
      </c>
      <c r="K33" s="4"/>
      <c r="L33" s="4"/>
      <c r="M33" s="4"/>
      <c r="N33" s="4"/>
      <c r="O33" s="4"/>
      <c r="P33" s="59">
        <f>-609</f>
        <v>-609</v>
      </c>
      <c r="Q33" s="59"/>
      <c r="R33" s="4">
        <f>D33+E33+F33+G33+H33+I33+J33+K33+L33+M33+N33+O33+P33</f>
        <v>143930</v>
      </c>
      <c r="S33" s="4">
        <v>50000</v>
      </c>
      <c r="T33" s="4"/>
      <c r="U33" s="4"/>
      <c r="V33" s="4"/>
      <c r="W33" s="4"/>
      <c r="X33" s="4"/>
      <c r="Y33" s="4"/>
      <c r="Z33" s="4"/>
      <c r="AA33" s="4"/>
      <c r="AB33" s="4"/>
      <c r="AC33" s="4">
        <f>S33+T33+U33+V33+W33+X33</f>
        <v>50000</v>
      </c>
      <c r="AD33" s="4">
        <v>88301</v>
      </c>
      <c r="AE33" s="17"/>
      <c r="AF33" s="17"/>
      <c r="AG33" s="17"/>
      <c r="AH33" s="4"/>
      <c r="AI33" s="4"/>
      <c r="AJ33" s="4"/>
      <c r="AK33" s="4">
        <f>AD33+AE33+AG33+AH33</f>
        <v>88301</v>
      </c>
    </row>
    <row r="34" spans="1:37" ht="99.75" customHeight="1" x14ac:dyDescent="0.25">
      <c r="A34" s="39" t="s">
        <v>46</v>
      </c>
      <c r="B34" s="11" t="s">
        <v>81</v>
      </c>
      <c r="C34" s="3" t="s">
        <v>7</v>
      </c>
      <c r="D34" s="4">
        <f>SUM(D35:D39)</f>
        <v>72899</v>
      </c>
      <c r="E34" s="4">
        <f t="shared" ref="E34:R34" si="37">SUM(E35:E39)</f>
        <v>0</v>
      </c>
      <c r="F34" s="4">
        <f t="shared" si="37"/>
        <v>0</v>
      </c>
      <c r="G34" s="4">
        <f t="shared" si="37"/>
        <v>0</v>
      </c>
      <c r="H34" s="4">
        <f t="shared" si="37"/>
        <v>-994</v>
      </c>
      <c r="I34" s="4">
        <f t="shared" si="37"/>
        <v>776</v>
      </c>
      <c r="J34" s="4">
        <f t="shared" si="37"/>
        <v>0</v>
      </c>
      <c r="K34" s="4">
        <f t="shared" si="37"/>
        <v>0</v>
      </c>
      <c r="L34" s="4">
        <f t="shared" si="37"/>
        <v>0</v>
      </c>
      <c r="M34" s="4">
        <f t="shared" si="37"/>
        <v>19</v>
      </c>
      <c r="N34" s="4">
        <f t="shared" si="37"/>
        <v>0</v>
      </c>
      <c r="O34" s="4">
        <f t="shared" si="37"/>
        <v>-141</v>
      </c>
      <c r="P34" s="59">
        <f t="shared" ref="P34:Q34" si="38">SUM(P35:P39)</f>
        <v>-476</v>
      </c>
      <c r="Q34" s="59">
        <f t="shared" si="38"/>
        <v>0</v>
      </c>
      <c r="R34" s="4">
        <f t="shared" si="37"/>
        <v>72083</v>
      </c>
      <c r="S34" s="4">
        <f t="shared" ref="S34" si="39">SUM(S35:S39)</f>
        <v>67401</v>
      </c>
      <c r="T34" s="4">
        <f t="shared" ref="T34" si="40">SUM(T35:T39)</f>
        <v>0</v>
      </c>
      <c r="U34" s="4"/>
      <c r="V34" s="4"/>
      <c r="W34" s="4"/>
      <c r="X34" s="4">
        <f t="shared" ref="X34" si="41">SUM(X35:X39)</f>
        <v>0</v>
      </c>
      <c r="Y34" s="4"/>
      <c r="Z34" s="4"/>
      <c r="AA34" s="4"/>
      <c r="AB34" s="4"/>
      <c r="AC34" s="4">
        <f t="shared" ref="AC34" si="42">SUM(AC35:AC39)</f>
        <v>67401</v>
      </c>
      <c r="AD34" s="4">
        <f t="shared" ref="AD34" si="43">SUM(AD35:AD39)</f>
        <v>67401</v>
      </c>
      <c r="AE34" s="4">
        <f t="shared" ref="AE34" si="44">SUM(AE35:AE39)</f>
        <v>0</v>
      </c>
      <c r="AF34" s="4"/>
      <c r="AG34" s="4"/>
      <c r="AH34" s="4">
        <f t="shared" ref="AH34" si="45">SUM(AH35:AH39)</f>
        <v>0</v>
      </c>
      <c r="AI34" s="4"/>
      <c r="AJ34" s="4"/>
      <c r="AK34" s="4">
        <f t="shared" ref="AK34" si="46">SUM(AK35:AK39)</f>
        <v>67401</v>
      </c>
    </row>
    <row r="35" spans="1:37" hidden="1" x14ac:dyDescent="0.25">
      <c r="A35" s="68"/>
      <c r="B35" s="71"/>
      <c r="C35" s="29">
        <v>906</v>
      </c>
      <c r="D35" s="10">
        <v>69590</v>
      </c>
      <c r="E35" s="10"/>
      <c r="F35" s="10"/>
      <c r="G35" s="10"/>
      <c r="H35" s="10">
        <v>-994</v>
      </c>
      <c r="I35" s="10"/>
      <c r="J35" s="10"/>
      <c r="K35" s="10"/>
      <c r="L35" s="10"/>
      <c r="M35" s="10">
        <v>19</v>
      </c>
      <c r="N35" s="10"/>
      <c r="O35" s="10">
        <f>-65-76</f>
        <v>-141</v>
      </c>
      <c r="P35" s="41">
        <f>-286</f>
        <v>-286</v>
      </c>
      <c r="Q35" s="41"/>
      <c r="R35" s="10">
        <f>D35+E35+F35+G35+H35+I35+J35+K35+L35+M35+N35+O35+P35</f>
        <v>68188</v>
      </c>
      <c r="S35" s="10">
        <f>61605+86+2795</f>
        <v>64486</v>
      </c>
      <c r="T35" s="10"/>
      <c r="U35" s="10"/>
      <c r="V35" s="10"/>
      <c r="W35" s="10"/>
      <c r="X35" s="10"/>
      <c r="Y35" s="10"/>
      <c r="Z35" s="10"/>
      <c r="AA35" s="10"/>
      <c r="AB35" s="10"/>
      <c r="AC35" s="10">
        <f t="shared" ref="AC35:AC40" si="47">S35+T35+U35+V35+W35+X35</f>
        <v>64486</v>
      </c>
      <c r="AD35" s="10">
        <v>64486</v>
      </c>
      <c r="AE35" s="10"/>
      <c r="AF35" s="10"/>
      <c r="AG35" s="10"/>
      <c r="AH35" s="10"/>
      <c r="AI35" s="10"/>
      <c r="AJ35" s="10"/>
      <c r="AK35" s="10">
        <f t="shared" ref="AK35:AK40" si="48">AD35+AE35+AG35+AH35</f>
        <v>64486</v>
      </c>
    </row>
    <row r="36" spans="1:37" hidden="1" x14ac:dyDescent="0.25">
      <c r="A36" s="69"/>
      <c r="B36" s="72"/>
      <c r="C36" s="29">
        <v>912</v>
      </c>
      <c r="D36" s="10"/>
      <c r="E36" s="10"/>
      <c r="F36" s="10"/>
      <c r="G36" s="10"/>
      <c r="H36" s="10"/>
      <c r="I36" s="10">
        <v>776</v>
      </c>
      <c r="J36" s="10"/>
      <c r="K36" s="10"/>
      <c r="L36" s="10"/>
      <c r="M36" s="10"/>
      <c r="N36" s="10"/>
      <c r="O36" s="10"/>
      <c r="P36" s="41"/>
      <c r="Q36" s="41"/>
      <c r="R36" s="10">
        <f t="shared" ref="R36:R38" si="49">D36+E36+F36+G36+H36+I36+J36+K36+L36+M36+N36+O36</f>
        <v>776</v>
      </c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>
        <f t="shared" si="47"/>
        <v>0</v>
      </c>
      <c r="AD36" s="10"/>
      <c r="AE36" s="10"/>
      <c r="AF36" s="10"/>
      <c r="AG36" s="10"/>
      <c r="AH36" s="10"/>
      <c r="AI36" s="10"/>
      <c r="AJ36" s="10"/>
      <c r="AK36" s="10">
        <f t="shared" si="48"/>
        <v>0</v>
      </c>
    </row>
    <row r="37" spans="1:37" hidden="1" x14ac:dyDescent="0.25">
      <c r="A37" s="69"/>
      <c r="B37" s="72"/>
      <c r="C37" s="29">
        <v>917</v>
      </c>
      <c r="D37" s="10">
        <v>334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41"/>
      <c r="Q37" s="41"/>
      <c r="R37" s="10">
        <f t="shared" si="49"/>
        <v>334</v>
      </c>
      <c r="S37" s="10">
        <v>315</v>
      </c>
      <c r="T37" s="10"/>
      <c r="U37" s="10"/>
      <c r="V37" s="10"/>
      <c r="W37" s="10"/>
      <c r="X37" s="10"/>
      <c r="Y37" s="10"/>
      <c r="Z37" s="10"/>
      <c r="AA37" s="10"/>
      <c r="AB37" s="10"/>
      <c r="AC37" s="10">
        <f t="shared" si="47"/>
        <v>315</v>
      </c>
      <c r="AD37" s="10">
        <v>315</v>
      </c>
      <c r="AE37" s="10"/>
      <c r="AF37" s="10"/>
      <c r="AG37" s="10"/>
      <c r="AH37" s="10"/>
      <c r="AI37" s="10"/>
      <c r="AJ37" s="10"/>
      <c r="AK37" s="10">
        <f t="shared" si="48"/>
        <v>315</v>
      </c>
    </row>
    <row r="38" spans="1:37" hidden="1" x14ac:dyDescent="0.25">
      <c r="A38" s="69"/>
      <c r="B38" s="72"/>
      <c r="C38" s="29">
        <v>920</v>
      </c>
      <c r="D38" s="10">
        <v>1785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41"/>
      <c r="Q38" s="41"/>
      <c r="R38" s="10">
        <f t="shared" si="49"/>
        <v>1785</v>
      </c>
      <c r="S38" s="10">
        <v>1785</v>
      </c>
      <c r="T38" s="10"/>
      <c r="U38" s="10"/>
      <c r="V38" s="10"/>
      <c r="W38" s="10"/>
      <c r="X38" s="10"/>
      <c r="Y38" s="10"/>
      <c r="Z38" s="10"/>
      <c r="AA38" s="10"/>
      <c r="AB38" s="10"/>
      <c r="AC38" s="10">
        <f t="shared" si="47"/>
        <v>1785</v>
      </c>
      <c r="AD38" s="10">
        <v>1785</v>
      </c>
      <c r="AE38" s="10"/>
      <c r="AF38" s="10"/>
      <c r="AG38" s="10"/>
      <c r="AH38" s="10"/>
      <c r="AI38" s="10"/>
      <c r="AJ38" s="10"/>
      <c r="AK38" s="10">
        <f t="shared" si="48"/>
        <v>1785</v>
      </c>
    </row>
    <row r="39" spans="1:37" hidden="1" x14ac:dyDescent="0.25">
      <c r="A39" s="70"/>
      <c r="B39" s="73"/>
      <c r="C39" s="29">
        <v>923</v>
      </c>
      <c r="D39" s="10">
        <v>1190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41">
        <v>-190</v>
      </c>
      <c r="Q39" s="41"/>
      <c r="R39" s="10">
        <f>D39+E39+F39+G39+H39+I39+J39+K39+L39+M39+N39+O39+P39</f>
        <v>1000</v>
      </c>
      <c r="S39" s="10">
        <v>815</v>
      </c>
      <c r="T39" s="10"/>
      <c r="U39" s="10"/>
      <c r="V39" s="10"/>
      <c r="W39" s="10"/>
      <c r="X39" s="10"/>
      <c r="Y39" s="10"/>
      <c r="Z39" s="10"/>
      <c r="AA39" s="10"/>
      <c r="AB39" s="10"/>
      <c r="AC39" s="10">
        <f t="shared" si="47"/>
        <v>815</v>
      </c>
      <c r="AD39" s="10">
        <v>815</v>
      </c>
      <c r="AE39" s="10"/>
      <c r="AF39" s="10"/>
      <c r="AG39" s="10"/>
      <c r="AH39" s="10"/>
      <c r="AI39" s="10"/>
      <c r="AJ39" s="10"/>
      <c r="AK39" s="10">
        <f t="shared" si="48"/>
        <v>815</v>
      </c>
    </row>
    <row r="40" spans="1:37" ht="46.5" customHeight="1" x14ac:dyDescent="0.25">
      <c r="A40" s="39" t="s">
        <v>47</v>
      </c>
      <c r="B40" s="11" t="s">
        <v>82</v>
      </c>
      <c r="C40" s="3" t="s">
        <v>25</v>
      </c>
      <c r="D40" s="4">
        <v>40647</v>
      </c>
      <c r="E40" s="4"/>
      <c r="F40" s="4"/>
      <c r="G40" s="4"/>
      <c r="H40" s="4">
        <f>1745-465</f>
        <v>1280</v>
      </c>
      <c r="I40" s="4"/>
      <c r="J40" s="4"/>
      <c r="K40" s="4"/>
      <c r="L40" s="4">
        <v>17</v>
      </c>
      <c r="M40" s="4"/>
      <c r="N40" s="4">
        <v>-2700</v>
      </c>
      <c r="O40" s="4"/>
      <c r="P40" s="59">
        <f>-826</f>
        <v>-826</v>
      </c>
      <c r="Q40" s="59"/>
      <c r="R40" s="4">
        <f>D40+E40+F40+G40+H40+I40+J40+K40+L40+M40+N40+O40+P40</f>
        <v>38418</v>
      </c>
      <c r="S40" s="4">
        <v>21805</v>
      </c>
      <c r="T40" s="4"/>
      <c r="U40" s="4"/>
      <c r="V40" s="4"/>
      <c r="W40" s="4"/>
      <c r="X40" s="4"/>
      <c r="Y40" s="4"/>
      <c r="Z40" s="4"/>
      <c r="AA40" s="4"/>
      <c r="AB40" s="4"/>
      <c r="AC40" s="4">
        <f t="shared" si="47"/>
        <v>21805</v>
      </c>
      <c r="AD40" s="4">
        <v>21162</v>
      </c>
      <c r="AE40" s="17"/>
      <c r="AF40" s="17"/>
      <c r="AG40" s="17"/>
      <c r="AH40" s="4"/>
      <c r="AI40" s="4"/>
      <c r="AJ40" s="4"/>
      <c r="AK40" s="4">
        <f t="shared" si="48"/>
        <v>21162</v>
      </c>
    </row>
    <row r="41" spans="1:37" ht="63" x14ac:dyDescent="0.25">
      <c r="A41" s="39" t="s">
        <v>48</v>
      </c>
      <c r="B41" s="11" t="s">
        <v>83</v>
      </c>
      <c r="C41" s="3" t="s">
        <v>26</v>
      </c>
      <c r="D41" s="4">
        <f>SUM(D42:D44)</f>
        <v>168043</v>
      </c>
      <c r="E41" s="4">
        <f t="shared" ref="E41:R41" si="50">SUM(E42:E44)</f>
        <v>0</v>
      </c>
      <c r="F41" s="4">
        <f t="shared" si="50"/>
        <v>554</v>
      </c>
      <c r="G41" s="4"/>
      <c r="H41" s="4">
        <f t="shared" si="50"/>
        <v>2</v>
      </c>
      <c r="I41" s="4">
        <f t="shared" si="50"/>
        <v>0</v>
      </c>
      <c r="J41" s="4"/>
      <c r="K41" s="4">
        <f t="shared" si="50"/>
        <v>0</v>
      </c>
      <c r="L41" s="4">
        <f t="shared" si="50"/>
        <v>113</v>
      </c>
      <c r="M41" s="4">
        <f t="shared" si="50"/>
        <v>0</v>
      </c>
      <c r="N41" s="4">
        <f t="shared" si="50"/>
        <v>0</v>
      </c>
      <c r="O41" s="4">
        <f t="shared" si="50"/>
        <v>0</v>
      </c>
      <c r="P41" s="59">
        <f t="shared" ref="P41:Q41" si="51">SUM(P42:P44)</f>
        <v>-60</v>
      </c>
      <c r="Q41" s="59">
        <f t="shared" si="51"/>
        <v>0</v>
      </c>
      <c r="R41" s="4">
        <f t="shared" si="50"/>
        <v>168652</v>
      </c>
      <c r="S41" s="4">
        <f t="shared" ref="S41" si="52">SUM(S42:S44)</f>
        <v>156952</v>
      </c>
      <c r="T41" s="4">
        <f t="shared" ref="T41" si="53">SUM(T42:T44)</f>
        <v>0</v>
      </c>
      <c r="U41" s="4"/>
      <c r="V41" s="4"/>
      <c r="W41" s="4"/>
      <c r="X41" s="4">
        <f t="shared" ref="X41" si="54">SUM(X42:X44)</f>
        <v>0</v>
      </c>
      <c r="Y41" s="4"/>
      <c r="Z41" s="4"/>
      <c r="AA41" s="4"/>
      <c r="AB41" s="4"/>
      <c r="AC41" s="4">
        <f t="shared" ref="AC41" si="55">SUM(AC42:AC44)</f>
        <v>156952</v>
      </c>
      <c r="AD41" s="4">
        <f t="shared" ref="AD41" si="56">SUM(AD42:AD44)</f>
        <v>156652</v>
      </c>
      <c r="AE41" s="4">
        <f t="shared" ref="AE41" si="57">SUM(AE42:AE44)</f>
        <v>0</v>
      </c>
      <c r="AF41" s="4"/>
      <c r="AG41" s="4"/>
      <c r="AH41" s="4">
        <f t="shared" ref="AH41" si="58">SUM(AH42:AH44)</f>
        <v>0</v>
      </c>
      <c r="AI41" s="4"/>
      <c r="AJ41" s="4"/>
      <c r="AK41" s="4">
        <f t="shared" ref="AK41" si="59">SUM(AK42:AK44)</f>
        <v>156652</v>
      </c>
    </row>
    <row r="42" spans="1:37" hidden="1" x14ac:dyDescent="0.25">
      <c r="A42" s="68"/>
      <c r="B42" s="71"/>
      <c r="C42" s="29">
        <v>910</v>
      </c>
      <c r="D42" s="10">
        <v>1800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41"/>
      <c r="Q42" s="41"/>
      <c r="R42" s="10">
        <f t="shared" ref="R42:R47" si="60">D42+E42+F42+G42+H42+I42+J42+K42+L42+M42+N42+O42+P42</f>
        <v>1800</v>
      </c>
      <c r="S42" s="10">
        <v>1674</v>
      </c>
      <c r="T42" s="10"/>
      <c r="U42" s="10"/>
      <c r="V42" s="10"/>
      <c r="W42" s="10"/>
      <c r="X42" s="10"/>
      <c r="Y42" s="10"/>
      <c r="Z42" s="10"/>
      <c r="AA42" s="10"/>
      <c r="AB42" s="10"/>
      <c r="AC42" s="10">
        <f t="shared" ref="AC42:AC47" si="61">S42+T42+U42+V42+W42+X42</f>
        <v>1674</v>
      </c>
      <c r="AD42" s="10">
        <v>1674</v>
      </c>
      <c r="AE42" s="10"/>
      <c r="AF42" s="10"/>
      <c r="AG42" s="10"/>
      <c r="AH42" s="10"/>
      <c r="AI42" s="10"/>
      <c r="AJ42" s="10"/>
      <c r="AK42" s="10">
        <f t="shared" ref="AK42:AK47" si="62">AD42+AE42+AG42+AH42</f>
        <v>1674</v>
      </c>
    </row>
    <row r="43" spans="1:37" hidden="1" x14ac:dyDescent="0.25">
      <c r="A43" s="69"/>
      <c r="B43" s="72"/>
      <c r="C43" s="29">
        <v>920</v>
      </c>
      <c r="D43" s="10">
        <v>589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41"/>
      <c r="Q43" s="41"/>
      <c r="R43" s="10">
        <f t="shared" si="60"/>
        <v>589</v>
      </c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>
        <f t="shared" si="61"/>
        <v>0</v>
      </c>
      <c r="AD43" s="10"/>
      <c r="AE43" s="10"/>
      <c r="AF43" s="10"/>
      <c r="AG43" s="10"/>
      <c r="AH43" s="10"/>
      <c r="AI43" s="10"/>
      <c r="AJ43" s="10"/>
      <c r="AK43" s="10">
        <f t="shared" si="62"/>
        <v>0</v>
      </c>
    </row>
    <row r="44" spans="1:37" hidden="1" x14ac:dyDescent="0.25">
      <c r="A44" s="70"/>
      <c r="B44" s="73"/>
      <c r="C44" s="29">
        <v>921</v>
      </c>
      <c r="D44" s="10">
        <v>165654</v>
      </c>
      <c r="E44" s="10"/>
      <c r="F44" s="10">
        <v>554</v>
      </c>
      <c r="G44" s="10"/>
      <c r="H44" s="10">
        <f>453-451</f>
        <v>2</v>
      </c>
      <c r="I44" s="10">
        <f>1850-1850</f>
        <v>0</v>
      </c>
      <c r="J44" s="10"/>
      <c r="K44" s="10"/>
      <c r="L44" s="10">
        <f>113</f>
        <v>113</v>
      </c>
      <c r="M44" s="10"/>
      <c r="N44" s="10"/>
      <c r="O44" s="10"/>
      <c r="P44" s="41">
        <f>-107+47</f>
        <v>-60</v>
      </c>
      <c r="Q44" s="41"/>
      <c r="R44" s="10">
        <f t="shared" si="60"/>
        <v>166263</v>
      </c>
      <c r="S44" s="10">
        <f>148942+6336</f>
        <v>155278</v>
      </c>
      <c r="T44" s="10"/>
      <c r="U44" s="10"/>
      <c r="V44" s="10"/>
      <c r="W44" s="10"/>
      <c r="X44" s="10"/>
      <c r="Y44" s="10"/>
      <c r="Z44" s="10"/>
      <c r="AA44" s="10"/>
      <c r="AB44" s="10"/>
      <c r="AC44" s="10">
        <f t="shared" si="61"/>
        <v>155278</v>
      </c>
      <c r="AD44" s="10">
        <f>148642+6336</f>
        <v>154978</v>
      </c>
      <c r="AE44" s="10"/>
      <c r="AF44" s="10"/>
      <c r="AG44" s="10"/>
      <c r="AH44" s="10"/>
      <c r="AI44" s="10"/>
      <c r="AJ44" s="10"/>
      <c r="AK44" s="10">
        <f t="shared" si="62"/>
        <v>154978</v>
      </c>
    </row>
    <row r="45" spans="1:37" ht="63" x14ac:dyDescent="0.25">
      <c r="A45" s="39" t="s">
        <v>49</v>
      </c>
      <c r="B45" s="11" t="s">
        <v>84</v>
      </c>
      <c r="C45" s="3" t="s">
        <v>8</v>
      </c>
      <c r="D45" s="4">
        <v>17913</v>
      </c>
      <c r="E45" s="4"/>
      <c r="F45" s="4"/>
      <c r="G45" s="4">
        <v>2823</v>
      </c>
      <c r="H45" s="4">
        <v>-528</v>
      </c>
      <c r="I45" s="4"/>
      <c r="J45" s="4"/>
      <c r="K45" s="4"/>
      <c r="L45" s="4">
        <v>20649</v>
      </c>
      <c r="M45" s="4"/>
      <c r="N45" s="4"/>
      <c r="O45" s="4"/>
      <c r="P45" s="4"/>
      <c r="Q45" s="4"/>
      <c r="R45" s="4">
        <f t="shared" si="60"/>
        <v>40857</v>
      </c>
      <c r="S45" s="4"/>
      <c r="T45" s="4"/>
      <c r="U45" s="4"/>
      <c r="V45" s="4"/>
      <c r="W45" s="4"/>
      <c r="X45" s="4"/>
      <c r="Y45" s="4"/>
      <c r="Z45" s="4"/>
      <c r="AA45" s="4"/>
      <c r="AB45" s="4"/>
      <c r="AC45" s="4">
        <f t="shared" si="61"/>
        <v>0</v>
      </c>
      <c r="AD45" s="4"/>
      <c r="AE45" s="17"/>
      <c r="AF45" s="17"/>
      <c r="AG45" s="17"/>
      <c r="AH45" s="4"/>
      <c r="AI45" s="4"/>
      <c r="AJ45" s="4"/>
      <c r="AK45" s="4">
        <f t="shared" si="62"/>
        <v>0</v>
      </c>
    </row>
    <row r="46" spans="1:37" ht="31.5" x14ac:dyDescent="0.25">
      <c r="A46" s="39" t="s">
        <v>50</v>
      </c>
      <c r="B46" s="11" t="s">
        <v>85</v>
      </c>
      <c r="C46" s="3" t="s">
        <v>9</v>
      </c>
      <c r="D46" s="4">
        <v>283799</v>
      </c>
      <c r="E46" s="4"/>
      <c r="F46" s="4"/>
      <c r="G46" s="4"/>
      <c r="H46" s="4">
        <v>-3000</v>
      </c>
      <c r="I46" s="4"/>
      <c r="J46" s="4"/>
      <c r="K46" s="4">
        <f>2240+6115-143</f>
        <v>8212</v>
      </c>
      <c r="L46" s="4">
        <f>-271+5000</f>
        <v>4729</v>
      </c>
      <c r="M46" s="4">
        <v>-234</v>
      </c>
      <c r="N46" s="4">
        <f>4963-6-122</f>
        <v>4835</v>
      </c>
      <c r="O46" s="4">
        <v>509</v>
      </c>
      <c r="P46" s="59">
        <f>-549-134</f>
        <v>-683</v>
      </c>
      <c r="Q46" s="59"/>
      <c r="R46" s="4">
        <f t="shared" si="60"/>
        <v>298167</v>
      </c>
      <c r="S46" s="4">
        <v>283951</v>
      </c>
      <c r="T46" s="4"/>
      <c r="U46" s="4"/>
      <c r="V46" s="4"/>
      <c r="W46" s="4"/>
      <c r="X46" s="4"/>
      <c r="Y46" s="4"/>
      <c r="Z46" s="4"/>
      <c r="AA46" s="4"/>
      <c r="AB46" s="4">
        <v>-708</v>
      </c>
      <c r="AC46" s="4">
        <f>S46+T46+U46+V46+W46+X46+AA46+AB46</f>
        <v>283243</v>
      </c>
      <c r="AD46" s="4">
        <v>328805</v>
      </c>
      <c r="AE46" s="17"/>
      <c r="AF46" s="17"/>
      <c r="AG46" s="17"/>
      <c r="AH46" s="4"/>
      <c r="AI46" s="4"/>
      <c r="AJ46" s="4">
        <v>-892</v>
      </c>
      <c r="AK46" s="4">
        <f>AD46+AE46+AG46+AH46+AI46+AJ46</f>
        <v>327913</v>
      </c>
    </row>
    <row r="47" spans="1:37" ht="47.25" x14ac:dyDescent="0.25">
      <c r="A47" s="39" t="s">
        <v>51</v>
      </c>
      <c r="B47" s="11" t="s">
        <v>86</v>
      </c>
      <c r="C47" s="3" t="s">
        <v>10</v>
      </c>
      <c r="D47" s="4">
        <v>5000</v>
      </c>
      <c r="E47" s="4"/>
      <c r="F47" s="4"/>
      <c r="G47" s="4"/>
      <c r="H47" s="4"/>
      <c r="I47" s="4">
        <v>1068</v>
      </c>
      <c r="J47" s="4"/>
      <c r="K47" s="4"/>
      <c r="L47" s="4">
        <v>236</v>
      </c>
      <c r="M47" s="4"/>
      <c r="N47" s="4">
        <f>288</f>
        <v>288</v>
      </c>
      <c r="O47" s="4"/>
      <c r="P47" s="4"/>
      <c r="Q47" s="4"/>
      <c r="R47" s="4">
        <f t="shared" si="60"/>
        <v>6592</v>
      </c>
      <c r="S47" s="4">
        <v>5000</v>
      </c>
      <c r="T47" s="4"/>
      <c r="U47" s="4"/>
      <c r="V47" s="4"/>
      <c r="W47" s="4"/>
      <c r="X47" s="4"/>
      <c r="Y47" s="4"/>
      <c r="Z47" s="4"/>
      <c r="AA47" s="4"/>
      <c r="AB47" s="4"/>
      <c r="AC47" s="4">
        <f t="shared" si="61"/>
        <v>5000</v>
      </c>
      <c r="AD47" s="4"/>
      <c r="AE47" s="17"/>
      <c r="AF47" s="17"/>
      <c r="AG47" s="17"/>
      <c r="AH47" s="4"/>
      <c r="AI47" s="4"/>
      <c r="AJ47" s="4"/>
      <c r="AK47" s="4">
        <f t="shared" si="62"/>
        <v>0</v>
      </c>
    </row>
    <row r="48" spans="1:37" ht="65.25" customHeight="1" x14ac:dyDescent="0.25">
      <c r="A48" s="39" t="s">
        <v>52</v>
      </c>
      <c r="B48" s="71" t="s">
        <v>87</v>
      </c>
      <c r="C48" s="3" t="s">
        <v>33</v>
      </c>
      <c r="D48" s="4">
        <f>D49+D50+D53+D58</f>
        <v>909803</v>
      </c>
      <c r="E48" s="4">
        <f t="shared" ref="E48:AE48" si="63">E49+E50+E53+E58</f>
        <v>1030022</v>
      </c>
      <c r="F48" s="4"/>
      <c r="G48" s="4"/>
      <c r="H48" s="4">
        <f>H49+H50+H53+H58</f>
        <v>21775</v>
      </c>
      <c r="I48" s="4">
        <f>I49+I50+I53+I58</f>
        <v>228156</v>
      </c>
      <c r="J48" s="4">
        <f>J49+J50+J53+J58</f>
        <v>243</v>
      </c>
      <c r="K48" s="4">
        <f t="shared" ref="K48:R48" si="64">K49+K50+K53+K56+K58</f>
        <v>273497</v>
      </c>
      <c r="L48" s="4">
        <f t="shared" si="64"/>
        <v>0</v>
      </c>
      <c r="M48" s="4">
        <f t="shared" si="64"/>
        <v>1220</v>
      </c>
      <c r="N48" s="4">
        <f t="shared" si="64"/>
        <v>-650</v>
      </c>
      <c r="O48" s="4">
        <f t="shared" si="64"/>
        <v>0</v>
      </c>
      <c r="P48" s="59">
        <f t="shared" ref="P48:Q48" si="65">P49+P50+P53+P56+P58</f>
        <v>-2062</v>
      </c>
      <c r="Q48" s="59">
        <f t="shared" si="65"/>
        <v>0</v>
      </c>
      <c r="R48" s="4">
        <f t="shared" si="64"/>
        <v>2462004</v>
      </c>
      <c r="S48" s="4">
        <f t="shared" si="63"/>
        <v>805109</v>
      </c>
      <c r="T48" s="4">
        <f>T49+T50+T53+T58</f>
        <v>0</v>
      </c>
      <c r="U48" s="4">
        <f>U49+U50+U53+U58</f>
        <v>0</v>
      </c>
      <c r="V48" s="4">
        <f>V49+V50+V53+V58</f>
        <v>74622</v>
      </c>
      <c r="W48" s="4">
        <f>W49+W50+W53+W58</f>
        <v>175269</v>
      </c>
      <c r="X48" s="4">
        <f>X49+X50+X53+X56+X58</f>
        <v>1373</v>
      </c>
      <c r="Y48" s="4"/>
      <c r="Z48" s="4"/>
      <c r="AA48" s="4"/>
      <c r="AB48" s="4">
        <f>AB49+AB50+AB53+AB56+AB58</f>
        <v>-144</v>
      </c>
      <c r="AC48" s="4">
        <f>AC49+AC50+AC53+AC56+AC58</f>
        <v>1068566</v>
      </c>
      <c r="AD48" s="4">
        <f t="shared" si="63"/>
        <v>843457</v>
      </c>
      <c r="AE48" s="4">
        <f t="shared" si="63"/>
        <v>0</v>
      </c>
      <c r="AF48" s="4"/>
      <c r="AG48" s="4">
        <f>AG49+AG50+AG53+AG58</f>
        <v>74718</v>
      </c>
      <c r="AH48" s="4">
        <f>AH49+AH50+AH53+AH56+AH58</f>
        <v>0</v>
      </c>
      <c r="AI48" s="4"/>
      <c r="AJ48" s="4">
        <f>AJ49+AJ50+AJ53+AJ56+AJ58</f>
        <v>-490</v>
      </c>
      <c r="AK48" s="4">
        <f>AK49+AK50+AK53+AK56+AK58</f>
        <v>917685</v>
      </c>
    </row>
    <row r="49" spans="1:37" ht="36" customHeight="1" x14ac:dyDescent="0.25">
      <c r="A49" s="39" t="s">
        <v>53</v>
      </c>
      <c r="B49" s="72"/>
      <c r="C49" s="9" t="s">
        <v>37</v>
      </c>
      <c r="D49" s="10">
        <v>323675</v>
      </c>
      <c r="E49" s="10"/>
      <c r="F49" s="10"/>
      <c r="G49" s="10"/>
      <c r="H49" s="10">
        <v>73</v>
      </c>
      <c r="I49" s="10"/>
      <c r="J49" s="10"/>
      <c r="K49" s="10"/>
      <c r="L49" s="10"/>
      <c r="M49" s="10"/>
      <c r="N49" s="10">
        <v>495</v>
      </c>
      <c r="O49" s="10"/>
      <c r="P49" s="41"/>
      <c r="Q49" s="41"/>
      <c r="R49" s="10">
        <f>D49+E49+F49+G49+H49+I49+J49+K49+L49+M49+N49+O49+P49</f>
        <v>324243</v>
      </c>
      <c r="S49" s="10">
        <v>367092</v>
      </c>
      <c r="T49" s="10"/>
      <c r="U49" s="10">
        <v>408</v>
      </c>
      <c r="V49" s="10"/>
      <c r="W49" s="10"/>
      <c r="X49" s="10"/>
      <c r="Y49" s="10"/>
      <c r="Z49" s="10"/>
      <c r="AA49" s="10"/>
      <c r="AB49" s="10">
        <f>-83</f>
        <v>-83</v>
      </c>
      <c r="AC49" s="10">
        <f>S49+T49+U49+V49+W49+X49+AA49+AB49</f>
        <v>367417</v>
      </c>
      <c r="AD49" s="10">
        <v>381274</v>
      </c>
      <c r="AE49" s="10"/>
      <c r="AF49" s="10">
        <v>408</v>
      </c>
      <c r="AG49" s="10"/>
      <c r="AH49" s="10"/>
      <c r="AI49" s="10"/>
      <c r="AJ49" s="10"/>
      <c r="AK49" s="10">
        <f>AD49+AE49+AF49+AG49+AH49</f>
        <v>381682</v>
      </c>
    </row>
    <row r="50" spans="1:37" ht="48" customHeight="1" x14ac:dyDescent="0.25">
      <c r="A50" s="68" t="s">
        <v>54</v>
      </c>
      <c r="B50" s="72"/>
      <c r="C50" s="9" t="s">
        <v>31</v>
      </c>
      <c r="D50" s="10">
        <f>SUM(D51:D52)</f>
        <v>361952</v>
      </c>
      <c r="E50" s="10">
        <f t="shared" ref="E50:F50" si="66">SUM(E51:E52)</f>
        <v>0</v>
      </c>
      <c r="F50" s="10">
        <f t="shared" si="66"/>
        <v>0</v>
      </c>
      <c r="G50" s="10"/>
      <c r="H50" s="10"/>
      <c r="I50" s="10">
        <f>SUM(I51:I52)</f>
        <v>228156</v>
      </c>
      <c r="J50" s="10">
        <f t="shared" ref="J50:L50" si="67">SUM(J51:J52)</f>
        <v>0</v>
      </c>
      <c r="K50" s="10">
        <f t="shared" si="67"/>
        <v>0</v>
      </c>
      <c r="L50" s="10">
        <f t="shared" si="67"/>
        <v>0</v>
      </c>
      <c r="M50" s="10">
        <f t="shared" ref="M50:R50" si="68">M51+M52</f>
        <v>0</v>
      </c>
      <c r="N50" s="10">
        <f t="shared" si="68"/>
        <v>0</v>
      </c>
      <c r="O50" s="10">
        <f t="shared" si="68"/>
        <v>0</v>
      </c>
      <c r="P50" s="41">
        <f t="shared" si="68"/>
        <v>1505</v>
      </c>
      <c r="Q50" s="41">
        <f t="shared" si="68"/>
        <v>0</v>
      </c>
      <c r="R50" s="10">
        <f t="shared" si="68"/>
        <v>591613</v>
      </c>
      <c r="S50" s="10">
        <f t="shared" ref="S50" si="69">S51+S52</f>
        <v>327380</v>
      </c>
      <c r="T50" s="10">
        <f t="shared" ref="T50:V50" si="70">SUM(T51:T52)</f>
        <v>0</v>
      </c>
      <c r="U50" s="10">
        <f t="shared" si="70"/>
        <v>0</v>
      </c>
      <c r="V50" s="10">
        <f t="shared" si="70"/>
        <v>74622</v>
      </c>
      <c r="W50" s="10">
        <f t="shared" ref="W50:AC50" si="71">SUM(W51:W52)</f>
        <v>0</v>
      </c>
      <c r="X50" s="10">
        <f t="shared" si="71"/>
        <v>0</v>
      </c>
      <c r="Y50" s="10"/>
      <c r="Z50" s="10"/>
      <c r="AA50" s="10"/>
      <c r="AB50" s="10"/>
      <c r="AC50" s="10">
        <f t="shared" si="71"/>
        <v>402002</v>
      </c>
      <c r="AD50" s="10">
        <f t="shared" ref="AD50" si="72">AD51+AD52</f>
        <v>327380</v>
      </c>
      <c r="AE50" s="10">
        <f t="shared" ref="AE50" si="73">AE51+AE52</f>
        <v>0</v>
      </c>
      <c r="AF50" s="10"/>
      <c r="AG50" s="10">
        <f t="shared" ref="AG50:AH50" si="74">SUM(AG51:AG52)</f>
        <v>74718</v>
      </c>
      <c r="AH50" s="10">
        <f t="shared" si="74"/>
        <v>0</v>
      </c>
      <c r="AI50" s="10"/>
      <c r="AJ50" s="10"/>
      <c r="AK50" s="10">
        <f t="shared" ref="AK50" si="75">AK51+AK52</f>
        <v>402098</v>
      </c>
    </row>
    <row r="51" spans="1:37" ht="19.5" hidden="1" customHeight="1" x14ac:dyDescent="0.25">
      <c r="A51" s="69"/>
      <c r="B51" s="72"/>
      <c r="C51" s="29">
        <v>903</v>
      </c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41"/>
      <c r="Q51" s="41"/>
      <c r="R51" s="10">
        <f>D51+E51+F51+G51+H51+I51+J51+K51+L51+M51+N51+O51</f>
        <v>0</v>
      </c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>
        <f>S51+T51+U51+V51+W51+X51</f>
        <v>0</v>
      </c>
      <c r="AD51" s="10"/>
      <c r="AE51" s="10"/>
      <c r="AF51" s="10"/>
      <c r="AG51" s="10"/>
      <c r="AH51" s="10"/>
      <c r="AI51" s="10"/>
      <c r="AJ51" s="10"/>
      <c r="AK51" s="10">
        <f>AD51+AE51+AF51+AG51+AH51</f>
        <v>0</v>
      </c>
    </row>
    <row r="52" spans="1:37" ht="15.75" hidden="1" customHeight="1" x14ac:dyDescent="0.25">
      <c r="A52" s="70"/>
      <c r="B52" s="72"/>
      <c r="C52" s="29">
        <v>909</v>
      </c>
      <c r="D52" s="10">
        <v>361952</v>
      </c>
      <c r="E52" s="10"/>
      <c r="F52" s="10"/>
      <c r="G52" s="10"/>
      <c r="H52" s="10"/>
      <c r="I52" s="10">
        <f>155134+73022</f>
        <v>228156</v>
      </c>
      <c r="J52" s="10"/>
      <c r="K52" s="10">
        <f>-24409+24409</f>
        <v>0</v>
      </c>
      <c r="L52" s="10"/>
      <c r="M52" s="10"/>
      <c r="N52" s="10"/>
      <c r="O52" s="10"/>
      <c r="P52" s="41">
        <f>2400-66-719-110</f>
        <v>1505</v>
      </c>
      <c r="Q52" s="41"/>
      <c r="R52" s="10">
        <f>D52+E52+F52+G52+H52+I52+J52+K52+L52+M52+N52+O52+P52</f>
        <v>591613</v>
      </c>
      <c r="S52" s="10">
        <f>230348+97032</f>
        <v>327380</v>
      </c>
      <c r="T52" s="10"/>
      <c r="U52" s="10"/>
      <c r="V52" s="10">
        <v>74622</v>
      </c>
      <c r="W52" s="10"/>
      <c r="X52" s="10"/>
      <c r="Y52" s="10"/>
      <c r="Z52" s="10"/>
      <c r="AA52" s="10"/>
      <c r="AB52" s="10"/>
      <c r="AC52" s="10">
        <f>S52+T52+U52+V52+W52+X52</f>
        <v>402002</v>
      </c>
      <c r="AD52" s="10">
        <f>230348+97032</f>
        <v>327380</v>
      </c>
      <c r="AE52" s="10"/>
      <c r="AF52" s="10"/>
      <c r="AG52" s="10">
        <v>74718</v>
      </c>
      <c r="AH52" s="10"/>
      <c r="AI52" s="10"/>
      <c r="AJ52" s="10"/>
      <c r="AK52" s="10">
        <f>AD52+AE52+AF52+AG52+AH52</f>
        <v>402098</v>
      </c>
    </row>
    <row r="53" spans="1:37" ht="60" customHeight="1" x14ac:dyDescent="0.25">
      <c r="A53" s="68" t="s">
        <v>55</v>
      </c>
      <c r="B53" s="72"/>
      <c r="C53" s="9" t="s">
        <v>36</v>
      </c>
      <c r="D53" s="10">
        <f>SUM(D54:D55)</f>
        <v>65034</v>
      </c>
      <c r="E53" s="10">
        <f t="shared" ref="E53:F53" si="76">SUM(E54:E55)</f>
        <v>1030022</v>
      </c>
      <c r="F53" s="10">
        <f t="shared" si="76"/>
        <v>0</v>
      </c>
      <c r="G53" s="10"/>
      <c r="H53" s="10">
        <f>H54+H55</f>
        <v>22370</v>
      </c>
      <c r="I53" s="10">
        <f>I54+I55</f>
        <v>0</v>
      </c>
      <c r="J53" s="10">
        <f t="shared" ref="J53:R53" si="77">SUM(J54:J55)</f>
        <v>243</v>
      </c>
      <c r="K53" s="10">
        <f t="shared" si="77"/>
        <v>267507</v>
      </c>
      <c r="L53" s="10">
        <f t="shared" si="77"/>
        <v>0</v>
      </c>
      <c r="M53" s="10">
        <f t="shared" si="77"/>
        <v>1479</v>
      </c>
      <c r="N53" s="10">
        <f t="shared" si="77"/>
        <v>-878</v>
      </c>
      <c r="O53" s="10">
        <f t="shared" si="77"/>
        <v>0</v>
      </c>
      <c r="P53" s="41">
        <f t="shared" ref="P53:Q53" si="78">SUM(P54:P55)</f>
        <v>-1207</v>
      </c>
      <c r="Q53" s="41">
        <f t="shared" si="78"/>
        <v>0</v>
      </c>
      <c r="R53" s="10">
        <f t="shared" si="77"/>
        <v>1384570</v>
      </c>
      <c r="S53" s="10">
        <f t="shared" ref="S53" si="79">S54+S55</f>
        <v>21068</v>
      </c>
      <c r="T53" s="10">
        <f t="shared" ref="T53" si="80">T54+T55</f>
        <v>0</v>
      </c>
      <c r="U53" s="10"/>
      <c r="V53" s="10">
        <f t="shared" ref="V53:W53" si="81">V54+V55</f>
        <v>0</v>
      </c>
      <c r="W53" s="10">
        <f t="shared" si="81"/>
        <v>175269</v>
      </c>
      <c r="X53" s="10">
        <f>SUM(X54:X55)</f>
        <v>1373</v>
      </c>
      <c r="Y53" s="10"/>
      <c r="Z53" s="10"/>
      <c r="AA53" s="10"/>
      <c r="AB53" s="10"/>
      <c r="AC53" s="10">
        <f>AC54+AC55</f>
        <v>204465</v>
      </c>
      <c r="AD53" s="10">
        <f t="shared" ref="AD53" si="82">AD54+AD55</f>
        <v>20234</v>
      </c>
      <c r="AE53" s="10">
        <f t="shared" ref="AE53" si="83">AE54+AE55</f>
        <v>0</v>
      </c>
      <c r="AF53" s="10"/>
      <c r="AG53" s="10"/>
      <c r="AH53" s="10">
        <f>SUM(AH54:AH55)</f>
        <v>0</v>
      </c>
      <c r="AI53" s="10"/>
      <c r="AJ53" s="10"/>
      <c r="AK53" s="10">
        <f t="shared" ref="AK53" si="84">AK54+AK55</f>
        <v>20234</v>
      </c>
    </row>
    <row r="54" spans="1:37" ht="15" hidden="1" customHeight="1" x14ac:dyDescent="0.25">
      <c r="A54" s="69"/>
      <c r="B54" s="72"/>
      <c r="C54" s="29">
        <v>920</v>
      </c>
      <c r="D54" s="10"/>
      <c r="E54" s="10"/>
      <c r="F54" s="10"/>
      <c r="G54" s="10"/>
      <c r="H54" s="10"/>
      <c r="I54" s="10"/>
      <c r="J54" s="10"/>
      <c r="K54" s="10">
        <v>-18654</v>
      </c>
      <c r="L54" s="10"/>
      <c r="M54" s="10"/>
      <c r="N54" s="10"/>
      <c r="O54" s="10"/>
      <c r="P54" s="41"/>
      <c r="Q54" s="41"/>
      <c r="R54" s="10">
        <f>D54+E54+F54+G54+H54+I54+J54+K54+L54+M54+N54+O54</f>
        <v>-18654</v>
      </c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>
        <f>S54+T54+U54+V54+W54+X54</f>
        <v>0</v>
      </c>
      <c r="AD54" s="10"/>
      <c r="AE54" s="10"/>
      <c r="AF54" s="10"/>
      <c r="AG54" s="10"/>
      <c r="AH54" s="10"/>
      <c r="AI54" s="10"/>
      <c r="AJ54" s="10"/>
      <c r="AK54" s="10">
        <f>AD54+AE54+AF54+AG54+AH54</f>
        <v>0</v>
      </c>
    </row>
    <row r="55" spans="1:37" ht="22.5" hidden="1" customHeight="1" x14ac:dyDescent="0.25">
      <c r="A55" s="70"/>
      <c r="B55" s="72"/>
      <c r="C55" s="29">
        <v>909</v>
      </c>
      <c r="D55" s="10">
        <v>65034</v>
      </c>
      <c r="E55" s="10">
        <f>1002757+27265</f>
        <v>1030022</v>
      </c>
      <c r="F55" s="10"/>
      <c r="G55" s="10"/>
      <c r="H55" s="10">
        <v>22370</v>
      </c>
      <c r="I55" s="10"/>
      <c r="J55" s="10">
        <f>-949+115+784119-784377+1335</f>
        <v>243</v>
      </c>
      <c r="K55" s="10">
        <f>1914+264349+19898</f>
        <v>286161</v>
      </c>
      <c r="L55" s="10"/>
      <c r="M55" s="10">
        <v>1479</v>
      </c>
      <c r="N55" s="10">
        <v>-878</v>
      </c>
      <c r="O55" s="10"/>
      <c r="P55" s="41">
        <f>-1030-177+135000-135000</f>
        <v>-1207</v>
      </c>
      <c r="Q55" s="41"/>
      <c r="R55" s="10">
        <f>D55+E55+F55+G55+H55+I55+J55+K55+L55+M55+N55+O55+P55</f>
        <v>1403224</v>
      </c>
      <c r="S55" s="10">
        <v>21068</v>
      </c>
      <c r="T55" s="10"/>
      <c r="U55" s="10"/>
      <c r="V55" s="10"/>
      <c r="W55" s="10">
        <f>163000+12269</f>
        <v>175269</v>
      </c>
      <c r="X55" s="10">
        <v>1373</v>
      </c>
      <c r="Y55" s="10"/>
      <c r="Z55" s="10">
        <f>891</f>
        <v>891</v>
      </c>
      <c r="AA55" s="10">
        <v>5864</v>
      </c>
      <c r="AB55" s="10">
        <v>5864</v>
      </c>
      <c r="AC55" s="10">
        <f>S55+T55+U55+V55+W55+X55+Y55+Z55+AA55</f>
        <v>204465</v>
      </c>
      <c r="AD55" s="10">
        <v>20234</v>
      </c>
      <c r="AE55" s="10"/>
      <c r="AF55" s="10"/>
      <c r="AG55" s="10"/>
      <c r="AH55" s="10"/>
      <c r="AI55" s="10"/>
      <c r="AJ55" s="10"/>
      <c r="AK55" s="10">
        <f>AD55+AE55+AF55+AG55+AH55</f>
        <v>20234</v>
      </c>
    </row>
    <row r="56" spans="1:37" ht="60" x14ac:dyDescent="0.25">
      <c r="A56" s="68" t="s">
        <v>107</v>
      </c>
      <c r="B56" s="72"/>
      <c r="C56" s="9" t="s">
        <v>108</v>
      </c>
      <c r="D56" s="10"/>
      <c r="E56" s="10"/>
      <c r="F56" s="10"/>
      <c r="G56" s="10"/>
      <c r="H56" s="10"/>
      <c r="I56" s="10"/>
      <c r="J56" s="10"/>
      <c r="K56" s="10">
        <f t="shared" ref="K56:R56" si="85">K57</f>
        <v>5990</v>
      </c>
      <c r="L56" s="10">
        <f t="shared" si="85"/>
        <v>0</v>
      </c>
      <c r="M56" s="10">
        <f t="shared" si="85"/>
        <v>0</v>
      </c>
      <c r="N56" s="10">
        <f t="shared" si="85"/>
        <v>-704</v>
      </c>
      <c r="O56" s="10">
        <f t="shared" si="85"/>
        <v>0</v>
      </c>
      <c r="P56" s="41">
        <f>P57</f>
        <v>-703</v>
      </c>
      <c r="Q56" s="41">
        <f>Q57</f>
        <v>0</v>
      </c>
      <c r="R56" s="10">
        <f t="shared" si="85"/>
        <v>4583</v>
      </c>
      <c r="S56" s="10"/>
      <c r="T56" s="10"/>
      <c r="U56" s="10"/>
      <c r="V56" s="10"/>
      <c r="W56" s="10"/>
      <c r="X56" s="10">
        <f>X57</f>
        <v>0</v>
      </c>
      <c r="Y56" s="10"/>
      <c r="Z56" s="10"/>
      <c r="AA56" s="10"/>
      <c r="AB56" s="10"/>
      <c r="AC56" s="10">
        <f>AC57</f>
        <v>0</v>
      </c>
      <c r="AD56" s="10">
        <f>AD57</f>
        <v>0</v>
      </c>
      <c r="AE56" s="10"/>
      <c r="AF56" s="10"/>
      <c r="AG56" s="10"/>
      <c r="AH56" s="10">
        <f>AH57</f>
        <v>0</v>
      </c>
      <c r="AI56" s="10"/>
      <c r="AJ56" s="10"/>
      <c r="AK56" s="10">
        <f>AK57</f>
        <v>0</v>
      </c>
    </row>
    <row r="57" spans="1:37" ht="22.5" hidden="1" customHeight="1" x14ac:dyDescent="0.25">
      <c r="A57" s="70"/>
      <c r="B57" s="72"/>
      <c r="C57" s="29">
        <v>909</v>
      </c>
      <c r="D57" s="10"/>
      <c r="E57" s="10"/>
      <c r="F57" s="10"/>
      <c r="G57" s="10"/>
      <c r="H57" s="10"/>
      <c r="I57" s="10"/>
      <c r="J57" s="10"/>
      <c r="K57" s="10">
        <v>5990</v>
      </c>
      <c r="L57" s="10"/>
      <c r="M57" s="10"/>
      <c r="N57" s="10">
        <v>-704</v>
      </c>
      <c r="O57" s="10"/>
      <c r="P57" s="41">
        <f>-703</f>
        <v>-703</v>
      </c>
      <c r="Q57" s="41"/>
      <c r="R57" s="10">
        <f>D57+E57+F57+G57+H57+I57+J57+K57+L57+M57+N57+O57+P57</f>
        <v>4583</v>
      </c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>
        <f>S57+T57+U57+V57+W57+X57</f>
        <v>0</v>
      </c>
      <c r="AD57" s="10"/>
      <c r="AE57" s="10"/>
      <c r="AF57" s="10"/>
      <c r="AG57" s="10"/>
      <c r="AH57" s="10"/>
      <c r="AI57" s="10"/>
      <c r="AJ57" s="10"/>
      <c r="AK57" s="10">
        <f>AD57+AE57+AF57+AG57+AH57</f>
        <v>0</v>
      </c>
    </row>
    <row r="58" spans="1:37" ht="30.75" customHeight="1" x14ac:dyDescent="0.25">
      <c r="A58" s="68" t="s">
        <v>56</v>
      </c>
      <c r="B58" s="73"/>
      <c r="C58" s="9" t="s">
        <v>35</v>
      </c>
      <c r="D58" s="10">
        <f>D59</f>
        <v>159142</v>
      </c>
      <c r="E58" s="10">
        <f t="shared" ref="E58:R58" si="86">E59</f>
        <v>0</v>
      </c>
      <c r="F58" s="10">
        <f t="shared" si="86"/>
        <v>0</v>
      </c>
      <c r="G58" s="10"/>
      <c r="H58" s="10">
        <f>H59</f>
        <v>-668</v>
      </c>
      <c r="I58" s="10"/>
      <c r="J58" s="10">
        <f t="shared" si="86"/>
        <v>0</v>
      </c>
      <c r="K58" s="10">
        <f t="shared" si="86"/>
        <v>0</v>
      </c>
      <c r="L58" s="10">
        <f t="shared" si="86"/>
        <v>0</v>
      </c>
      <c r="M58" s="10">
        <f t="shared" si="86"/>
        <v>-259</v>
      </c>
      <c r="N58" s="10">
        <f t="shared" si="86"/>
        <v>437</v>
      </c>
      <c r="O58" s="10">
        <f t="shared" si="86"/>
        <v>0</v>
      </c>
      <c r="P58" s="41">
        <f t="shared" si="86"/>
        <v>-1657</v>
      </c>
      <c r="Q58" s="41">
        <f t="shared" si="86"/>
        <v>0</v>
      </c>
      <c r="R58" s="10">
        <f t="shared" si="86"/>
        <v>156995</v>
      </c>
      <c r="S58" s="10">
        <f>S59+S60</f>
        <v>89569</v>
      </c>
      <c r="T58" s="10">
        <f t="shared" ref="T58" si="87">T59+T60</f>
        <v>0</v>
      </c>
      <c r="U58" s="10">
        <f>U59</f>
        <v>-408</v>
      </c>
      <c r="V58" s="10"/>
      <c r="W58" s="10"/>
      <c r="X58" s="10">
        <f t="shared" ref="X58:AC58" si="88">X59</f>
        <v>0</v>
      </c>
      <c r="Y58" s="10"/>
      <c r="Z58" s="10"/>
      <c r="AA58" s="10"/>
      <c r="AB58" s="10">
        <f>AB59</f>
        <v>-61</v>
      </c>
      <c r="AC58" s="10">
        <f t="shared" si="88"/>
        <v>94682</v>
      </c>
      <c r="AD58" s="10">
        <f>AD59+AD60</f>
        <v>114569</v>
      </c>
      <c r="AE58" s="10">
        <f t="shared" ref="AE58:AK58" si="89">AE59+AE60</f>
        <v>0</v>
      </c>
      <c r="AF58" s="10"/>
      <c r="AG58" s="10"/>
      <c r="AH58" s="10">
        <f t="shared" ref="AH58" si="90">AH59</f>
        <v>0</v>
      </c>
      <c r="AI58" s="10"/>
      <c r="AJ58" s="10">
        <f>AJ59</f>
        <v>-490</v>
      </c>
      <c r="AK58" s="10">
        <f t="shared" si="89"/>
        <v>113671</v>
      </c>
    </row>
    <row r="59" spans="1:37" ht="15.75" hidden="1" x14ac:dyDescent="0.25">
      <c r="A59" s="69"/>
      <c r="B59" s="12"/>
      <c r="C59" s="29">
        <v>909</v>
      </c>
      <c r="D59" s="16">
        <v>159142</v>
      </c>
      <c r="E59" s="4"/>
      <c r="F59" s="4"/>
      <c r="G59" s="4"/>
      <c r="H59" s="4">
        <v>-668</v>
      </c>
      <c r="I59" s="4"/>
      <c r="J59" s="10"/>
      <c r="K59" s="10"/>
      <c r="L59" s="10"/>
      <c r="M59" s="10">
        <f>-321+62</f>
        <v>-259</v>
      </c>
      <c r="N59" s="10">
        <f>932-495</f>
        <v>437</v>
      </c>
      <c r="O59" s="10"/>
      <c r="P59" s="41">
        <f>-949-60-66-648+66</f>
        <v>-1657</v>
      </c>
      <c r="Q59" s="41"/>
      <c r="R59" s="10">
        <f>D59+E59+F59+G59+H59+I59+J59+K59+L59+M59+N59+O59+P59</f>
        <v>156995</v>
      </c>
      <c r="S59" s="10">
        <v>89569</v>
      </c>
      <c r="T59" s="10"/>
      <c r="U59" s="10">
        <v>-408</v>
      </c>
      <c r="V59" s="10"/>
      <c r="W59" s="10"/>
      <c r="X59" s="10"/>
      <c r="Y59" s="10">
        <v>229</v>
      </c>
      <c r="Z59" s="10">
        <v>5353</v>
      </c>
      <c r="AA59" s="10"/>
      <c r="AB59" s="10">
        <v>-61</v>
      </c>
      <c r="AC59" s="10">
        <f>S59+T59+U59+V59+W59+X59+Y59+Z59+AA59+AB59</f>
        <v>94682</v>
      </c>
      <c r="AD59" s="10">
        <v>114569</v>
      </c>
      <c r="AE59" s="10"/>
      <c r="AF59" s="10">
        <v>-408</v>
      </c>
      <c r="AG59" s="10"/>
      <c r="AH59" s="10"/>
      <c r="AI59" s="10"/>
      <c r="AJ59" s="10">
        <v>-490</v>
      </c>
      <c r="AK59" s="10">
        <f>AD59+AE59+AF59+AG59+AH59+AI59+AJ59</f>
        <v>113671</v>
      </c>
    </row>
    <row r="60" spans="1:37" ht="15.75" hidden="1" x14ac:dyDescent="0.25">
      <c r="A60" s="70"/>
      <c r="B60" s="12"/>
      <c r="C60" s="29"/>
      <c r="D60" s="4"/>
      <c r="E60" s="4"/>
      <c r="F60" s="4"/>
      <c r="G60" s="4"/>
      <c r="H60" s="4"/>
      <c r="I60" s="4"/>
      <c r="J60" s="10"/>
      <c r="K60" s="10"/>
      <c r="L60" s="10"/>
      <c r="M60" s="10"/>
      <c r="N60" s="10"/>
      <c r="O60" s="10"/>
      <c r="P60" s="41"/>
      <c r="Q60" s="41"/>
      <c r="R60" s="10">
        <f>D60+E60+F60+G60+H60+I60+J60+K60+L60+M60+N60</f>
        <v>0</v>
      </c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>
        <f>S60+T60+U60+V60+W60+X60</f>
        <v>0</v>
      </c>
      <c r="AD60" s="10"/>
      <c r="AE60" s="10"/>
      <c r="AF60" s="10"/>
      <c r="AG60" s="10"/>
      <c r="AH60" s="10"/>
      <c r="AI60" s="10"/>
      <c r="AJ60" s="10"/>
      <c r="AK60" s="10">
        <f>AD60+AE60+AF60+AG60+AH60</f>
        <v>0</v>
      </c>
    </row>
    <row r="61" spans="1:37" ht="63" x14ac:dyDescent="0.25">
      <c r="A61" s="39" t="s">
        <v>57</v>
      </c>
      <c r="B61" s="11" t="s">
        <v>88</v>
      </c>
      <c r="C61" s="3" t="s">
        <v>27</v>
      </c>
      <c r="D61" s="4">
        <v>50320</v>
      </c>
      <c r="E61" s="4"/>
      <c r="F61" s="4"/>
      <c r="G61" s="4"/>
      <c r="H61" s="4">
        <v>-1076</v>
      </c>
      <c r="I61" s="4"/>
      <c r="J61" s="4"/>
      <c r="K61" s="4">
        <v>-195</v>
      </c>
      <c r="L61" s="4">
        <v>1550</v>
      </c>
      <c r="M61" s="4"/>
      <c r="N61" s="4">
        <f>38+1913</f>
        <v>1951</v>
      </c>
      <c r="O61" s="4">
        <f>-37-7+185</f>
        <v>141</v>
      </c>
      <c r="P61" s="59">
        <f>-4-122+951+2947</f>
        <v>3772</v>
      </c>
      <c r="Q61" s="59"/>
      <c r="R61" s="4">
        <f>D61+E61+F61+G61+H61+I61+J61+K61+L61+M61+N61+O61+P61</f>
        <v>56463</v>
      </c>
      <c r="S61" s="4">
        <v>45005</v>
      </c>
      <c r="T61" s="4"/>
      <c r="U61" s="4"/>
      <c r="V61" s="4"/>
      <c r="W61" s="4"/>
      <c r="X61" s="4"/>
      <c r="Y61" s="4"/>
      <c r="Z61" s="4"/>
      <c r="AA61" s="4"/>
      <c r="AB61" s="4"/>
      <c r="AC61" s="4">
        <f>S61+T61+U61+V61+W61+X61</f>
        <v>45005</v>
      </c>
      <c r="AD61" s="4">
        <v>45005</v>
      </c>
      <c r="AE61" s="17"/>
      <c r="AF61" s="17"/>
      <c r="AG61" s="17"/>
      <c r="AH61" s="4"/>
      <c r="AI61" s="4"/>
      <c r="AJ61" s="4"/>
      <c r="AK61" s="4">
        <f>AD61+AE61+AF61+AG61+AH61</f>
        <v>45005</v>
      </c>
    </row>
    <row r="62" spans="1:37" ht="47.25" x14ac:dyDescent="0.25">
      <c r="A62" s="39" t="s">
        <v>58</v>
      </c>
      <c r="B62" s="11" t="s">
        <v>89</v>
      </c>
      <c r="C62" s="3" t="s">
        <v>28</v>
      </c>
      <c r="D62" s="4">
        <v>100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>
        <f>D62+E62+F62+G62+H62+I62+J62+K62+L62+M62+N62+O62+P62</f>
        <v>100</v>
      </c>
      <c r="S62" s="4">
        <v>93</v>
      </c>
      <c r="T62" s="4"/>
      <c r="U62" s="4"/>
      <c r="V62" s="4"/>
      <c r="W62" s="4"/>
      <c r="X62" s="4"/>
      <c r="Y62" s="4"/>
      <c r="Z62" s="4"/>
      <c r="AA62" s="4"/>
      <c r="AB62" s="4"/>
      <c r="AC62" s="4">
        <f>S62+T62+U62+V62+W62+X62</f>
        <v>93</v>
      </c>
      <c r="AD62" s="4">
        <v>93</v>
      </c>
      <c r="AE62" s="17"/>
      <c r="AF62" s="17"/>
      <c r="AG62" s="17"/>
      <c r="AH62" s="4"/>
      <c r="AI62" s="4"/>
      <c r="AJ62" s="4"/>
      <c r="AK62" s="4">
        <f>AD62+AE62+AF62+AG62+AH62</f>
        <v>93</v>
      </c>
    </row>
    <row r="63" spans="1:37" ht="55.5" customHeight="1" x14ac:dyDescent="0.25">
      <c r="A63" s="39" t="s">
        <v>59</v>
      </c>
      <c r="B63" s="71" t="s">
        <v>90</v>
      </c>
      <c r="C63" s="3" t="s">
        <v>34</v>
      </c>
      <c r="D63" s="4">
        <f>SUM(D64:D70)</f>
        <v>715313</v>
      </c>
      <c r="E63" s="4">
        <f t="shared" ref="E63:R63" si="91">SUM(E64:E70)</f>
        <v>0</v>
      </c>
      <c r="F63" s="4">
        <f t="shared" si="91"/>
        <v>52148</v>
      </c>
      <c r="G63" s="4"/>
      <c r="H63" s="4">
        <f t="shared" si="91"/>
        <v>1759</v>
      </c>
      <c r="I63" s="4"/>
      <c r="J63" s="4"/>
      <c r="K63" s="4">
        <f t="shared" si="91"/>
        <v>4254</v>
      </c>
      <c r="L63" s="4">
        <f t="shared" si="91"/>
        <v>17114</v>
      </c>
      <c r="M63" s="4">
        <f t="shared" si="91"/>
        <v>0</v>
      </c>
      <c r="N63" s="4">
        <f t="shared" si="91"/>
        <v>1834</v>
      </c>
      <c r="O63" s="4">
        <f t="shared" si="91"/>
        <v>0</v>
      </c>
      <c r="P63" s="59">
        <f t="shared" ref="P63:Q63" si="92">SUM(P64:P70)</f>
        <v>-330</v>
      </c>
      <c r="Q63" s="59">
        <f t="shared" si="92"/>
        <v>0</v>
      </c>
      <c r="R63" s="4">
        <f t="shared" si="91"/>
        <v>792092</v>
      </c>
      <c r="S63" s="4">
        <f t="shared" ref="S63:AK63" si="93">SUM(S64:S70)</f>
        <v>667767</v>
      </c>
      <c r="T63" s="4">
        <f t="shared" si="93"/>
        <v>0</v>
      </c>
      <c r="U63" s="4"/>
      <c r="V63" s="4"/>
      <c r="W63" s="4"/>
      <c r="X63" s="4">
        <f t="shared" ref="X63" si="94">SUM(X64:X70)</f>
        <v>0</v>
      </c>
      <c r="Y63" s="4"/>
      <c r="Z63" s="4">
        <f t="shared" si="93"/>
        <v>2820</v>
      </c>
      <c r="AA63" s="4">
        <f t="shared" ref="AA63:AB63" si="95">SUM(AA64:AA70)</f>
        <v>0</v>
      </c>
      <c r="AB63" s="4">
        <f t="shared" si="95"/>
        <v>0</v>
      </c>
      <c r="AC63" s="4">
        <f t="shared" si="93"/>
        <v>670587</v>
      </c>
      <c r="AD63" s="4">
        <f t="shared" si="93"/>
        <v>665863</v>
      </c>
      <c r="AE63" s="4">
        <f t="shared" si="93"/>
        <v>0</v>
      </c>
      <c r="AF63" s="4"/>
      <c r="AG63" s="4"/>
      <c r="AH63" s="4">
        <f t="shared" ref="AH63" si="96">SUM(AH64:AH70)</f>
        <v>0</v>
      </c>
      <c r="AI63" s="4"/>
      <c r="AJ63" s="4"/>
      <c r="AK63" s="4">
        <f t="shared" si="93"/>
        <v>665863</v>
      </c>
    </row>
    <row r="64" spans="1:37" hidden="1" x14ac:dyDescent="0.25">
      <c r="A64" s="68" t="s">
        <v>100</v>
      </c>
      <c r="B64" s="72"/>
      <c r="C64" s="29">
        <v>900</v>
      </c>
      <c r="D64" s="10">
        <v>149</v>
      </c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41"/>
      <c r="Q64" s="41"/>
      <c r="R64" s="10">
        <f>D64+E64+F64+G64+H64+I64+J64+K64+L64+M64+N64+O64+P64+Q64</f>
        <v>149</v>
      </c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>
        <f t="shared" ref="AC64:AC69" si="97">S64+T64+U64+V64+W64+X64</f>
        <v>0</v>
      </c>
      <c r="AD64" s="10"/>
      <c r="AE64" s="10"/>
      <c r="AF64" s="10"/>
      <c r="AG64" s="10"/>
      <c r="AH64" s="10"/>
      <c r="AI64" s="10"/>
      <c r="AJ64" s="10"/>
      <c r="AK64" s="10">
        <f t="shared" ref="AK64:AK70" si="98">AD64+AE64+AF64+AG64+AH64</f>
        <v>0</v>
      </c>
    </row>
    <row r="65" spans="1:40" hidden="1" x14ac:dyDescent="0.25">
      <c r="A65" s="69"/>
      <c r="B65" s="72"/>
      <c r="C65" s="29">
        <v>901</v>
      </c>
      <c r="D65" s="10">
        <v>471738</v>
      </c>
      <c r="E65" s="10"/>
      <c r="F65" s="10">
        <f>47539</f>
        <v>47539</v>
      </c>
      <c r="G65" s="10"/>
      <c r="H65" s="10"/>
      <c r="I65" s="10"/>
      <c r="J65" s="10"/>
      <c r="K65" s="10">
        <v>826</v>
      </c>
      <c r="L65" s="10"/>
      <c r="M65" s="10"/>
      <c r="N65" s="10"/>
      <c r="O65" s="10"/>
      <c r="P65" s="41"/>
      <c r="Q65" s="41"/>
      <c r="R65" s="10">
        <f>D65+E65+F65+G65+H65+I65+J65+K65+L65+M65+N65+O65+P65+Q65</f>
        <v>520103</v>
      </c>
      <c r="S65" s="10">
        <f>1271+437259+186</f>
        <v>438716</v>
      </c>
      <c r="T65" s="10"/>
      <c r="U65" s="10"/>
      <c r="V65" s="10"/>
      <c r="W65" s="10"/>
      <c r="X65" s="10"/>
      <c r="Y65" s="10"/>
      <c r="Z65" s="10"/>
      <c r="AA65" s="10"/>
      <c r="AB65" s="10"/>
      <c r="AC65" s="10">
        <f t="shared" si="97"/>
        <v>438716</v>
      </c>
      <c r="AD65" s="10">
        <v>438716</v>
      </c>
      <c r="AE65" s="10"/>
      <c r="AF65" s="10"/>
      <c r="AG65" s="10"/>
      <c r="AH65" s="10"/>
      <c r="AI65" s="10"/>
      <c r="AJ65" s="10"/>
      <c r="AK65" s="10">
        <f t="shared" si="98"/>
        <v>438716</v>
      </c>
    </row>
    <row r="66" spans="1:40" hidden="1" x14ac:dyDescent="0.25">
      <c r="A66" s="69"/>
      <c r="B66" s="72"/>
      <c r="C66" s="29">
        <v>902</v>
      </c>
      <c r="D66" s="10">
        <v>64543</v>
      </c>
      <c r="E66" s="10"/>
      <c r="F66" s="10"/>
      <c r="G66" s="10"/>
      <c r="H66" s="10"/>
      <c r="I66" s="10"/>
      <c r="J66" s="10"/>
      <c r="K66" s="10">
        <v>-4</v>
      </c>
      <c r="L66" s="10"/>
      <c r="M66" s="10"/>
      <c r="N66" s="10"/>
      <c r="O66" s="10"/>
      <c r="P66" s="41">
        <v>-121</v>
      </c>
      <c r="Q66" s="41"/>
      <c r="R66" s="10">
        <f t="shared" ref="R66:R70" si="99">D66+E66+F66+G66+H66+I66+J66+K66+L66+M66+N66+O66+P66+Q66</f>
        <v>64418</v>
      </c>
      <c r="S66" s="10">
        <v>63593</v>
      </c>
      <c r="T66" s="10"/>
      <c r="U66" s="10"/>
      <c r="V66" s="10"/>
      <c r="W66" s="10"/>
      <c r="X66" s="10"/>
      <c r="Y66" s="10"/>
      <c r="Z66" s="10"/>
      <c r="AA66" s="10"/>
      <c r="AB66" s="10"/>
      <c r="AC66" s="10">
        <f t="shared" si="97"/>
        <v>63593</v>
      </c>
      <c r="AD66" s="10">
        <v>63593</v>
      </c>
      <c r="AE66" s="10"/>
      <c r="AF66" s="10"/>
      <c r="AG66" s="10"/>
      <c r="AH66" s="10"/>
      <c r="AI66" s="10"/>
      <c r="AJ66" s="10"/>
      <c r="AK66" s="10">
        <f t="shared" si="98"/>
        <v>63593</v>
      </c>
    </row>
    <row r="67" spans="1:40" hidden="1" x14ac:dyDescent="0.25">
      <c r="A67" s="69"/>
      <c r="B67" s="72"/>
      <c r="C67" s="29">
        <v>903</v>
      </c>
      <c r="D67" s="10">
        <v>8383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41"/>
      <c r="Q67" s="41"/>
      <c r="R67" s="10">
        <f t="shared" si="99"/>
        <v>8383</v>
      </c>
      <c r="S67" s="10">
        <v>8639</v>
      </c>
      <c r="T67" s="10"/>
      <c r="U67" s="10"/>
      <c r="V67" s="10"/>
      <c r="W67" s="10"/>
      <c r="X67" s="10"/>
      <c r="Y67" s="10"/>
      <c r="Z67" s="10"/>
      <c r="AA67" s="10"/>
      <c r="AB67" s="10"/>
      <c r="AC67" s="10">
        <f t="shared" si="97"/>
        <v>8639</v>
      </c>
      <c r="AD67" s="10">
        <v>6735</v>
      </c>
      <c r="AE67" s="10"/>
      <c r="AF67" s="10"/>
      <c r="AG67" s="10"/>
      <c r="AH67" s="10"/>
      <c r="AI67" s="10"/>
      <c r="AJ67" s="10"/>
      <c r="AK67" s="10">
        <f t="shared" si="98"/>
        <v>6735</v>
      </c>
    </row>
    <row r="68" spans="1:40" hidden="1" x14ac:dyDescent="0.25">
      <c r="A68" s="69"/>
      <c r="B68" s="72"/>
      <c r="C68" s="29">
        <v>910</v>
      </c>
      <c r="D68" s="10">
        <v>1267</v>
      </c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41"/>
      <c r="Q68" s="41"/>
      <c r="R68" s="10">
        <f t="shared" si="99"/>
        <v>1267</v>
      </c>
      <c r="S68" s="10">
        <v>1178</v>
      </c>
      <c r="T68" s="10"/>
      <c r="U68" s="10"/>
      <c r="V68" s="10"/>
      <c r="W68" s="10"/>
      <c r="X68" s="10"/>
      <c r="Y68" s="10"/>
      <c r="Z68" s="10"/>
      <c r="AA68" s="10"/>
      <c r="AB68" s="10"/>
      <c r="AC68" s="10">
        <f t="shared" si="97"/>
        <v>1178</v>
      </c>
      <c r="AD68" s="10">
        <v>1178</v>
      </c>
      <c r="AE68" s="10"/>
      <c r="AF68" s="10"/>
      <c r="AG68" s="10"/>
      <c r="AH68" s="10"/>
      <c r="AI68" s="10"/>
      <c r="AJ68" s="10"/>
      <c r="AK68" s="10">
        <f t="shared" si="98"/>
        <v>1178</v>
      </c>
    </row>
    <row r="69" spans="1:40" hidden="1" x14ac:dyDescent="0.25">
      <c r="A69" s="69"/>
      <c r="B69" s="72"/>
      <c r="C69" s="29">
        <v>921</v>
      </c>
      <c r="D69" s="10">
        <v>33630</v>
      </c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>
        <f>6793</f>
        <v>6793</v>
      </c>
      <c r="P69" s="41">
        <f>-47</f>
        <v>-47</v>
      </c>
      <c r="Q69" s="41"/>
      <c r="R69" s="10">
        <f t="shared" si="99"/>
        <v>40376</v>
      </c>
      <c r="S69" s="10">
        <v>31276</v>
      </c>
      <c r="T69" s="10"/>
      <c r="U69" s="10"/>
      <c r="V69" s="10"/>
      <c r="W69" s="10"/>
      <c r="X69" s="10"/>
      <c r="Y69" s="10"/>
      <c r="Z69" s="10"/>
      <c r="AA69" s="10"/>
      <c r="AB69" s="10"/>
      <c r="AC69" s="10">
        <f t="shared" si="97"/>
        <v>31276</v>
      </c>
      <c r="AD69" s="10">
        <v>31276</v>
      </c>
      <c r="AE69" s="10"/>
      <c r="AF69" s="10"/>
      <c r="AG69" s="10"/>
      <c r="AH69" s="10"/>
      <c r="AI69" s="10"/>
      <c r="AJ69" s="10"/>
      <c r="AK69" s="10">
        <f t="shared" si="98"/>
        <v>31276</v>
      </c>
      <c r="AN69" s="25"/>
    </row>
    <row r="70" spans="1:40" hidden="1" x14ac:dyDescent="0.25">
      <c r="A70" s="69"/>
      <c r="B70" s="72"/>
      <c r="C70" s="29">
        <v>923</v>
      </c>
      <c r="D70" s="10">
        <v>135603</v>
      </c>
      <c r="E70" s="10"/>
      <c r="F70" s="10">
        <f>184+24+23+4+1657+1820+9+37+349+3+78+39+338+3+34+7</f>
        <v>4609</v>
      </c>
      <c r="G70" s="10"/>
      <c r="H70" s="10">
        <f>-776+242-4500+6793</f>
        <v>1759</v>
      </c>
      <c r="I70" s="10">
        <f>3806-3806</f>
        <v>0</v>
      </c>
      <c r="J70" s="10"/>
      <c r="K70" s="10">
        <f>3676-244</f>
        <v>3432</v>
      </c>
      <c r="L70" s="10">
        <f>-113-80+13992+3208+74+33</f>
        <v>17114</v>
      </c>
      <c r="M70" s="10"/>
      <c r="N70" s="10">
        <f>222+612+1000</f>
        <v>1834</v>
      </c>
      <c r="O70" s="10">
        <f>-6793</f>
        <v>-6793</v>
      </c>
      <c r="P70" s="41">
        <f>-282+120</f>
        <v>-162</v>
      </c>
      <c r="Q70" s="41"/>
      <c r="R70" s="10">
        <f t="shared" si="99"/>
        <v>157396</v>
      </c>
      <c r="S70" s="10">
        <f>3194+113428+7743</f>
        <v>124365</v>
      </c>
      <c r="T70" s="10"/>
      <c r="U70" s="10"/>
      <c r="V70" s="10"/>
      <c r="W70" s="10"/>
      <c r="X70" s="10"/>
      <c r="Y70" s="10"/>
      <c r="Z70" s="10">
        <v>2820</v>
      </c>
      <c r="AA70" s="10"/>
      <c r="AB70" s="10"/>
      <c r="AC70" s="10">
        <f>S70+T70+U70+V70+W70+X70+Z70</f>
        <v>127185</v>
      </c>
      <c r="AD70" s="10">
        <v>124365</v>
      </c>
      <c r="AE70" s="10"/>
      <c r="AF70" s="10"/>
      <c r="AG70" s="10"/>
      <c r="AH70" s="10"/>
      <c r="AI70" s="10"/>
      <c r="AJ70" s="10"/>
      <c r="AK70" s="10">
        <f t="shared" si="98"/>
        <v>124365</v>
      </c>
      <c r="AN70" s="25"/>
    </row>
    <row r="71" spans="1:40" ht="32.25" customHeight="1" x14ac:dyDescent="0.25">
      <c r="A71" s="70"/>
      <c r="B71" s="73"/>
      <c r="C71" s="9" t="s">
        <v>32</v>
      </c>
      <c r="D71" s="10">
        <f>SUM(D72:D74)</f>
        <v>907</v>
      </c>
      <c r="E71" s="10">
        <f t="shared" ref="E71:R71" si="100">SUM(E72:E74)</f>
        <v>0</v>
      </c>
      <c r="F71" s="10">
        <f t="shared" si="100"/>
        <v>0</v>
      </c>
      <c r="G71" s="10"/>
      <c r="H71" s="10"/>
      <c r="I71" s="10"/>
      <c r="J71" s="4">
        <f t="shared" si="100"/>
        <v>0</v>
      </c>
      <c r="K71" s="4">
        <f t="shared" si="100"/>
        <v>0</v>
      </c>
      <c r="L71" s="4">
        <f t="shared" si="100"/>
        <v>0</v>
      </c>
      <c r="M71" s="4">
        <f t="shared" si="100"/>
        <v>0</v>
      </c>
      <c r="N71" s="4">
        <f t="shared" si="100"/>
        <v>0</v>
      </c>
      <c r="O71" s="4">
        <f t="shared" si="100"/>
        <v>0</v>
      </c>
      <c r="P71" s="4">
        <f t="shared" si="100"/>
        <v>37</v>
      </c>
      <c r="Q71" s="4">
        <f t="shared" si="100"/>
        <v>0</v>
      </c>
      <c r="R71" s="4">
        <f t="shared" si="100"/>
        <v>944</v>
      </c>
      <c r="S71" s="10">
        <f t="shared" ref="S71:AK71" si="101">SUM(S72:S74)</f>
        <v>705</v>
      </c>
      <c r="T71" s="10">
        <f t="shared" si="101"/>
        <v>0</v>
      </c>
      <c r="U71" s="10"/>
      <c r="V71" s="10"/>
      <c r="W71" s="10"/>
      <c r="X71" s="4">
        <f t="shared" ref="X71" si="102">SUM(X72:X74)</f>
        <v>0</v>
      </c>
      <c r="Y71" s="4"/>
      <c r="Z71" s="4"/>
      <c r="AA71" s="4"/>
      <c r="AB71" s="4"/>
      <c r="AC71" s="10">
        <f t="shared" si="101"/>
        <v>705</v>
      </c>
      <c r="AD71" s="10">
        <f t="shared" si="101"/>
        <v>705</v>
      </c>
      <c r="AE71" s="10">
        <f t="shared" si="101"/>
        <v>0</v>
      </c>
      <c r="AF71" s="10"/>
      <c r="AG71" s="10"/>
      <c r="AH71" s="4">
        <f t="shared" ref="AH71" si="103">SUM(AH72:AH74)</f>
        <v>0</v>
      </c>
      <c r="AI71" s="4"/>
      <c r="AJ71" s="4"/>
      <c r="AK71" s="10">
        <f t="shared" si="101"/>
        <v>705</v>
      </c>
    </row>
    <row r="72" spans="1:40" ht="15.75" hidden="1" customHeight="1" x14ac:dyDescent="0.25">
      <c r="A72" s="68" t="s">
        <v>60</v>
      </c>
      <c r="B72" s="71"/>
      <c r="C72" s="29">
        <v>900</v>
      </c>
      <c r="D72" s="10">
        <v>149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41"/>
      <c r="Q72" s="41"/>
      <c r="R72" s="10">
        <f>D72+E72+F72+G72+H72+I72+J72+K72+L72+M72+N72+O72+P72+Q72</f>
        <v>149</v>
      </c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>
        <f t="shared" ref="AC72:AC85" si="104">S72+T72+U72+V72+W72+X72</f>
        <v>0</v>
      </c>
      <c r="AD72" s="10"/>
      <c r="AE72" s="10"/>
      <c r="AF72" s="10"/>
      <c r="AG72" s="10"/>
      <c r="AH72" s="10"/>
      <c r="AI72" s="10"/>
      <c r="AJ72" s="10"/>
      <c r="AK72" s="10">
        <f t="shared" ref="AK72:AK78" si="105">AD72+AE72+AF72+AG72+AH72</f>
        <v>0</v>
      </c>
      <c r="AL72" s="25"/>
    </row>
    <row r="73" spans="1:40" ht="15.75" hidden="1" customHeight="1" x14ac:dyDescent="0.25">
      <c r="A73" s="69"/>
      <c r="B73" s="72"/>
      <c r="C73" s="29">
        <v>901</v>
      </c>
      <c r="D73" s="10">
        <v>200</v>
      </c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41"/>
      <c r="Q73" s="41"/>
      <c r="R73" s="10">
        <f>D73+E73+F73+G73+H73+I73+J73+K73+L73+M73+N73+O73+P73+Q73</f>
        <v>200</v>
      </c>
      <c r="S73" s="10">
        <v>186</v>
      </c>
      <c r="T73" s="10"/>
      <c r="U73" s="10"/>
      <c r="V73" s="10"/>
      <c r="W73" s="10"/>
      <c r="X73" s="10"/>
      <c r="Y73" s="10"/>
      <c r="Z73" s="10"/>
      <c r="AA73" s="10"/>
      <c r="AB73" s="10"/>
      <c r="AC73" s="10">
        <f t="shared" si="104"/>
        <v>186</v>
      </c>
      <c r="AD73" s="10">
        <v>186</v>
      </c>
      <c r="AE73" s="10"/>
      <c r="AF73" s="10"/>
      <c r="AG73" s="10"/>
      <c r="AH73" s="10"/>
      <c r="AI73" s="10"/>
      <c r="AJ73" s="10"/>
      <c r="AK73" s="10">
        <f t="shared" si="105"/>
        <v>186</v>
      </c>
      <c r="AL73" s="25"/>
    </row>
    <row r="74" spans="1:40" ht="15.75" hidden="1" customHeight="1" x14ac:dyDescent="0.25">
      <c r="A74" s="70"/>
      <c r="B74" s="73"/>
      <c r="C74" s="29">
        <v>923</v>
      </c>
      <c r="D74" s="10">
        <v>558</v>
      </c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64">
        <v>37</v>
      </c>
      <c r="Q74" s="41"/>
      <c r="R74" s="10">
        <f>D74+E74+F74+G74+H74+I74+J74+K74+L74+M74+N74+O74+P74+Q74</f>
        <v>595</v>
      </c>
      <c r="S74" s="10">
        <v>519</v>
      </c>
      <c r="T74" s="10"/>
      <c r="U74" s="10"/>
      <c r="V74" s="10"/>
      <c r="W74" s="10"/>
      <c r="X74" s="10"/>
      <c r="Y74" s="10"/>
      <c r="Z74" s="10"/>
      <c r="AA74" s="10"/>
      <c r="AB74" s="10"/>
      <c r="AC74" s="10">
        <f>S74+T74+U74+V74+W74+X74+Y74+Z74</f>
        <v>519</v>
      </c>
      <c r="AD74" s="10">
        <v>519</v>
      </c>
      <c r="AE74" s="10"/>
      <c r="AF74" s="10"/>
      <c r="AG74" s="10"/>
      <c r="AH74" s="10"/>
      <c r="AI74" s="10"/>
      <c r="AJ74" s="10"/>
      <c r="AK74" s="10">
        <f t="shared" si="105"/>
        <v>519</v>
      </c>
      <c r="AL74" s="25"/>
    </row>
    <row r="75" spans="1:40" ht="62.25" customHeight="1" x14ac:dyDescent="0.25">
      <c r="A75" s="39" t="s">
        <v>61</v>
      </c>
      <c r="B75" s="11" t="s">
        <v>91</v>
      </c>
      <c r="C75" s="3" t="s">
        <v>11</v>
      </c>
      <c r="D75" s="4">
        <v>8345</v>
      </c>
      <c r="E75" s="4"/>
      <c r="F75" s="4"/>
      <c r="G75" s="4"/>
      <c r="H75" s="4"/>
      <c r="I75" s="4"/>
      <c r="J75" s="4"/>
      <c r="K75" s="4"/>
      <c r="L75" s="4"/>
      <c r="M75" s="4">
        <f>-3053+8133+200+524</f>
        <v>5804</v>
      </c>
      <c r="N75" s="4"/>
      <c r="O75" s="4"/>
      <c r="P75" s="59">
        <f>-294</f>
        <v>-294</v>
      </c>
      <c r="Q75" s="59"/>
      <c r="R75" s="4">
        <f t="shared" ref="R75:R78" si="106">D75+E75+F75+G75+H75+I75+J75+K75+L75+M75+N75+O75+P75</f>
        <v>13855</v>
      </c>
      <c r="S75" s="4">
        <v>10001</v>
      </c>
      <c r="T75" s="4"/>
      <c r="U75" s="4"/>
      <c r="V75" s="4"/>
      <c r="W75" s="4"/>
      <c r="X75" s="4"/>
      <c r="Y75" s="4"/>
      <c r="Z75" s="4"/>
      <c r="AA75" s="4"/>
      <c r="AB75" s="4"/>
      <c r="AC75" s="4">
        <f t="shared" si="104"/>
        <v>10001</v>
      </c>
      <c r="AD75" s="4"/>
      <c r="AE75" s="17"/>
      <c r="AF75" s="17"/>
      <c r="AG75" s="17"/>
      <c r="AH75" s="4"/>
      <c r="AI75" s="4"/>
      <c r="AJ75" s="4"/>
      <c r="AK75" s="4">
        <f t="shared" si="105"/>
        <v>0</v>
      </c>
    </row>
    <row r="76" spans="1:40" ht="47.25" x14ac:dyDescent="0.25">
      <c r="A76" s="39" t="s">
        <v>62</v>
      </c>
      <c r="B76" s="11" t="s">
        <v>92</v>
      </c>
      <c r="C76" s="3" t="s">
        <v>29</v>
      </c>
      <c r="D76" s="4">
        <v>1636</v>
      </c>
      <c r="E76" s="4"/>
      <c r="F76" s="4"/>
      <c r="G76" s="4"/>
      <c r="H76" s="4">
        <v>-95</v>
      </c>
      <c r="I76" s="4"/>
      <c r="J76" s="4"/>
      <c r="K76" s="4">
        <v>-202</v>
      </c>
      <c r="L76" s="4"/>
      <c r="M76" s="4"/>
      <c r="N76" s="4">
        <v>-107</v>
      </c>
      <c r="O76" s="4"/>
      <c r="P76" s="4"/>
      <c r="Q76" s="4"/>
      <c r="R76" s="4">
        <f t="shared" si="106"/>
        <v>1232</v>
      </c>
      <c r="S76" s="4">
        <v>1636</v>
      </c>
      <c r="T76" s="4"/>
      <c r="U76" s="4"/>
      <c r="V76" s="4"/>
      <c r="W76" s="4"/>
      <c r="X76" s="4"/>
      <c r="Y76" s="4"/>
      <c r="Z76" s="4"/>
      <c r="AA76" s="4">
        <v>3398</v>
      </c>
      <c r="AB76" s="4"/>
      <c r="AC76" s="4">
        <f>S76+T76+U76+V76+W76+X76+AA76</f>
        <v>5034</v>
      </c>
      <c r="AD76" s="4">
        <v>1636</v>
      </c>
      <c r="AE76" s="17"/>
      <c r="AF76" s="17"/>
      <c r="AG76" s="17"/>
      <c r="AH76" s="4"/>
      <c r="AI76" s="4">
        <v>3398</v>
      </c>
      <c r="AJ76" s="4"/>
      <c r="AK76" s="4">
        <f>AD76+AE76+AF76+AG76+AH76+AI76</f>
        <v>5034</v>
      </c>
    </row>
    <row r="77" spans="1:40" ht="47.25" x14ac:dyDescent="0.25">
      <c r="A77" s="39" t="s">
        <v>63</v>
      </c>
      <c r="B77" s="11" t="s">
        <v>93</v>
      </c>
      <c r="C77" s="3" t="s">
        <v>12</v>
      </c>
      <c r="D77" s="4">
        <v>1000</v>
      </c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>
        <f t="shared" si="106"/>
        <v>1000</v>
      </c>
      <c r="S77" s="4">
        <v>930</v>
      </c>
      <c r="T77" s="4"/>
      <c r="U77" s="4"/>
      <c r="V77" s="4"/>
      <c r="W77" s="4"/>
      <c r="X77" s="4"/>
      <c r="Y77" s="4"/>
      <c r="Z77" s="4"/>
      <c r="AA77" s="4"/>
      <c r="AB77" s="4"/>
      <c r="AC77" s="4">
        <f t="shared" si="104"/>
        <v>930</v>
      </c>
      <c r="AD77" s="4">
        <v>930</v>
      </c>
      <c r="AE77" s="17"/>
      <c r="AF77" s="17"/>
      <c r="AG77" s="17"/>
      <c r="AH77" s="4"/>
      <c r="AI77" s="4"/>
      <c r="AJ77" s="4"/>
      <c r="AK77" s="4">
        <f t="shared" si="105"/>
        <v>930</v>
      </c>
    </row>
    <row r="78" spans="1:40" ht="47.25" x14ac:dyDescent="0.25">
      <c r="A78" s="39" t="s">
        <v>101</v>
      </c>
      <c r="B78" s="11" t="s">
        <v>94</v>
      </c>
      <c r="C78" s="3" t="s">
        <v>103</v>
      </c>
      <c r="D78" s="4"/>
      <c r="E78" s="4"/>
      <c r="F78" s="4">
        <v>1420</v>
      </c>
      <c r="G78" s="4"/>
      <c r="H78" s="4"/>
      <c r="I78" s="4">
        <v>742</v>
      </c>
      <c r="J78" s="4"/>
      <c r="K78" s="4"/>
      <c r="L78" s="4"/>
      <c r="M78" s="4"/>
      <c r="N78" s="4"/>
      <c r="O78" s="4"/>
      <c r="P78" s="59">
        <v>-5</v>
      </c>
      <c r="Q78" s="59"/>
      <c r="R78" s="4">
        <f t="shared" si="106"/>
        <v>2157</v>
      </c>
      <c r="S78" s="4"/>
      <c r="T78" s="4">
        <v>300</v>
      </c>
      <c r="U78" s="4"/>
      <c r="V78" s="4"/>
      <c r="W78" s="4"/>
      <c r="X78" s="4"/>
      <c r="Y78" s="4"/>
      <c r="Z78" s="4"/>
      <c r="AA78" s="4"/>
      <c r="AB78" s="4"/>
      <c r="AC78" s="4">
        <f t="shared" si="104"/>
        <v>300</v>
      </c>
      <c r="AD78" s="4"/>
      <c r="AE78" s="4">
        <v>300</v>
      </c>
      <c r="AF78" s="4"/>
      <c r="AG78" s="4"/>
      <c r="AH78" s="4"/>
      <c r="AI78" s="4"/>
      <c r="AJ78" s="4"/>
      <c r="AK78" s="4">
        <f t="shared" si="105"/>
        <v>300</v>
      </c>
    </row>
    <row r="79" spans="1:40" ht="63" x14ac:dyDescent="0.25">
      <c r="A79" s="39" t="s">
        <v>64</v>
      </c>
      <c r="B79" s="11" t="s">
        <v>95</v>
      </c>
      <c r="C79" s="3" t="s">
        <v>116</v>
      </c>
      <c r="D79" s="4">
        <f t="shared" ref="D79:R79" si="107">D80+D81</f>
        <v>14278</v>
      </c>
      <c r="E79" s="4">
        <f t="shared" si="107"/>
        <v>0</v>
      </c>
      <c r="F79" s="4">
        <f t="shared" si="107"/>
        <v>0</v>
      </c>
      <c r="G79" s="4">
        <f t="shared" si="107"/>
        <v>0</v>
      </c>
      <c r="H79" s="4">
        <f t="shared" si="107"/>
        <v>-588</v>
      </c>
      <c r="I79" s="4">
        <f t="shared" si="107"/>
        <v>0</v>
      </c>
      <c r="J79" s="4">
        <f t="shared" si="107"/>
        <v>0</v>
      </c>
      <c r="K79" s="4">
        <f t="shared" si="107"/>
        <v>-22</v>
      </c>
      <c r="L79" s="4">
        <f t="shared" si="107"/>
        <v>0</v>
      </c>
      <c r="M79" s="4">
        <f t="shared" si="107"/>
        <v>7347</v>
      </c>
      <c r="N79" s="4">
        <f t="shared" si="107"/>
        <v>0</v>
      </c>
      <c r="O79" s="4">
        <f t="shared" si="107"/>
        <v>0</v>
      </c>
      <c r="P79" s="59">
        <f t="shared" ref="P79:Q79" si="108">P80+P81</f>
        <v>-32</v>
      </c>
      <c r="Q79" s="59">
        <f t="shared" si="108"/>
        <v>0</v>
      </c>
      <c r="R79" s="4">
        <f t="shared" si="107"/>
        <v>20983</v>
      </c>
      <c r="S79" s="4">
        <v>8828</v>
      </c>
      <c r="T79" s="4"/>
      <c r="U79" s="4"/>
      <c r="V79" s="4"/>
      <c r="W79" s="4"/>
      <c r="X79" s="4"/>
      <c r="Y79" s="4"/>
      <c r="Z79" s="4"/>
      <c r="AA79" s="4"/>
      <c r="AB79" s="4"/>
      <c r="AC79" s="4">
        <f>AC80+AC81</f>
        <v>8828</v>
      </c>
      <c r="AD79" s="4">
        <v>8828</v>
      </c>
      <c r="AE79" s="17"/>
      <c r="AF79" s="17"/>
      <c r="AG79" s="17"/>
      <c r="AH79" s="4"/>
      <c r="AI79" s="4"/>
      <c r="AJ79" s="4"/>
      <c r="AK79" s="4">
        <f>AK80+AK81</f>
        <v>8828</v>
      </c>
    </row>
    <row r="80" spans="1:40" ht="15.75" hidden="1" x14ac:dyDescent="0.25">
      <c r="A80" s="39"/>
      <c r="B80" s="11"/>
      <c r="C80" s="40">
        <v>915</v>
      </c>
      <c r="D80" s="4">
        <v>14278</v>
      </c>
      <c r="E80" s="4"/>
      <c r="F80" s="4"/>
      <c r="G80" s="4"/>
      <c r="H80" s="4">
        <v>-588</v>
      </c>
      <c r="I80" s="4"/>
      <c r="J80" s="4"/>
      <c r="K80" s="4">
        <v>-22</v>
      </c>
      <c r="L80" s="4">
        <f>-2237-2043-9-131-2687-1000</f>
        <v>-8107</v>
      </c>
      <c r="M80" s="4"/>
      <c r="N80" s="4"/>
      <c r="O80" s="4"/>
      <c r="P80" s="4"/>
      <c r="Q80" s="4"/>
      <c r="R80" s="10">
        <f t="shared" ref="R80:R86" si="109">D80+E80+F80+G80+H80+I80+J80+K80+L80+M80+N80+O80+P80</f>
        <v>5561</v>
      </c>
      <c r="S80" s="4"/>
      <c r="T80" s="4"/>
      <c r="U80" s="4"/>
      <c r="V80" s="4"/>
      <c r="W80" s="4"/>
      <c r="X80" s="4">
        <f>8828-4974-3660-6-188</f>
        <v>0</v>
      </c>
      <c r="Y80" s="4"/>
      <c r="Z80" s="4"/>
      <c r="AA80" s="4"/>
      <c r="AB80" s="4"/>
      <c r="AC80" s="10">
        <f t="shared" si="104"/>
        <v>0</v>
      </c>
      <c r="AD80" s="4"/>
      <c r="AE80" s="17"/>
      <c r="AF80" s="17"/>
      <c r="AG80" s="17"/>
      <c r="AH80" s="4">
        <f>8828-4974-3660-6-188</f>
        <v>0</v>
      </c>
      <c r="AI80" s="4"/>
      <c r="AJ80" s="4"/>
      <c r="AK80" s="10">
        <f t="shared" ref="AK80:AK85" si="110">AD80+AE80+AF80+AG80+AH80</f>
        <v>0</v>
      </c>
    </row>
    <row r="81" spans="1:38" ht="15.75" hidden="1" x14ac:dyDescent="0.25">
      <c r="A81" s="39"/>
      <c r="B81" s="11"/>
      <c r="C81" s="40">
        <v>924</v>
      </c>
      <c r="D81" s="4"/>
      <c r="E81" s="4"/>
      <c r="F81" s="4"/>
      <c r="G81" s="4"/>
      <c r="H81" s="4"/>
      <c r="I81" s="4"/>
      <c r="J81" s="4"/>
      <c r="K81" s="4"/>
      <c r="L81" s="4">
        <f>2237+2043+9+131+2687+1000</f>
        <v>8107</v>
      </c>
      <c r="M81" s="4">
        <v>7347</v>
      </c>
      <c r="N81" s="4"/>
      <c r="O81" s="4"/>
      <c r="P81" s="4">
        <v>-32</v>
      </c>
      <c r="Q81" s="4"/>
      <c r="R81" s="10">
        <f t="shared" si="109"/>
        <v>15422</v>
      </c>
      <c r="S81" s="4"/>
      <c r="T81" s="4"/>
      <c r="U81" s="4"/>
      <c r="V81" s="4"/>
      <c r="W81" s="4"/>
      <c r="X81" s="4">
        <f>4974+3660+6+188</f>
        <v>8828</v>
      </c>
      <c r="Y81" s="4"/>
      <c r="Z81" s="4"/>
      <c r="AA81" s="4"/>
      <c r="AB81" s="4"/>
      <c r="AC81" s="10">
        <f t="shared" si="104"/>
        <v>8828</v>
      </c>
      <c r="AD81" s="4"/>
      <c r="AE81" s="17"/>
      <c r="AF81" s="17"/>
      <c r="AG81" s="17"/>
      <c r="AH81" s="4">
        <f>4974+3660+6+188</f>
        <v>8828</v>
      </c>
      <c r="AI81" s="4"/>
      <c r="AJ81" s="4"/>
      <c r="AK81" s="10">
        <f t="shared" si="110"/>
        <v>8828</v>
      </c>
    </row>
    <row r="82" spans="1:38" ht="49.5" customHeight="1" x14ac:dyDescent="0.25">
      <c r="A82" s="39" t="s">
        <v>65</v>
      </c>
      <c r="B82" s="11" t="s">
        <v>96</v>
      </c>
      <c r="C82" s="3" t="s">
        <v>16</v>
      </c>
      <c r="D82" s="4">
        <v>3613</v>
      </c>
      <c r="E82" s="4"/>
      <c r="F82" s="4"/>
      <c r="G82" s="4"/>
      <c r="H82" s="4"/>
      <c r="I82" s="4"/>
      <c r="J82" s="4"/>
      <c r="K82" s="4"/>
      <c r="L82" s="4"/>
      <c r="M82" s="4"/>
      <c r="N82" s="4">
        <f>187-194</f>
        <v>-7</v>
      </c>
      <c r="O82" s="54">
        <v>-9</v>
      </c>
      <c r="P82" s="59">
        <f>-193</f>
        <v>-193</v>
      </c>
      <c r="Q82" s="59"/>
      <c r="R82" s="4">
        <f t="shared" si="109"/>
        <v>3404</v>
      </c>
      <c r="S82" s="4"/>
      <c r="T82" s="4"/>
      <c r="U82" s="4"/>
      <c r="V82" s="4"/>
      <c r="W82" s="4"/>
      <c r="X82" s="4"/>
      <c r="Y82" s="4"/>
      <c r="Z82" s="4"/>
      <c r="AA82" s="4"/>
      <c r="AB82" s="4"/>
      <c r="AC82" s="4">
        <f t="shared" si="104"/>
        <v>0</v>
      </c>
      <c r="AD82" s="4"/>
      <c r="AE82" s="17"/>
      <c r="AF82" s="17"/>
      <c r="AG82" s="17"/>
      <c r="AH82" s="4"/>
      <c r="AI82" s="4"/>
      <c r="AJ82" s="4"/>
      <c r="AK82" s="4">
        <f t="shared" si="110"/>
        <v>0</v>
      </c>
    </row>
    <row r="83" spans="1:38" ht="34.5" customHeight="1" x14ac:dyDescent="0.25">
      <c r="A83" s="39" t="s">
        <v>66</v>
      </c>
      <c r="B83" s="11" t="s">
        <v>97</v>
      </c>
      <c r="C83" s="3" t="s">
        <v>13</v>
      </c>
      <c r="D83" s="4">
        <v>3398</v>
      </c>
      <c r="E83" s="4"/>
      <c r="F83" s="4"/>
      <c r="G83" s="4"/>
      <c r="H83" s="4">
        <v>95</v>
      </c>
      <c r="I83" s="4"/>
      <c r="J83" s="4"/>
      <c r="K83" s="4"/>
      <c r="L83" s="4">
        <v>80</v>
      </c>
      <c r="M83" s="4"/>
      <c r="N83" s="4">
        <v>3276</v>
      </c>
      <c r="O83" s="4"/>
      <c r="P83" s="4"/>
      <c r="Q83" s="4"/>
      <c r="R83" s="4">
        <f t="shared" si="109"/>
        <v>6849</v>
      </c>
      <c r="S83" s="4"/>
      <c r="T83" s="4"/>
      <c r="U83" s="4"/>
      <c r="V83" s="4"/>
      <c r="W83" s="4"/>
      <c r="X83" s="4"/>
      <c r="Y83" s="4"/>
      <c r="Z83" s="4"/>
      <c r="AA83" s="4"/>
      <c r="AB83" s="4"/>
      <c r="AC83" s="4">
        <f t="shared" si="104"/>
        <v>0</v>
      </c>
      <c r="AD83" s="4"/>
      <c r="AE83" s="17"/>
      <c r="AF83" s="17"/>
      <c r="AG83" s="17"/>
      <c r="AH83" s="4"/>
      <c r="AI83" s="4"/>
      <c r="AJ83" s="4"/>
      <c r="AK83" s="4">
        <f t="shared" si="110"/>
        <v>0</v>
      </c>
    </row>
    <row r="84" spans="1:38" ht="32.25" customHeight="1" x14ac:dyDescent="0.25">
      <c r="A84" s="39" t="s">
        <v>67</v>
      </c>
      <c r="B84" s="11" t="s">
        <v>98</v>
      </c>
      <c r="C84" s="3" t="s">
        <v>14</v>
      </c>
      <c r="D84" s="4">
        <v>6810</v>
      </c>
      <c r="E84" s="4"/>
      <c r="F84" s="4">
        <v>16292</v>
      </c>
      <c r="G84" s="4"/>
      <c r="H84" s="4"/>
      <c r="I84" s="4"/>
      <c r="J84" s="4"/>
      <c r="K84" s="4"/>
      <c r="L84" s="4"/>
      <c r="M84" s="4"/>
      <c r="N84" s="4">
        <f>667</f>
        <v>667</v>
      </c>
      <c r="O84" s="4">
        <v>381</v>
      </c>
      <c r="P84" s="59">
        <v>2310</v>
      </c>
      <c r="Q84" s="59"/>
      <c r="R84" s="4">
        <f t="shared" si="109"/>
        <v>26460</v>
      </c>
      <c r="S84" s="4"/>
      <c r="T84" s="4"/>
      <c r="U84" s="4"/>
      <c r="V84" s="4"/>
      <c r="W84" s="4"/>
      <c r="X84" s="4"/>
      <c r="Y84" s="4"/>
      <c r="Z84" s="4"/>
      <c r="AA84" s="4"/>
      <c r="AB84" s="4"/>
      <c r="AC84" s="4">
        <f t="shared" si="104"/>
        <v>0</v>
      </c>
      <c r="AD84" s="4"/>
      <c r="AE84" s="17"/>
      <c r="AF84" s="17"/>
      <c r="AG84" s="17"/>
      <c r="AH84" s="4"/>
      <c r="AI84" s="4"/>
      <c r="AJ84" s="4"/>
      <c r="AK84" s="4">
        <f t="shared" si="110"/>
        <v>0</v>
      </c>
    </row>
    <row r="85" spans="1:38" ht="62.25" customHeight="1" x14ac:dyDescent="0.25">
      <c r="A85" s="39" t="s">
        <v>68</v>
      </c>
      <c r="B85" s="11" t="s">
        <v>99</v>
      </c>
      <c r="C85" s="61" t="s">
        <v>15</v>
      </c>
      <c r="D85" s="4">
        <v>280274</v>
      </c>
      <c r="E85" s="4"/>
      <c r="F85" s="4"/>
      <c r="G85" s="4"/>
      <c r="H85" s="4"/>
      <c r="I85" s="4"/>
      <c r="J85" s="4"/>
      <c r="K85" s="4">
        <v>-306</v>
      </c>
      <c r="L85" s="4">
        <f>-305</f>
        <v>-305</v>
      </c>
      <c r="M85" s="4">
        <v>70</v>
      </c>
      <c r="N85" s="4">
        <v>-216</v>
      </c>
      <c r="O85" s="4">
        <v>10371</v>
      </c>
      <c r="P85" s="59">
        <v>-232</v>
      </c>
      <c r="Q85" s="59"/>
      <c r="R85" s="4">
        <f t="shared" si="109"/>
        <v>289656</v>
      </c>
      <c r="S85" s="4"/>
      <c r="T85" s="4"/>
      <c r="U85" s="4"/>
      <c r="V85" s="4"/>
      <c r="W85" s="4"/>
      <c r="X85" s="4"/>
      <c r="Y85" s="4"/>
      <c r="Z85" s="4"/>
      <c r="AA85" s="4"/>
      <c r="AB85" s="4"/>
      <c r="AC85" s="4">
        <f t="shared" si="104"/>
        <v>0</v>
      </c>
      <c r="AD85" s="4"/>
      <c r="AE85" s="17"/>
      <c r="AF85" s="17"/>
      <c r="AG85" s="17"/>
      <c r="AH85" s="4"/>
      <c r="AI85" s="4"/>
      <c r="AJ85" s="4"/>
      <c r="AK85" s="4">
        <f t="shared" si="110"/>
        <v>0</v>
      </c>
    </row>
    <row r="86" spans="1:38" ht="49.5" customHeight="1" x14ac:dyDescent="0.25">
      <c r="A86" s="39" t="s">
        <v>69</v>
      </c>
      <c r="B86" s="11" t="s">
        <v>102</v>
      </c>
      <c r="C86" s="3" t="s">
        <v>17</v>
      </c>
      <c r="D86" s="4">
        <v>171832</v>
      </c>
      <c r="E86" s="4"/>
      <c r="F86" s="4"/>
      <c r="G86" s="4"/>
      <c r="H86" s="4"/>
      <c r="I86" s="4">
        <v>1018</v>
      </c>
      <c r="J86" s="4">
        <f>60247-97073+36421+17940+36826</f>
        <v>54361</v>
      </c>
      <c r="K86" s="4">
        <f>5000+5000</f>
        <v>10000</v>
      </c>
      <c r="L86" s="4">
        <f>-72927+5264+100000+26000+2355-16826-5000</f>
        <v>38866</v>
      </c>
      <c r="M86" s="4">
        <f>64736+11100+4715-3076+3006+14000+1272+527+2786+1500</f>
        <v>100566</v>
      </c>
      <c r="N86" s="4">
        <f>135-1500-2906+13864-2786</f>
        <v>6807</v>
      </c>
      <c r="O86" s="4"/>
      <c r="P86" s="59">
        <f>-144-381-49194</f>
        <v>-49719</v>
      </c>
      <c r="Q86" s="59"/>
      <c r="R86" s="4">
        <f t="shared" si="109"/>
        <v>333731</v>
      </c>
      <c r="S86" s="4">
        <v>1800</v>
      </c>
      <c r="T86" s="4"/>
      <c r="U86" s="4"/>
      <c r="V86" s="4"/>
      <c r="W86" s="4"/>
      <c r="X86" s="4"/>
      <c r="Y86" s="4">
        <v>105264</v>
      </c>
      <c r="Z86" s="4"/>
      <c r="AA86" s="4"/>
      <c r="AB86" s="4"/>
      <c r="AC86" s="4">
        <f>S86+T86+U86+V86+W86+X86+Y86+Z86+AA86+AB86</f>
        <v>107064</v>
      </c>
      <c r="AD86" s="4">
        <v>1800</v>
      </c>
      <c r="AE86" s="4"/>
      <c r="AF86" s="4"/>
      <c r="AG86" s="4"/>
      <c r="AH86" s="4"/>
      <c r="AI86" s="4">
        <v>189300</v>
      </c>
      <c r="AJ86" s="4">
        <v>49194</v>
      </c>
      <c r="AK86" s="4">
        <f>AD86+AE86+AF86+AG86+AH86+AI86+AJ86</f>
        <v>240294</v>
      </c>
      <c r="AL86" s="25"/>
    </row>
    <row r="87" spans="1:38" ht="49.5" customHeight="1" x14ac:dyDescent="0.25">
      <c r="A87" s="39" t="s">
        <v>109</v>
      </c>
      <c r="B87" s="11" t="s">
        <v>110</v>
      </c>
      <c r="C87" s="3" t="s">
        <v>111</v>
      </c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59"/>
      <c r="Q87" s="59"/>
      <c r="R87" s="60" t="s">
        <v>112</v>
      </c>
      <c r="S87" s="4"/>
      <c r="T87" s="4"/>
      <c r="U87" s="4"/>
      <c r="V87" s="4"/>
      <c r="W87" s="4"/>
      <c r="X87" s="4"/>
      <c r="Y87" s="4"/>
      <c r="Z87" s="4"/>
      <c r="AA87" s="4">
        <v>10370</v>
      </c>
      <c r="AB87" s="4"/>
      <c r="AC87" s="4">
        <f>13486+267234+1114+10370</f>
        <v>292204</v>
      </c>
      <c r="AD87" s="4"/>
      <c r="AE87" s="4"/>
      <c r="AF87" s="4"/>
      <c r="AG87" s="4"/>
      <c r="AH87" s="4"/>
      <c r="AI87" s="4"/>
      <c r="AJ87" s="4"/>
      <c r="AK87" s="4">
        <f>13486+269070+1114</f>
        <v>283670</v>
      </c>
      <c r="AL87" s="25"/>
    </row>
    <row r="88" spans="1:38" ht="49.5" customHeight="1" x14ac:dyDescent="0.25">
      <c r="A88" s="39" t="s">
        <v>113</v>
      </c>
      <c r="B88" s="11" t="s">
        <v>114</v>
      </c>
      <c r="C88" s="3" t="s">
        <v>115</v>
      </c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59"/>
      <c r="Q88" s="59"/>
      <c r="R88" s="60" t="s">
        <v>112</v>
      </c>
      <c r="S88" s="4"/>
      <c r="T88" s="4"/>
      <c r="U88" s="4"/>
      <c r="V88" s="4"/>
      <c r="W88" s="4"/>
      <c r="X88" s="4"/>
      <c r="Y88" s="4"/>
      <c r="Z88" s="4"/>
      <c r="AA88" s="4">
        <f>9138+1786</f>
        <v>10924</v>
      </c>
      <c r="AB88" s="4"/>
      <c r="AC88" s="4">
        <f>0+AA88</f>
        <v>10924</v>
      </c>
      <c r="AD88" s="4"/>
      <c r="AE88" s="4"/>
      <c r="AF88" s="4"/>
      <c r="AG88" s="4"/>
      <c r="AH88" s="4"/>
      <c r="AI88" s="4">
        <f>2500+1113</f>
        <v>3613</v>
      </c>
      <c r="AJ88" s="4"/>
      <c r="AK88" s="4">
        <f>0+AI88</f>
        <v>3613</v>
      </c>
      <c r="AL88" s="25"/>
    </row>
    <row r="89" spans="1:38" ht="21.75" customHeight="1" x14ac:dyDescent="0.25">
      <c r="A89" s="21"/>
      <c r="B89" s="30"/>
      <c r="C89" s="6" t="s">
        <v>19</v>
      </c>
      <c r="D89" s="18">
        <f t="shared" ref="D89:E89" si="111">D12+D15+D18+D19+D24+D29+D30+D33+D34+D40+D41+D45+D46+D47+D48+D61+D62+D63+D75+D76+D77+D79+D82+D83+D84+D85+D86</f>
        <v>5970932</v>
      </c>
      <c r="E89" s="18">
        <f t="shared" si="111"/>
        <v>1030022</v>
      </c>
      <c r="F89" s="18">
        <f t="shared" ref="F89:K89" si="112">F12+F15+F18+F19+F24+F29+F30+F33+F34+F40+F41+F45+F46+F47+F48+F61+F62+F63+F75+F76+F77+F79+F82+F83+F84+F85+F86+F78</f>
        <v>176570</v>
      </c>
      <c r="G89" s="18">
        <f t="shared" si="112"/>
        <v>3098</v>
      </c>
      <c r="H89" s="18">
        <f t="shared" si="112"/>
        <v>3933584</v>
      </c>
      <c r="I89" s="18">
        <f t="shared" si="112"/>
        <v>323815</v>
      </c>
      <c r="J89" s="18">
        <f t="shared" si="112"/>
        <v>173920</v>
      </c>
      <c r="K89" s="18">
        <f t="shared" si="112"/>
        <v>457742</v>
      </c>
      <c r="L89" s="18">
        <f t="shared" ref="L89:V89" si="113">L12+L15+L18+L19+L24+L29+L30+L33+L34+L40+L41+L45+L46+L47+L48+L61+L62+L63+L75+L76+L77+L79+L82+L83+L84+L85+L86+L78</f>
        <v>195360</v>
      </c>
      <c r="M89" s="18">
        <f t="shared" si="113"/>
        <v>63755</v>
      </c>
      <c r="N89" s="18">
        <f>N12+N15+N18+N19+N24+N29+N30+N33+N34+N40+N41+N45+N46+N47+N48+N61+N62+N63+N75+N76+N77+N79+N82+N83+N84+N85+N86+N78</f>
        <v>82795</v>
      </c>
      <c r="O89" s="18">
        <f>O12+O15+O18+O19+O24+O29+O30+O33+O34+O40+O41+O45+O46+O47+O48+O61+O62+O63+O75+O76+O77+O79+O82+O83+O84+O85+O86+O78</f>
        <v>10871</v>
      </c>
      <c r="P89" s="18">
        <f>P12+P15+P18+P19+P24+P29+P30+P33+P34+P40+P41+P45+P46+P47+P48+P61+P62+P63+P75+P76+P77+P79+P82+P83+P84+P85+P86+P78</f>
        <v>-44363</v>
      </c>
      <c r="Q89" s="18">
        <f>Q12+Q15+Q18+Q19+Q24+Q29+Q30+Q33+Q34+Q40+Q41+Q45+Q46+Q47+Q48+Q61+Q62+Q63+Q75+Q76+Q77+Q79+Q82+Q83+Q84+Q85+Q86+Q78</f>
        <v>4296</v>
      </c>
      <c r="R89" s="18">
        <f>R12+R15+R18+R19+R24+R29+R30+R33+R34+R40+R41+R45+R46+R47+R48+R61+R62+R63+R75+R76+R77+R79+R82+R83+R84+R85+R86+R78</f>
        <v>12382397</v>
      </c>
      <c r="S89" s="18">
        <f t="shared" si="113"/>
        <v>4958076</v>
      </c>
      <c r="T89" s="18">
        <f t="shared" si="113"/>
        <v>105564</v>
      </c>
      <c r="U89" s="18">
        <f t="shared" si="113"/>
        <v>0</v>
      </c>
      <c r="V89" s="18">
        <f t="shared" si="113"/>
        <v>79888</v>
      </c>
      <c r="W89" s="18">
        <f t="shared" ref="W89:X89" si="114">W12+W15+W18+W19+W24+W29+W30+W33+W34+W40+W41+W45+W46+W47+W48+W61+W62+W63+W75+W76+W77+W79+W82+W83+W84+W85+W86+W78</f>
        <v>175269</v>
      </c>
      <c r="X89" s="18">
        <f t="shared" si="114"/>
        <v>87854</v>
      </c>
      <c r="Y89" s="18"/>
      <c r="Z89" s="18">
        <f>Z12+Z15+Z18+Z19+Z24+Z29+Z30+Z33+Z34+Z40+Z41+Z45+Z46+Z47+Z48+Z61+Z62+Z63+Z75+Z76+Z77+Z79+Z82+Z83+Z84+Z85+Z86+Z78+Z87</f>
        <v>2820</v>
      </c>
      <c r="AA89" s="18">
        <f>AA12+AA15+AA18+AA19+AA24+AA29+AA30+AA33+AA34+AA40+AA41+AA45+AA46+AA47+AA48+AA61+AA62+AA63+AA75+AA76+AA77+AA79+AA82+AA83+AA84+AA85+AA86+AA78+AA87+AA88</f>
        <v>24692</v>
      </c>
      <c r="AB89" s="18">
        <f>AB12+AB15+AB18+AB19+AB24+AB29+AB30+AB33+AB34+AB40+AB41+AB45+AB46+AB47+AB48+AB61+AB62+AB63+AB75+AB76+AB77+AB79+AB82+AB83+AB84+AB85+AB86+AB78+AB87+AB88</f>
        <v>-852</v>
      </c>
      <c r="AC89" s="18">
        <f>AC12+AC15+AC18+AC19+AC24+AC29+AC30+AC33+AC34+AC40+AC41+AC45+AC46+AC47+AC48+AC61+AC62+AC63+AC75+AC76+AC77+AC79+AC82+AC83+AC84+AC85+AC86+AC78+AC87+AC88</f>
        <v>5739831</v>
      </c>
      <c r="AD89" s="18">
        <f>AD12+AD15+AD18+AD19+AD24+AD29+AD30+AD33+AD34+AD40+AD41+AD45+AD46+AD47+AD48+AD61+AD62+AD63+AD75+AD76+AD77+AD79+AD82+AD83+AD84+AD85+AD86+AD78</f>
        <v>4577111</v>
      </c>
      <c r="AE89" s="18">
        <f>AE12+AE15+AE18+AE19+AE24+AE29+AE30+AE33+AE34+AE40+AE41+AE45+AE46+AE47+AE48+AE61+AE62+AE63+AE75+AE76+AE77+AE79+AE82+AE83+AE84+AE85+AE86+AE78</f>
        <v>300</v>
      </c>
      <c r="AF89" s="18"/>
      <c r="AG89" s="18">
        <f>AG12+AG15+AG18+AG19+AG24+AG29+AG30+AG33+AG34+AG40+AG41+AG45+AG46+AG47+AG48+AG61+AG62+AG63+AG75+AG76+AG77+AG79+AG82+AG83+AG84+AG85+AG86+AG78</f>
        <v>74718</v>
      </c>
      <c r="AH89" s="18">
        <f>AH12+AH15+AH18+AH19+AH24+AH29+AH30+AH33+AH34+AH40+AH41+AH45+AH46+AH47+AH48+AH61+AH62+AH63+AH75+AH76+AH77+AH79+AH82+AH83+AH84+AH85+AH86+AH78</f>
        <v>0</v>
      </c>
      <c r="AI89" s="18">
        <f>AI12+AI15+AI18+AI19+AI24+AI29+AI30+AI33+AI34+AI40+AI41+AI45+AI46+AI47+AI48+AI61+AI62+AI63+AI75+AI76+AI77+AI79+AI82+AI83+AI84+AI85+AI86+AI78+AI87+AI88</f>
        <v>196311</v>
      </c>
      <c r="AJ89" s="18">
        <f>AJ12+AJ15+AJ18+AJ19+AJ24+AJ29+AJ30+AJ33+AJ34+AJ40+AJ41+AJ45+AJ46+AJ47+AJ48+AJ61+AJ62+AJ63+AJ75+AJ76+AJ77+AJ79+AJ82+AJ83+AJ84+AJ85+AJ86+AJ78+AJ87+AJ88</f>
        <v>47812</v>
      </c>
      <c r="AK89" s="18">
        <f>AK12+AK15+AK18+AK19+AK24+AK29+AK30+AK33+AK34+AK40+AK41+AK45+AK46+AK47+AK48+AK61+AK62+AK63+AK75+AK76+AK77+AK79+AK82+AK83+AK84+AK85+AK86+AK78+AK87+AK88</f>
        <v>5181511</v>
      </c>
    </row>
    <row r="90" spans="1:38" ht="15.75" x14ac:dyDescent="0.25">
      <c r="A90" s="22"/>
      <c r="B90" s="31"/>
      <c r="C90" s="7"/>
      <c r="D90" s="5"/>
      <c r="E90" s="5">
        <f>D89+E89</f>
        <v>7000954</v>
      </c>
      <c r="F90" s="5">
        <f t="shared" ref="F90:K90" si="115">E90+F89</f>
        <v>7177524</v>
      </c>
      <c r="G90" s="5">
        <f t="shared" si="115"/>
        <v>7180622</v>
      </c>
      <c r="H90" s="5">
        <f t="shared" si="115"/>
        <v>11114206</v>
      </c>
      <c r="I90" s="5">
        <f t="shared" si="115"/>
        <v>11438021</v>
      </c>
      <c r="J90" s="5">
        <f t="shared" si="115"/>
        <v>11611941</v>
      </c>
      <c r="K90" s="5">
        <f t="shared" si="115"/>
        <v>12069683</v>
      </c>
      <c r="L90" s="5">
        <f t="shared" ref="L90:Q90" si="116">K90+L89</f>
        <v>12265043</v>
      </c>
      <c r="M90" s="5">
        <f t="shared" si="116"/>
        <v>12328798</v>
      </c>
      <c r="N90" s="5">
        <f t="shared" si="116"/>
        <v>12411593</v>
      </c>
      <c r="O90" s="5">
        <f t="shared" si="116"/>
        <v>12422464</v>
      </c>
      <c r="P90" s="5">
        <f t="shared" si="116"/>
        <v>12378101</v>
      </c>
      <c r="Q90" s="5">
        <f t="shared" si="116"/>
        <v>12382397</v>
      </c>
      <c r="R90" s="5">
        <f>R89-P90</f>
        <v>4296</v>
      </c>
      <c r="S90" s="7"/>
      <c r="T90" s="19">
        <f>S89+T89</f>
        <v>5063640</v>
      </c>
      <c r="U90" s="19">
        <f>T90+U89</f>
        <v>5063640</v>
      </c>
      <c r="V90" s="19">
        <f>U90+V89</f>
        <v>5143528</v>
      </c>
      <c r="W90" s="19">
        <f>V90+W89</f>
        <v>5318797</v>
      </c>
      <c r="X90" s="19"/>
      <c r="Y90" s="19"/>
      <c r="Z90" s="19"/>
      <c r="AA90" s="19"/>
      <c r="AB90" s="19"/>
      <c r="AC90" s="7"/>
      <c r="AD90" s="7"/>
      <c r="AE90" s="19">
        <f>AD89+AE89</f>
        <v>4577411</v>
      </c>
      <c r="AF90" s="19">
        <f>AE90+AF89</f>
        <v>4577411</v>
      </c>
      <c r="AG90" s="19">
        <f>AF90+AG89</f>
        <v>4652129</v>
      </c>
      <c r="AH90" s="19"/>
      <c r="AI90" s="19"/>
      <c r="AJ90" s="19"/>
    </row>
  </sheetData>
  <mergeCells count="30">
    <mergeCell ref="A64:A71"/>
    <mergeCell ref="B72:B74"/>
    <mergeCell ref="B20:B23"/>
    <mergeCell ref="A20:A23"/>
    <mergeCell ref="A35:A39"/>
    <mergeCell ref="A31:A32"/>
    <mergeCell ref="B31:B32"/>
    <mergeCell ref="B35:B39"/>
    <mergeCell ref="A72:A74"/>
    <mergeCell ref="A53:A55"/>
    <mergeCell ref="A50:A52"/>
    <mergeCell ref="B63:B71"/>
    <mergeCell ref="B48:B58"/>
    <mergeCell ref="A56:A57"/>
    <mergeCell ref="A58:A60"/>
    <mergeCell ref="A8:AK8"/>
    <mergeCell ref="A42:A44"/>
    <mergeCell ref="B42:B44"/>
    <mergeCell ref="A16:A17"/>
    <mergeCell ref="B16:B17"/>
    <mergeCell ref="A10:A11"/>
    <mergeCell ref="B10:B11"/>
    <mergeCell ref="C10:C11"/>
    <mergeCell ref="D10:AK10"/>
    <mergeCell ref="A5:AK5"/>
    <mergeCell ref="A6:AK6"/>
    <mergeCell ref="A7:AK7"/>
    <mergeCell ref="A1:AK1"/>
    <mergeCell ref="A2:AK2"/>
    <mergeCell ref="A3:AK3"/>
  </mergeCells>
  <pageMargins left="0.84" right="0.44" top="0.6692913385826772" bottom="0.31496062992125984" header="0.31496062992125984" footer="0.31496062992125984"/>
  <pageSetup paperSize="9" scale="82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E11"/>
  <sheetViews>
    <sheetView workbookViewId="0">
      <selection activeCell="E6" sqref="E6:E11"/>
    </sheetView>
  </sheetViews>
  <sheetFormatPr defaultRowHeight="15" x14ac:dyDescent="0.25"/>
  <sheetData>
    <row r="6" spans="5:5" x14ac:dyDescent="0.25">
      <c r="E6" s="1"/>
    </row>
    <row r="7" spans="5:5" x14ac:dyDescent="0.25">
      <c r="E7" s="1"/>
    </row>
    <row r="8" spans="5:5" x14ac:dyDescent="0.25">
      <c r="E8" s="1"/>
    </row>
    <row r="9" spans="5:5" x14ac:dyDescent="0.25">
      <c r="E9" s="1"/>
    </row>
    <row r="10" spans="5:5" x14ac:dyDescent="0.25">
      <c r="E10" s="1"/>
    </row>
    <row r="11" spans="5:5" x14ac:dyDescent="0.25">
      <c r="E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Трофимова Елена Анатольевна</cp:lastModifiedBy>
  <cp:lastPrinted>2017-12-13T12:21:59Z</cp:lastPrinted>
  <dcterms:created xsi:type="dcterms:W3CDTF">2015-09-30T07:41:26Z</dcterms:created>
  <dcterms:modified xsi:type="dcterms:W3CDTF">2017-12-19T12:05:03Z</dcterms:modified>
</cp:coreProperties>
</file>